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72F76F8C-B4E9-449B-9978-3656AD2DF03C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5" i="2" l="1"/>
  <c r="AG125" i="1"/>
  <c r="AG128" i="1" s="1"/>
  <c r="AG129" i="1" s="1"/>
  <c r="AF125" i="1"/>
  <c r="AQ151" i="1" s="1"/>
  <c r="AQ154" i="1"/>
  <c r="AU148" i="1"/>
  <c r="AQ148" i="1"/>
  <c r="AO148" i="1"/>
  <c r="AG49" i="1"/>
  <c r="AG50" i="1"/>
  <c r="AG51" i="1"/>
  <c r="AU150" i="1"/>
  <c r="AU149" i="1"/>
  <c r="AQ150" i="1"/>
  <c r="AO150" i="1"/>
  <c r="AQ149" i="1"/>
  <c r="AO149" i="1"/>
  <c r="AG115" i="1"/>
  <c r="AG114" i="1"/>
  <c r="AG113" i="1"/>
  <c r="Z127" i="1"/>
  <c r="AO152" i="1" s="1"/>
  <c r="Z126" i="1"/>
  <c r="AQ152" i="1" s="1"/>
  <c r="AG124" i="1"/>
  <c r="AO151" i="1" s="1"/>
  <c r="AF84" i="1"/>
  <c r="AF83" i="1"/>
  <c r="AF85" i="1" s="1"/>
  <c r="BI134" i="1"/>
  <c r="BH134" i="1"/>
  <c r="BG134" i="1"/>
  <c r="BA134" i="1"/>
  <c r="AY134" i="1"/>
  <c r="AS134" i="1"/>
  <c r="AR134" i="1"/>
  <c r="AJ134" i="1"/>
  <c r="AI134" i="1"/>
  <c r="AC134" i="1"/>
  <c r="AA134" i="1"/>
  <c r="U134" i="1"/>
  <c r="T134" i="1"/>
  <c r="S134" i="1"/>
  <c r="M134" i="1"/>
  <c r="L134" i="1"/>
  <c r="K134" i="1"/>
  <c r="BN133" i="1"/>
  <c r="BN134" i="1" s="1"/>
  <c r="BK133" i="1"/>
  <c r="BK134" i="1" s="1"/>
  <c r="BI133" i="1"/>
  <c r="BH133" i="1"/>
  <c r="BG133" i="1"/>
  <c r="BE133" i="1"/>
  <c r="BE134" i="1" s="1"/>
  <c r="BC133" i="1"/>
  <c r="BC134" i="1" s="1"/>
  <c r="BB133" i="1"/>
  <c r="BB134" i="1" s="1"/>
  <c r="BA133" i="1"/>
  <c r="AY133" i="1"/>
  <c r="AX133" i="1"/>
  <c r="AX134" i="1" s="1"/>
  <c r="AV133" i="1"/>
  <c r="AV134" i="1" s="1"/>
  <c r="AT133" i="1"/>
  <c r="AT134" i="1" s="1"/>
  <c r="AS133" i="1"/>
  <c r="AR133" i="1"/>
  <c r="AP133" i="1"/>
  <c r="AP134" i="1" s="1"/>
  <c r="AO133" i="1"/>
  <c r="AO134" i="1" s="1"/>
  <c r="AN133" i="1"/>
  <c r="AN134" i="1" s="1"/>
  <c r="AM133" i="1"/>
  <c r="AM134" i="1" s="1"/>
  <c r="AL133" i="1"/>
  <c r="AL134" i="1" s="1"/>
  <c r="AJ133" i="1"/>
  <c r="AI133" i="1"/>
  <c r="AE133" i="1"/>
  <c r="AE134" i="1" s="1"/>
  <c r="AC133" i="1"/>
  <c r="AA133" i="1"/>
  <c r="Y133" i="1"/>
  <c r="Y134" i="1" s="1"/>
  <c r="X133" i="1"/>
  <c r="X134" i="1" s="1"/>
  <c r="W133" i="1"/>
  <c r="W134" i="1" s="1"/>
  <c r="V133" i="1"/>
  <c r="V134" i="1" s="1"/>
  <c r="U133" i="1"/>
  <c r="T133" i="1"/>
  <c r="S133" i="1"/>
  <c r="Q133" i="1"/>
  <c r="Q134" i="1" s="1"/>
  <c r="O133" i="1"/>
  <c r="O134" i="1" s="1"/>
  <c r="M133" i="1"/>
  <c r="L133" i="1"/>
  <c r="K133" i="1"/>
  <c r="I133" i="1"/>
  <c r="I134" i="1" s="1"/>
  <c r="D133" i="1"/>
  <c r="D134" i="1" s="1"/>
  <c r="BM124" i="1"/>
  <c r="BM133" i="1" s="1"/>
  <c r="BM134" i="1" s="1"/>
  <c r="BD124" i="1"/>
  <c r="AZ124" i="1"/>
  <c r="BJ124" i="1" s="1"/>
  <c r="BJ133" i="1" s="1"/>
  <c r="BJ134" i="1" s="1"/>
  <c r="AW124" i="1"/>
  <c r="AW133" i="1" s="1"/>
  <c r="AW134" i="1" s="1"/>
  <c r="AK124" i="1"/>
  <c r="AK133" i="1" s="1"/>
  <c r="AK134" i="1" s="1"/>
  <c r="AF124" i="1"/>
  <c r="AF133" i="1" s="1"/>
  <c r="AF134" i="1" s="1"/>
  <c r="Z124" i="1"/>
  <c r="AD124" i="1" s="1"/>
  <c r="AD133" i="1" s="1"/>
  <c r="AD134" i="1" s="1"/>
  <c r="P124" i="1"/>
  <c r="P133" i="1" s="1"/>
  <c r="P134" i="1" s="1"/>
  <c r="J124" i="1"/>
  <c r="J133" i="1" s="1"/>
  <c r="J134" i="1" s="1"/>
  <c r="H124" i="1"/>
  <c r="N124" i="1" s="1"/>
  <c r="N133" i="1" s="1"/>
  <c r="N134" i="1" s="1"/>
  <c r="K125" i="2"/>
  <c r="Q125" i="2" s="1"/>
  <c r="S124" i="2"/>
  <c r="I20" i="3"/>
  <c r="AU152" i="1" l="1"/>
  <c r="AQ155" i="1"/>
  <c r="AQ156" i="1" s="1"/>
  <c r="AU156" i="1" s="1"/>
  <c r="AH124" i="1"/>
  <c r="AH133" i="1" s="1"/>
  <c r="AH134" i="1" s="1"/>
  <c r="Z128" i="1"/>
  <c r="AF128" i="1"/>
  <c r="AF129" i="1" s="1"/>
  <c r="AU151" i="1"/>
  <c r="AG126" i="1"/>
  <c r="AG133" i="1"/>
  <c r="AG134" i="1" s="1"/>
  <c r="BF124" i="1"/>
  <c r="BF133" i="1" s="1"/>
  <c r="BF134" i="1" s="1"/>
  <c r="AZ133" i="1"/>
  <c r="AZ134" i="1" s="1"/>
  <c r="AQ124" i="1"/>
  <c r="AQ133" i="1" s="1"/>
  <c r="AQ134" i="1" s="1"/>
  <c r="Z133" i="1"/>
  <c r="Z134" i="1" s="1"/>
  <c r="BO124" i="1"/>
  <c r="AU124" i="1"/>
  <c r="AU133" i="1" s="1"/>
  <c r="AU134" i="1" s="1"/>
  <c r="H133" i="1"/>
  <c r="H134" i="1" s="1"/>
  <c r="BD133" i="1"/>
  <c r="BD134" i="1" s="1"/>
  <c r="BL124" i="1"/>
  <c r="BL133" i="1" s="1"/>
  <c r="BL134" i="1" s="1"/>
  <c r="R124" i="1"/>
  <c r="R133" i="1" s="1"/>
  <c r="R134" i="1" s="1"/>
  <c r="AB124" i="1"/>
  <c r="AB133" i="1" s="1"/>
  <c r="AB134" i="1" s="1"/>
  <c r="U125" i="2"/>
  <c r="M125" i="2"/>
  <c r="BQ124" i="1" l="1"/>
  <c r="BO133" i="1"/>
  <c r="BO134" i="1" s="1"/>
  <c r="BM123" i="1"/>
  <c r="BD123" i="1"/>
  <c r="AZ123" i="1"/>
  <c r="BF123" i="1" s="1"/>
  <c r="AW123" i="1"/>
  <c r="AK123" i="1"/>
  <c r="AQ123" i="1" s="1"/>
  <c r="Z123" i="1"/>
  <c r="AD123" i="1" s="1"/>
  <c r="P123" i="1"/>
  <c r="J123" i="1"/>
  <c r="H123" i="1"/>
  <c r="N123" i="1" s="1"/>
  <c r="S130" i="2"/>
  <c r="R130" i="2"/>
  <c r="P130" i="2"/>
  <c r="O130" i="2"/>
  <c r="N130" i="2"/>
  <c r="L130" i="2"/>
  <c r="J130" i="2"/>
  <c r="I130" i="2"/>
  <c r="H130" i="2"/>
  <c r="G130" i="2"/>
  <c r="E130" i="2"/>
  <c r="K124" i="2"/>
  <c r="Q124" i="2" s="1"/>
  <c r="Q130" i="2" s="1"/>
  <c r="K130" i="2" l="1"/>
  <c r="BO123" i="1"/>
  <c r="BQ123" i="1" s="1"/>
  <c r="AU123" i="1"/>
  <c r="AB123" i="1"/>
  <c r="BJ123" i="1"/>
  <c r="U124" i="2"/>
  <c r="M124" i="2"/>
  <c r="M130" i="2" s="1"/>
  <c r="S123" i="2"/>
  <c r="BL123" i="1" l="1"/>
  <c r="BV122" i="1"/>
  <c r="AW122" i="1" s="1"/>
  <c r="BD122" i="1"/>
  <c r="BO122" i="1" s="1"/>
  <c r="BQ122" i="1" s="1"/>
  <c r="AZ122" i="1"/>
  <c r="BJ122" i="1" s="1"/>
  <c r="AK122" i="1"/>
  <c r="AQ122" i="1" s="1"/>
  <c r="Z122" i="1"/>
  <c r="P122" i="1"/>
  <c r="J122" i="1"/>
  <c r="H122" i="1"/>
  <c r="AU122" i="1" s="1"/>
  <c r="B122" i="1"/>
  <c r="B123" i="1" s="1"/>
  <c r="B124" i="1" s="1"/>
  <c r="B125" i="1" s="1"/>
  <c r="B126" i="1" s="1"/>
  <c r="B127" i="1" s="1"/>
  <c r="B128" i="1" s="1"/>
  <c r="B129" i="1" s="1"/>
  <c r="B130" i="1" s="1"/>
  <c r="B131" i="1" s="1"/>
  <c r="K123" i="2"/>
  <c r="Q123" i="2" s="1"/>
  <c r="AB122" i="1" l="1"/>
  <c r="BL122" i="1"/>
  <c r="BV123" i="1"/>
  <c r="BV124" i="1" s="1"/>
  <c r="BV125" i="1" s="1"/>
  <c r="BV126" i="1" s="1"/>
  <c r="BV127" i="1" s="1"/>
  <c r="BV128" i="1" s="1"/>
  <c r="BV129" i="1" s="1"/>
  <c r="BV130" i="1" s="1"/>
  <c r="BV131" i="1" s="1"/>
  <c r="AD122" i="1"/>
  <c r="BF122" i="1"/>
  <c r="N122" i="1"/>
  <c r="BM122" i="1"/>
  <c r="U123" i="2"/>
  <c r="M123" i="2"/>
  <c r="S122" i="2"/>
  <c r="D168" i="1"/>
  <c r="BD121" i="1"/>
  <c r="AZ121" i="1"/>
  <c r="BJ121" i="1" s="1"/>
  <c r="AK121" i="1"/>
  <c r="AQ121" i="1" s="1"/>
  <c r="P121" i="1"/>
  <c r="W122" i="2"/>
  <c r="K122" i="2"/>
  <c r="M122" i="2" s="1"/>
  <c r="BF121" i="1" l="1"/>
  <c r="BL121" i="1"/>
  <c r="U122" i="2"/>
  <c r="Q122" i="2"/>
  <c r="E121" i="2" l="1"/>
  <c r="S121" i="2"/>
  <c r="G134" i="1" l="1"/>
  <c r="F134" i="1"/>
  <c r="E134" i="1"/>
  <c r="G133" i="1"/>
  <c r="F133" i="1"/>
  <c r="E133" i="1"/>
  <c r="BD120" i="1"/>
  <c r="AZ120" i="1"/>
  <c r="BJ120" i="1" s="1"/>
  <c r="AK120" i="1"/>
  <c r="AQ120" i="1" s="1"/>
  <c r="P120" i="1"/>
  <c r="K121" i="2"/>
  <c r="Q121" i="2" s="1"/>
  <c r="BF120" i="1" l="1"/>
  <c r="BL120" i="1"/>
  <c r="U121" i="2"/>
  <c r="M121" i="2"/>
  <c r="D118" i="1" l="1"/>
  <c r="D116" i="1"/>
  <c r="D115" i="1"/>
  <c r="D114" i="1"/>
  <c r="S120" i="2" l="1"/>
  <c r="BD119" i="1" l="1"/>
  <c r="AZ119" i="1"/>
  <c r="BJ119" i="1" s="1"/>
  <c r="AK119" i="1"/>
  <c r="AQ119" i="1" s="1"/>
  <c r="P119" i="1"/>
  <c r="K120" i="2"/>
  <c r="Q120" i="2" s="1"/>
  <c r="BF119" i="1" l="1"/>
  <c r="BL119" i="1"/>
  <c r="U120" i="2"/>
  <c r="M120" i="2"/>
  <c r="S119" i="2"/>
  <c r="BD118" i="1" l="1"/>
  <c r="AZ118" i="1"/>
  <c r="BJ118" i="1" s="1"/>
  <c r="AK118" i="1"/>
  <c r="AQ118" i="1" s="1"/>
  <c r="P118" i="1"/>
  <c r="K119" i="2"/>
  <c r="Q119" i="2" s="1"/>
  <c r="BF118" i="1" l="1"/>
  <c r="BL118" i="1"/>
  <c r="U119" i="2"/>
  <c r="M119" i="2"/>
  <c r="S118" i="2" l="1"/>
  <c r="K118" i="2"/>
  <c r="Q118" i="2" s="1"/>
  <c r="BD117" i="1"/>
  <c r="AZ117" i="1"/>
  <c r="BJ117" i="1" s="1"/>
  <c r="AK117" i="1"/>
  <c r="AQ117" i="1" s="1"/>
  <c r="AF117" i="1"/>
  <c r="AH117" i="1" s="1"/>
  <c r="P117" i="1"/>
  <c r="U118" i="2" l="1"/>
  <c r="M118" i="2"/>
  <c r="BL117" i="1"/>
  <c r="R117" i="1"/>
  <c r="BF117" i="1"/>
  <c r="BD116" i="1"/>
  <c r="BF116" i="1" s="1"/>
  <c r="AZ116" i="1"/>
  <c r="AK116" i="1"/>
  <c r="AQ116" i="1" s="1"/>
  <c r="S117" i="2"/>
  <c r="K117" i="2"/>
  <c r="Q117" i="2" s="1"/>
  <c r="S116" i="2"/>
  <c r="K116" i="2"/>
  <c r="Q116" i="2" s="1"/>
  <c r="BD115" i="1"/>
  <c r="AZ115" i="1"/>
  <c r="AK115" i="1"/>
  <c r="AQ115" i="1" s="1"/>
  <c r="U73" i="3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S115" i="2"/>
  <c r="U117" i="2" l="1"/>
  <c r="M117" i="2"/>
  <c r="U116" i="2"/>
  <c r="M116" i="2"/>
  <c r="BF115" i="1"/>
  <c r="BD114" i="1" l="1"/>
  <c r="AZ114" i="1"/>
  <c r="AK114" i="1"/>
  <c r="AQ114" i="1" s="1"/>
  <c r="K115" i="2"/>
  <c r="M115" i="2" s="1"/>
  <c r="W115" i="2"/>
  <c r="W116" i="2" s="1"/>
  <c r="W117" i="2" s="1"/>
  <c r="W118" i="2" s="1"/>
  <c r="W119" i="2" s="1"/>
  <c r="W120" i="2" s="1"/>
  <c r="W121" i="2" s="1"/>
  <c r="W123" i="2" s="1"/>
  <c r="W124" i="2" s="1"/>
  <c r="W125" i="2" s="1"/>
  <c r="W126" i="2" s="1"/>
  <c r="W127" i="2" s="1"/>
  <c r="W128" i="2" s="1"/>
  <c r="C115" i="2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S114" i="2"/>
  <c r="Q115" i="2" l="1"/>
  <c r="U115" i="2"/>
  <c r="BF114" i="1"/>
  <c r="BD113" i="1" l="1"/>
  <c r="AZ113" i="1"/>
  <c r="AK113" i="1"/>
  <c r="K114" i="2"/>
  <c r="AQ113" i="1" l="1"/>
  <c r="BF113" i="1"/>
  <c r="U114" i="2"/>
  <c r="S113" i="2" l="1"/>
  <c r="BD112" i="1"/>
  <c r="AZ112" i="1"/>
  <c r="AK112" i="1"/>
  <c r="K113" i="2"/>
  <c r="M114" i="2" l="1"/>
  <c r="Q114" i="2"/>
  <c r="AQ112" i="1"/>
  <c r="BF112" i="1"/>
  <c r="U113" i="2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S112" i="2" l="1"/>
  <c r="BD111" i="1" l="1"/>
  <c r="K112" i="2"/>
  <c r="Q113" i="2" l="1"/>
  <c r="M113" i="2"/>
  <c r="U112" i="2"/>
  <c r="Q112" i="2"/>
  <c r="S111" i="2"/>
  <c r="AO110" i="1"/>
  <c r="BB110" i="1"/>
  <c r="K111" i="2"/>
  <c r="BD110" i="1"/>
  <c r="AF110" i="1"/>
  <c r="P110" i="1"/>
  <c r="BD109" i="1"/>
  <c r="AZ109" i="1"/>
  <c r="AK109" i="1"/>
  <c r="AQ109" i="1" s="1"/>
  <c r="S110" i="2"/>
  <c r="K110" i="2"/>
  <c r="S109" i="2"/>
  <c r="U70" i="3"/>
  <c r="U71" i="3" s="1"/>
  <c r="U72" i="3" s="1"/>
  <c r="Q111" i="2" l="1"/>
  <c r="M112" i="2"/>
  <c r="AZ111" i="1"/>
  <c r="AK110" i="1"/>
  <c r="AQ110" i="1" s="1"/>
  <c r="AK111" i="1"/>
  <c r="AZ110" i="1"/>
  <c r="U111" i="2"/>
  <c r="M111" i="2"/>
  <c r="BF109" i="1"/>
  <c r="U110" i="2"/>
  <c r="K109" i="2"/>
  <c r="BD108" i="1"/>
  <c r="AZ108" i="1"/>
  <c r="AK108" i="1"/>
  <c r="AQ108" i="1" s="1"/>
  <c r="Q110" i="2" l="1"/>
  <c r="M110" i="2"/>
  <c r="AQ111" i="1"/>
  <c r="BF111" i="1"/>
  <c r="BF110" i="1"/>
  <c r="U109" i="2"/>
  <c r="BF108" i="1"/>
  <c r="S108" i="2" l="1"/>
  <c r="BD107" i="1" l="1"/>
  <c r="AK107" i="1"/>
  <c r="AQ107" i="1" s="1"/>
  <c r="K108" i="2"/>
  <c r="AA61" i="3"/>
  <c r="BB106" i="1"/>
  <c r="AZ107" i="1" s="1"/>
  <c r="AA105" i="3"/>
  <c r="AA104" i="3"/>
  <c r="AA103" i="3"/>
  <c r="AA102" i="3"/>
  <c r="AA101" i="3"/>
  <c r="AA100" i="3"/>
  <c r="AA99" i="3"/>
  <c r="AA98" i="3"/>
  <c r="AA97" i="3"/>
  <c r="AA96" i="3"/>
  <c r="AA106" i="3" s="1"/>
  <c r="AA109" i="3" s="1"/>
  <c r="AJ106" i="3"/>
  <c r="AJ109" i="3" s="1"/>
  <c r="Y106" i="3"/>
  <c r="W106" i="3"/>
  <c r="U106" i="3" s="1"/>
  <c r="S107" i="2"/>
  <c r="Q109" i="2" l="1"/>
  <c r="M109" i="2"/>
  <c r="BF107" i="1"/>
  <c r="U108" i="2"/>
  <c r="M108" i="2"/>
  <c r="BD106" i="1"/>
  <c r="AZ106" i="1"/>
  <c r="AK106" i="1"/>
  <c r="AQ106" i="1" s="1"/>
  <c r="K107" i="2"/>
  <c r="Q108" i="2" s="1"/>
  <c r="BF106" i="1" l="1"/>
  <c r="U107" i="2"/>
  <c r="S106" i="2" l="1"/>
  <c r="BD105" i="1"/>
  <c r="AZ105" i="1"/>
  <c r="AK105" i="1"/>
  <c r="AQ105" i="1" s="1"/>
  <c r="K106" i="2"/>
  <c r="S105" i="2"/>
  <c r="Q107" i="2" l="1"/>
  <c r="M107" i="2"/>
  <c r="BF105" i="1"/>
  <c r="U106" i="2"/>
  <c r="BD104" i="1" l="1"/>
  <c r="AZ104" i="1"/>
  <c r="BJ110" i="1" s="1"/>
  <c r="BL110" i="1" s="1"/>
  <c r="AK104" i="1"/>
  <c r="AQ104" i="1" s="1"/>
  <c r="K105" i="2"/>
  <c r="Q106" i="2" l="1"/>
  <c r="M106" i="2"/>
  <c r="BF104" i="1"/>
  <c r="U105" i="2"/>
  <c r="S104" i="2"/>
  <c r="K104" i="2"/>
  <c r="M105" i="2" s="1"/>
  <c r="BD103" i="1"/>
  <c r="AZ103" i="1"/>
  <c r="AK103" i="1"/>
  <c r="AQ103" i="1" s="1"/>
  <c r="AF103" i="1"/>
  <c r="P103" i="1"/>
  <c r="R110" i="1" s="1"/>
  <c r="S103" i="2"/>
  <c r="Q105" i="2" l="1"/>
  <c r="AH110" i="1"/>
  <c r="U104" i="2"/>
  <c r="BF103" i="1"/>
  <c r="BD102" i="1"/>
  <c r="AZ102" i="1"/>
  <c r="AK102" i="1"/>
  <c r="AQ102" i="1" s="1"/>
  <c r="K103" i="2"/>
  <c r="Q104" i="2" s="1"/>
  <c r="S102" i="2"/>
  <c r="BD101" i="1"/>
  <c r="AZ101" i="1"/>
  <c r="AK101" i="1"/>
  <c r="AQ101" i="1" s="1"/>
  <c r="S101" i="2"/>
  <c r="K102" i="2"/>
  <c r="M104" i="2" l="1"/>
  <c r="Q103" i="2"/>
  <c r="BF102" i="1"/>
  <c r="U103" i="2"/>
  <c r="M103" i="2"/>
  <c r="BF101" i="1"/>
  <c r="U102" i="2"/>
  <c r="BD100" i="1" l="1"/>
  <c r="AZ100" i="1"/>
  <c r="AK100" i="1"/>
  <c r="K101" i="2"/>
  <c r="S100" i="2"/>
  <c r="Q102" i="2" l="1"/>
  <c r="M102" i="2"/>
  <c r="AQ100" i="1"/>
  <c r="BF100" i="1"/>
  <c r="U101" i="2"/>
  <c r="BD99" i="1"/>
  <c r="AZ99" i="1"/>
  <c r="AK99" i="1"/>
  <c r="AQ99" i="1" s="1"/>
  <c r="K100" i="2"/>
  <c r="Q101" i="2" l="1"/>
  <c r="M101" i="2"/>
  <c r="BF99" i="1"/>
  <c r="U100" i="2"/>
  <c r="S99" i="2" l="1"/>
  <c r="BD98" i="1"/>
  <c r="AZ98" i="1"/>
  <c r="AK98" i="1"/>
  <c r="AQ98" i="1" s="1"/>
  <c r="K99" i="2"/>
  <c r="M100" i="2" l="1"/>
  <c r="Q100" i="2"/>
  <c r="BF98" i="1"/>
  <c r="U99" i="2"/>
  <c r="S98" i="2"/>
  <c r="BD97" i="1" l="1"/>
  <c r="AZ97" i="1"/>
  <c r="AK97" i="1"/>
  <c r="AQ97" i="1" s="1"/>
  <c r="K98" i="2"/>
  <c r="Q99" i="2" l="1"/>
  <c r="M99" i="2"/>
  <c r="BJ103" i="1"/>
  <c r="BL103" i="1" s="1"/>
  <c r="BF97" i="1"/>
  <c r="U98" i="2"/>
  <c r="P96" i="1" l="1"/>
  <c r="BD96" i="1"/>
  <c r="AZ96" i="1"/>
  <c r="AK96" i="1"/>
  <c r="AQ96" i="1" s="1"/>
  <c r="AF96" i="1"/>
  <c r="S97" i="2"/>
  <c r="K97" i="2"/>
  <c r="S96" i="2"/>
  <c r="K96" i="2"/>
  <c r="AH103" i="1" l="1"/>
  <c r="R103" i="1"/>
  <c r="Q97" i="2"/>
  <c r="Q98" i="2"/>
  <c r="M98" i="2"/>
  <c r="BF96" i="1"/>
  <c r="U97" i="2"/>
  <c r="M97" i="2"/>
  <c r="U96" i="2"/>
  <c r="BD95" i="1" l="1"/>
  <c r="AZ95" i="1"/>
  <c r="AK95" i="1"/>
  <c r="AQ95" i="1" s="1"/>
  <c r="S95" i="2"/>
  <c r="BF95" i="1" l="1"/>
  <c r="D152" i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BJ96" i="1" s="1"/>
  <c r="BL96" i="1" s="1"/>
  <c r="AK90" i="1"/>
  <c r="AQ90" i="1" s="1"/>
  <c r="K91" i="2"/>
  <c r="Q92" i="2" l="1"/>
  <c r="M92" i="2"/>
  <c r="BF90" i="1"/>
  <c r="U91" i="2"/>
  <c r="S89" i="2"/>
  <c r="S90" i="2"/>
  <c r="K90" i="2"/>
  <c r="M91" i="2" s="1"/>
  <c r="AF75" i="1"/>
  <c r="AF68" i="1"/>
  <c r="AF61" i="1"/>
  <c r="AF47" i="1"/>
  <c r="AF40" i="1"/>
  <c r="P82" i="1"/>
  <c r="R82" i="1" s="1"/>
  <c r="P75" i="1"/>
  <c r="P61" i="1"/>
  <c r="P54" i="1"/>
  <c r="R54" i="1" s="1"/>
  <c r="P47" i="1"/>
  <c r="P40" i="1"/>
  <c r="P33" i="1"/>
  <c r="BD89" i="1"/>
  <c r="AZ89" i="1"/>
  <c r="AK89" i="1"/>
  <c r="AQ89" i="1" s="1"/>
  <c r="AF89" i="1"/>
  <c r="AH96" i="1" s="1"/>
  <c r="P89" i="1"/>
  <c r="R89" i="1" l="1"/>
  <c r="R96" i="1"/>
  <c r="R40" i="1"/>
  <c r="AH68" i="1"/>
  <c r="R61" i="1"/>
  <c r="AH47" i="1"/>
  <c r="R47" i="1"/>
  <c r="AH75" i="1"/>
  <c r="Q91" i="2"/>
  <c r="U90" i="2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S87" i="2"/>
  <c r="K87" i="2"/>
  <c r="Q88" i="2" s="1"/>
  <c r="BD86" i="1"/>
  <c r="AZ86" i="1"/>
  <c r="AK86" i="1"/>
  <c r="AQ86" i="1" s="1"/>
  <c r="U87" i="2" l="1"/>
  <c r="M88" i="2"/>
  <c r="BF86" i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Q86" i="2" l="1"/>
  <c r="M86" i="2"/>
  <c r="U85" i="2"/>
  <c r="BF84" i="1"/>
  <c r="BD83" i="1" l="1"/>
  <c r="AZ83" i="1"/>
  <c r="BJ89" i="1" s="1"/>
  <c r="BL89" i="1" s="1"/>
  <c r="AK83" i="1"/>
  <c r="AQ83" i="1" s="1"/>
  <c r="S84" i="2"/>
  <c r="K84" i="2"/>
  <c r="F117" i="3"/>
  <c r="F120" i="3" s="1"/>
  <c r="S83" i="2"/>
  <c r="Q85" i="2" l="1"/>
  <c r="M85" i="2"/>
  <c r="BF83" i="1"/>
  <c r="U84" i="2"/>
  <c r="V78" i="1" l="1"/>
  <c r="AF82" i="1" s="1"/>
  <c r="K83" i="2"/>
  <c r="BD82" i="1"/>
  <c r="AZ82" i="1"/>
  <c r="AK82" i="1"/>
  <c r="S82" i="2"/>
  <c r="K82" i="2"/>
  <c r="BD81" i="1"/>
  <c r="AZ81" i="1"/>
  <c r="AK81" i="1"/>
  <c r="AH82" i="1" l="1"/>
  <c r="AH89" i="1"/>
  <c r="U83" i="2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U81" i="2" l="1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9" i="2" l="1"/>
  <c r="M79" i="2"/>
  <c r="BF77" i="1"/>
  <c r="U78" i="2"/>
  <c r="BD76" i="1"/>
  <c r="AZ76" i="1"/>
  <c r="BJ82" i="1" s="1"/>
  <c r="AK76" i="1"/>
  <c r="AQ76" i="1" s="1"/>
  <c r="S77" i="2"/>
  <c r="K77" i="2"/>
  <c r="Q78" i="2" s="1"/>
  <c r="M78" i="2" l="1"/>
  <c r="BL82" i="1"/>
  <c r="BJ136" i="1"/>
  <c r="BF76" i="1"/>
  <c r="U77" i="2"/>
  <c r="S76" i="2"/>
  <c r="BD75" i="1" l="1"/>
  <c r="AZ75" i="1"/>
  <c r="AK75" i="1"/>
  <c r="AQ75" i="1" s="1"/>
  <c r="K76" i="2"/>
  <c r="Q77" i="2" l="1"/>
  <c r="M77" i="2"/>
  <c r="BF75" i="1"/>
  <c r="U76" i="2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49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BJ75" i="1" s="1"/>
  <c r="BL75" i="1" s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BF68" i="1"/>
  <c r="S68" i="2"/>
  <c r="D65" i="1"/>
  <c r="P68" i="1" s="1"/>
  <c r="K68" i="2"/>
  <c r="M69" i="2" s="1"/>
  <c r="BD67" i="1"/>
  <c r="AZ67" i="1"/>
  <c r="AK67" i="1"/>
  <c r="R68" i="1" l="1"/>
  <c r="R75" i="1"/>
  <c r="Q69" i="2"/>
  <c r="AQ67" i="1"/>
  <c r="U68" i="2"/>
  <c r="BF67" i="1"/>
  <c r="D161" i="1" l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Y19" i="3"/>
  <c r="Q66" i="2" l="1"/>
  <c r="M66" i="2"/>
  <c r="L89" i="3"/>
  <c r="I79" i="3"/>
  <c r="I81" i="3" s="1"/>
  <c r="I82" i="3" s="1"/>
  <c r="BF64" i="1"/>
  <c r="U65" i="2"/>
  <c r="S64" i="2"/>
  <c r="N81" i="3" l="1"/>
  <c r="N82" i="3" s="1"/>
  <c r="I88" i="3"/>
  <c r="L88" i="3" s="1"/>
  <c r="K64" i="2"/>
  <c r="BD63" i="1"/>
  <c r="AZ63" i="1"/>
  <c r="AK63" i="1"/>
  <c r="AQ63" i="1" s="1"/>
  <c r="Y18" i="3"/>
  <c r="Q65" i="2" l="1"/>
  <c r="M65" i="2"/>
  <c r="I90" i="3"/>
  <c r="P90" i="3" s="1"/>
  <c r="U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Y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Y16" i="3"/>
  <c r="M63" i="2" l="1"/>
  <c r="Q63" i="2"/>
  <c r="BF61" i="1"/>
  <c r="U62" i="2"/>
  <c r="S61" i="2"/>
  <c r="Y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30" i="2"/>
  <c r="S59" i="2"/>
  <c r="K60" i="2"/>
  <c r="BD59" i="1"/>
  <c r="AZ59" i="1"/>
  <c r="AK59" i="1"/>
  <c r="AQ59" i="1" s="1"/>
  <c r="Y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Y13" i="3"/>
  <c r="BD58" i="1"/>
  <c r="AZ58" i="1"/>
  <c r="AK58" i="1"/>
  <c r="AQ58" i="1" s="1"/>
  <c r="M60" i="2" l="1"/>
  <c r="Q60" i="2"/>
  <c r="U59" i="2"/>
  <c r="BF58" i="1"/>
  <c r="S58" i="2"/>
  <c r="AA11" i="3" l="1"/>
  <c r="AA10" i="3"/>
  <c r="AA9" i="3"/>
  <c r="AA8" i="3"/>
  <c r="AA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D56" i="1"/>
  <c r="AZ56" i="1"/>
  <c r="AK56" i="1"/>
  <c r="AQ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Q58" i="2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M57" i="2" l="1"/>
  <c r="I61" i="3"/>
  <c r="L61" i="3" s="1"/>
  <c r="L67" i="3"/>
  <c r="L66" i="3"/>
  <c r="L59" i="3"/>
  <c r="N51" i="3"/>
  <c r="U56" i="2"/>
  <c r="BF55" i="1"/>
  <c r="V48" i="1"/>
  <c r="AF54" i="1" s="1"/>
  <c r="S55" i="2"/>
  <c r="L52" i="7"/>
  <c r="K55" i="2"/>
  <c r="Q56" i="2" s="1"/>
  <c r="BD54" i="1"/>
  <c r="AZ54" i="1"/>
  <c r="AK54" i="1"/>
  <c r="AQ54" i="1" s="1"/>
  <c r="AH54" i="1" l="1"/>
  <c r="AH61" i="1"/>
  <c r="U55" i="2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AK52" i="1"/>
  <c r="AQ52" i="1" s="1"/>
  <c r="M54" i="2" l="1"/>
  <c r="U53" i="2"/>
  <c r="BF52" i="1"/>
  <c r="G46" i="2"/>
  <c r="AO142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Q49" i="2" s="1"/>
  <c r="K46" i="2"/>
  <c r="K43" i="2"/>
  <c r="K42" i="2"/>
  <c r="K41" i="2"/>
  <c r="Q41" i="2" s="1"/>
  <c r="K39" i="2"/>
  <c r="K35" i="2"/>
  <c r="K34" i="2"/>
  <c r="K33" i="2"/>
  <c r="Q33" i="2" s="1"/>
  <c r="G30" i="2"/>
  <c r="K30" i="2" s="1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30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Q39" i="2" l="1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W113" i="2" l="1"/>
  <c r="W114" i="2" s="1"/>
  <c r="BV14" i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87" i="1"/>
  <c r="B190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V53" i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Z35" i="1" s="1"/>
  <c r="H31" i="1"/>
  <c r="J31" i="1"/>
  <c r="AU30" i="1"/>
  <c r="AB30" i="1"/>
  <c r="AD34" i="1" l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H35" i="1" s="1"/>
  <c r="BQ55" i="1"/>
  <c r="BO56" i="1"/>
  <c r="J34" i="1"/>
  <c r="Z37" i="1"/>
  <c r="AD37" i="1" s="1"/>
  <c r="N34" i="1" l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J41" i="1" s="1"/>
  <c r="AB39" i="1"/>
  <c r="AU39" i="1"/>
  <c r="J40" i="1"/>
  <c r="N40" i="1"/>
  <c r="BQ61" i="1"/>
  <c r="BO62" i="1"/>
  <c r="Z43" i="1"/>
  <c r="AD43" i="1" s="1"/>
  <c r="AB40" i="1"/>
  <c r="AU40" i="1" l="1"/>
  <c r="H41" i="1"/>
  <c r="N41" i="1" s="1"/>
  <c r="BV92" i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l="1"/>
  <c r="H46" i="1"/>
  <c r="BV97" i="1"/>
  <c r="BM96" i="1"/>
  <c r="AW96" i="1"/>
  <c r="BM95" i="1"/>
  <c r="AW95" i="1"/>
  <c r="BO67" i="1"/>
  <c r="BQ6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V100" i="1" s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V101" i="1" l="1"/>
  <c r="BM100" i="1"/>
  <c r="AW100" i="1"/>
  <c r="BM99" i="1"/>
  <c r="AW99" i="1"/>
  <c r="BQ70" i="1"/>
  <c r="BO71" i="1"/>
  <c r="AB48" i="1"/>
  <c r="J49" i="1"/>
  <c r="N48" i="1"/>
  <c r="H49" i="1"/>
  <c r="H50" i="1" s="1"/>
  <c r="N50" i="1" s="1"/>
  <c r="Z51" i="1"/>
  <c r="BV102" i="1" l="1"/>
  <c r="AW101" i="1"/>
  <c r="BM101" i="1"/>
  <c r="AU49" i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V103" i="1" l="1"/>
  <c r="AW102" i="1"/>
  <c r="BM102" i="1"/>
  <c r="BQ73" i="1"/>
  <c r="BO74" i="1"/>
  <c r="BQ72" i="1"/>
  <c r="N51" i="1"/>
  <c r="Z53" i="1"/>
  <c r="AD52" i="1"/>
  <c r="H52" i="1"/>
  <c r="N52" i="1" s="1"/>
  <c r="J52" i="1"/>
  <c r="AB51" i="1"/>
  <c r="AU51" i="1"/>
  <c r="BV104" i="1" l="1"/>
  <c r="AW103" i="1"/>
  <c r="BM103" i="1"/>
  <c r="BQ74" i="1"/>
  <c r="BO75" i="1"/>
  <c r="Z54" i="1"/>
  <c r="AD53" i="1"/>
  <c r="AU52" i="1"/>
  <c r="H53" i="1"/>
  <c r="J53" i="1"/>
  <c r="AB52" i="1"/>
  <c r="BV105" i="1" l="1"/>
  <c r="BM104" i="1"/>
  <c r="AW104" i="1"/>
  <c r="BO76" i="1"/>
  <c r="BQ75" i="1"/>
  <c r="N53" i="1"/>
  <c r="AD54" i="1"/>
  <c r="Z55" i="1"/>
  <c r="AU53" i="1"/>
  <c r="H54" i="1"/>
  <c r="J54" i="1"/>
  <c r="AB53" i="1"/>
  <c r="BV106" i="1" l="1"/>
  <c r="BM105" i="1"/>
  <c r="AW105" i="1"/>
  <c r="BQ76" i="1"/>
  <c r="BO77" i="1"/>
  <c r="H55" i="1"/>
  <c r="J55" i="1"/>
  <c r="N54" i="1"/>
  <c r="AD55" i="1"/>
  <c r="Z56" i="1"/>
  <c r="AU54" i="1"/>
  <c r="AB54" i="1"/>
  <c r="BM106" i="1" l="1"/>
  <c r="AW106" i="1"/>
  <c r="BV107" i="1"/>
  <c r="BQ77" i="1"/>
  <c r="BO78" i="1"/>
  <c r="BO79" i="1" s="1"/>
  <c r="N55" i="1"/>
  <c r="AD56" i="1"/>
  <c r="Z57" i="1"/>
  <c r="J56" i="1"/>
  <c r="H56" i="1"/>
  <c r="AU55" i="1"/>
  <c r="AB55" i="1"/>
  <c r="BV108" i="1" l="1"/>
  <c r="BV109" i="1" s="1"/>
  <c r="AW107" i="1"/>
  <c r="BM107" i="1"/>
  <c r="BQ79" i="1"/>
  <c r="BO80" i="1"/>
  <c r="BQ78" i="1"/>
  <c r="N56" i="1"/>
  <c r="H57" i="1"/>
  <c r="AB57" i="1" s="1"/>
  <c r="J57" i="1"/>
  <c r="AD57" i="1"/>
  <c r="Z58" i="1"/>
  <c r="AU56" i="1"/>
  <c r="AB56" i="1"/>
  <c r="BV110" i="1" l="1"/>
  <c r="BM109" i="1"/>
  <c r="AW109" i="1"/>
  <c r="AW108" i="1"/>
  <c r="BM108" i="1"/>
  <c r="BQ80" i="1"/>
  <c r="BO81" i="1"/>
  <c r="AD58" i="1"/>
  <c r="Z59" i="1"/>
  <c r="Z60" i="1" s="1"/>
  <c r="AU57" i="1"/>
  <c r="N57" i="1"/>
  <c r="J58" i="1"/>
  <c r="H58" i="1"/>
  <c r="AB58" i="1" s="1"/>
  <c r="BV111" i="1" l="1"/>
  <c r="AW110" i="1"/>
  <c r="BM110" i="1"/>
  <c r="BQ81" i="1"/>
  <c r="BO82" i="1"/>
  <c r="Z61" i="1"/>
  <c r="AD60" i="1"/>
  <c r="AD59" i="1"/>
  <c r="AU58" i="1"/>
  <c r="J59" i="1"/>
  <c r="H59" i="1"/>
  <c r="N58" i="1"/>
  <c r="BV112" i="1" l="1"/>
  <c r="AW111" i="1"/>
  <c r="BM111" i="1"/>
  <c r="BO83" i="1"/>
  <c r="BO84" i="1" s="1"/>
  <c r="BQ82" i="1"/>
  <c r="Z62" i="1"/>
  <c r="AD61" i="1"/>
  <c r="J60" i="1"/>
  <c r="H60" i="1"/>
  <c r="AU59" i="1"/>
  <c r="N59" i="1"/>
  <c r="AB59" i="1"/>
  <c r="AA12" i="3"/>
  <c r="AA13" i="3"/>
  <c r="BV113" i="1" l="1"/>
  <c r="BV114" i="1" s="1"/>
  <c r="BM112" i="1"/>
  <c r="AW112" i="1"/>
  <c r="BQ84" i="1"/>
  <c r="BO85" i="1"/>
  <c r="BO86" i="1" s="1"/>
  <c r="BO87" i="1" s="1"/>
  <c r="BQ83" i="1"/>
  <c r="AD62" i="1"/>
  <c r="Z63" i="1"/>
  <c r="J61" i="1"/>
  <c r="H61" i="1"/>
  <c r="AU60" i="1"/>
  <c r="N60" i="1"/>
  <c r="AB60" i="1"/>
  <c r="BV115" i="1" l="1"/>
  <c r="BM114" i="1"/>
  <c r="AW114" i="1"/>
  <c r="BM113" i="1"/>
  <c r="AW113" i="1"/>
  <c r="BQ87" i="1"/>
  <c r="BO88" i="1"/>
  <c r="BQ86" i="1"/>
  <c r="BQ85" i="1"/>
  <c r="Z64" i="1"/>
  <c r="Z65" i="1" s="1"/>
  <c r="H62" i="1"/>
  <c r="J62" i="1"/>
  <c r="AD63" i="1"/>
  <c r="AU61" i="1"/>
  <c r="N61" i="1"/>
  <c r="AB61" i="1"/>
  <c r="BV116" i="1" l="1"/>
  <c r="AW115" i="1"/>
  <c r="BM115" i="1"/>
  <c r="BO89" i="1"/>
  <c r="BQ88" i="1"/>
  <c r="AD65" i="1"/>
  <c r="Z66" i="1"/>
  <c r="AD64" i="1"/>
  <c r="AU62" i="1"/>
  <c r="H63" i="1"/>
  <c r="J63" i="1"/>
  <c r="N62" i="1"/>
  <c r="AB62" i="1"/>
  <c r="BV117" i="1" l="1"/>
  <c r="AW116" i="1"/>
  <c r="BM116" i="1"/>
  <c r="BQ89" i="1"/>
  <c r="BO90" i="1"/>
  <c r="BO91" i="1" s="1"/>
  <c r="Z67" i="1"/>
  <c r="AD66" i="1"/>
  <c r="J64" i="1"/>
  <c r="H64" i="1"/>
  <c r="AU63" i="1"/>
  <c r="N63" i="1"/>
  <c r="AB63" i="1"/>
  <c r="AA17" i="3"/>
  <c r="AA18" i="3"/>
  <c r="AA15" i="3"/>
  <c r="AA16" i="3"/>
  <c r="AA14" i="3"/>
  <c r="BV118" i="1" l="1"/>
  <c r="AW117" i="1"/>
  <c r="BM117" i="1"/>
  <c r="BQ91" i="1"/>
  <c r="BO92" i="1"/>
  <c r="BQ90" i="1"/>
  <c r="Z68" i="1"/>
  <c r="Z69" i="1" s="1"/>
  <c r="AD67" i="1"/>
  <c r="H65" i="1"/>
  <c r="J65" i="1"/>
  <c r="AU64" i="1"/>
  <c r="N64" i="1"/>
  <c r="AB64" i="1"/>
  <c r="BV119" i="1" l="1"/>
  <c r="BM118" i="1"/>
  <c r="AW118" i="1"/>
  <c r="BQ92" i="1"/>
  <c r="BO93" i="1"/>
  <c r="Z70" i="1"/>
  <c r="Z71" i="1" s="1"/>
  <c r="AD69" i="1"/>
  <c r="AD68" i="1"/>
  <c r="AB65" i="1"/>
  <c r="J66" i="1"/>
  <c r="H66" i="1"/>
  <c r="AU65" i="1"/>
  <c r="N65" i="1"/>
  <c r="BV120" i="1" l="1"/>
  <c r="BM119" i="1"/>
  <c r="AW119" i="1"/>
  <c r="BQ93" i="1"/>
  <c r="BO94" i="1"/>
  <c r="Z72" i="1"/>
  <c r="AD71" i="1"/>
  <c r="AD70" i="1"/>
  <c r="J67" i="1"/>
  <c r="H67" i="1"/>
  <c r="AU66" i="1"/>
  <c r="N66" i="1"/>
  <c r="AB66" i="1"/>
  <c r="AA20" i="3"/>
  <c r="AA19" i="3"/>
  <c r="BV121" i="1" l="1"/>
  <c r="AW120" i="1"/>
  <c r="BM120" i="1"/>
  <c r="BO95" i="1"/>
  <c r="BO96" i="1" s="1"/>
  <c r="BQ94" i="1"/>
  <c r="Z73" i="1"/>
  <c r="AD72" i="1"/>
  <c r="H68" i="1"/>
  <c r="J68" i="1"/>
  <c r="AU67" i="1"/>
  <c r="N67" i="1"/>
  <c r="AB67" i="1"/>
  <c r="BM121" i="1" l="1"/>
  <c r="AW121" i="1"/>
  <c r="BQ96" i="1"/>
  <c r="BO97" i="1"/>
  <c r="BQ95" i="1"/>
  <c r="Z74" i="1"/>
  <c r="AD73" i="1"/>
  <c r="J69" i="1"/>
  <c r="H69" i="1"/>
  <c r="AU68" i="1"/>
  <c r="N68" i="1"/>
  <c r="AB68" i="1"/>
  <c r="BO98" i="1" l="1"/>
  <c r="BQ97" i="1"/>
  <c r="Z75" i="1"/>
  <c r="AD74" i="1"/>
  <c r="J70" i="1"/>
  <c r="H70" i="1"/>
  <c r="AU69" i="1"/>
  <c r="AB69" i="1"/>
  <c r="N69" i="1"/>
  <c r="AA22" i="3"/>
  <c r="AA21" i="3"/>
  <c r="BO99" i="1" l="1"/>
  <c r="BO100" i="1" s="1"/>
  <c r="BQ98" i="1"/>
  <c r="Z76" i="1"/>
  <c r="AD75" i="1"/>
  <c r="H71" i="1"/>
  <c r="J71" i="1"/>
  <c r="N70" i="1"/>
  <c r="AU70" i="1"/>
  <c r="AB70" i="1"/>
  <c r="BQ100" i="1" l="1"/>
  <c r="BO101" i="1"/>
  <c r="BQ99" i="1"/>
  <c r="Z77" i="1"/>
  <c r="AD76" i="1"/>
  <c r="AU71" i="1"/>
  <c r="H72" i="1"/>
  <c r="AB71" i="1"/>
  <c r="N71" i="1"/>
  <c r="J72" i="1"/>
  <c r="AA24" i="3"/>
  <c r="AA23" i="3"/>
  <c r="BO102" i="1" l="1"/>
  <c r="BQ101" i="1"/>
  <c r="AD77" i="1"/>
  <c r="Z78" i="1"/>
  <c r="Z79" i="1" s="1"/>
  <c r="J73" i="1"/>
  <c r="H73" i="1"/>
  <c r="AU72" i="1"/>
  <c r="AB72" i="1"/>
  <c r="N72" i="1"/>
  <c r="BO103" i="1" l="1"/>
  <c r="BQ102" i="1"/>
  <c r="AD79" i="1"/>
  <c r="Z80" i="1"/>
  <c r="AD78" i="1"/>
  <c r="J74" i="1"/>
  <c r="H74" i="1"/>
  <c r="AU73" i="1"/>
  <c r="AB73" i="1"/>
  <c r="N73" i="1"/>
  <c r="AA26" i="3"/>
  <c r="AA25" i="3"/>
  <c r="BQ103" i="1" l="1"/>
  <c r="BO104" i="1"/>
  <c r="AD80" i="1"/>
  <c r="Z81" i="1"/>
  <c r="AU74" i="1"/>
  <c r="J75" i="1"/>
  <c r="H75" i="1"/>
  <c r="AB74" i="1"/>
  <c r="N74" i="1"/>
  <c r="BO105" i="1" l="1"/>
  <c r="BQ104" i="1"/>
  <c r="AD81" i="1"/>
  <c r="Z82" i="1"/>
  <c r="Z83" i="1" s="1"/>
  <c r="Z84" i="1" s="1"/>
  <c r="AU75" i="1"/>
  <c r="J76" i="1"/>
  <c r="H76" i="1"/>
  <c r="AB75" i="1"/>
  <c r="N75" i="1"/>
  <c r="AA30" i="3"/>
  <c r="AA31" i="3"/>
  <c r="AA28" i="3"/>
  <c r="AA29" i="3"/>
  <c r="BO106" i="1" l="1"/>
  <c r="BQ105" i="1"/>
  <c r="AD84" i="1"/>
  <c r="Z85" i="1"/>
  <c r="Z86" i="1" s="1"/>
  <c r="Z87" i="1" s="1"/>
  <c r="AD83" i="1"/>
  <c r="AD82" i="1"/>
  <c r="AU76" i="1"/>
  <c r="J77" i="1"/>
  <c r="H77" i="1"/>
  <c r="N76" i="1"/>
  <c r="AB76" i="1"/>
  <c r="AA27" i="3"/>
  <c r="BQ106" i="1" l="1"/>
  <c r="BO107" i="1"/>
  <c r="AD87" i="1"/>
  <c r="Z88" i="1"/>
  <c r="AD86" i="1"/>
  <c r="AD85" i="1"/>
  <c r="H78" i="1"/>
  <c r="J78" i="1"/>
  <c r="N77" i="1"/>
  <c r="AU77" i="1"/>
  <c r="AB77" i="1"/>
  <c r="BO108" i="1" l="1"/>
  <c r="BO109" i="1" s="1"/>
  <c r="BQ107" i="1"/>
  <c r="Z89" i="1"/>
  <c r="AD88" i="1"/>
  <c r="J79" i="1"/>
  <c r="H79" i="1"/>
  <c r="AU78" i="1"/>
  <c r="N78" i="1"/>
  <c r="AB78" i="1"/>
  <c r="BQ109" i="1" l="1"/>
  <c r="BO110" i="1"/>
  <c r="BQ108" i="1"/>
  <c r="AD89" i="1"/>
  <c r="Z90" i="1"/>
  <c r="Z91" i="1" s="1"/>
  <c r="N79" i="1"/>
  <c r="J80" i="1"/>
  <c r="H80" i="1"/>
  <c r="AB79" i="1"/>
  <c r="AU79" i="1"/>
  <c r="AA32" i="3"/>
  <c r="BO111" i="1" l="1"/>
  <c r="BO112" i="1" s="1"/>
  <c r="BQ110" i="1"/>
  <c r="Z92" i="1"/>
  <c r="AD91" i="1"/>
  <c r="AD90" i="1"/>
  <c r="H81" i="1"/>
  <c r="J81" i="1"/>
  <c r="AU80" i="1"/>
  <c r="N80" i="1"/>
  <c r="AB80" i="1"/>
  <c r="BQ112" i="1" l="1"/>
  <c r="BO113" i="1"/>
  <c r="BO114" i="1" s="1"/>
  <c r="BO115" i="1" s="1"/>
  <c r="BQ111" i="1"/>
  <c r="Z93" i="1"/>
  <c r="Z94" i="1" s="1"/>
  <c r="AD92" i="1"/>
  <c r="N81" i="1"/>
  <c r="H82" i="1"/>
  <c r="J82" i="1"/>
  <c r="AB81" i="1"/>
  <c r="AU81" i="1"/>
  <c r="AA36" i="3"/>
  <c r="AA34" i="3"/>
  <c r="AA35" i="3"/>
  <c r="AA33" i="3"/>
  <c r="BO116" i="1" l="1"/>
  <c r="BQ115" i="1"/>
  <c r="BQ114" i="1"/>
  <c r="BQ113" i="1"/>
  <c r="Z95" i="1"/>
  <c r="Z96" i="1" s="1"/>
  <c r="AD94" i="1"/>
  <c r="AD93" i="1"/>
  <c r="J83" i="1"/>
  <c r="H83" i="1"/>
  <c r="AU82" i="1"/>
  <c r="N82" i="1"/>
  <c r="AB82" i="1"/>
  <c r="BQ116" i="1" l="1"/>
  <c r="BO117" i="1"/>
  <c r="Z97" i="1"/>
  <c r="AD96" i="1"/>
  <c r="AD95" i="1"/>
  <c r="J84" i="1"/>
  <c r="H84" i="1"/>
  <c r="AU83" i="1"/>
  <c r="N83" i="1"/>
  <c r="AB83" i="1"/>
  <c r="BQ117" i="1" l="1"/>
  <c r="BO118" i="1"/>
  <c r="AD97" i="1"/>
  <c r="Z98" i="1"/>
  <c r="AU84" i="1"/>
  <c r="J85" i="1"/>
  <c r="H85" i="1"/>
  <c r="N84" i="1"/>
  <c r="AB84" i="1"/>
  <c r="BO119" i="1" l="1"/>
  <c r="BO120" i="1" s="1"/>
  <c r="BQ118" i="1"/>
  <c r="Z99" i="1"/>
  <c r="Z100" i="1" s="1"/>
  <c r="AD98" i="1"/>
  <c r="H86" i="1"/>
  <c r="J86" i="1"/>
  <c r="AU85" i="1"/>
  <c r="N85" i="1"/>
  <c r="AB85" i="1"/>
  <c r="AA39" i="3"/>
  <c r="AA38" i="3"/>
  <c r="AA37" i="3"/>
  <c r="BO121" i="1" l="1"/>
  <c r="BQ120" i="1"/>
  <c r="BQ119" i="1"/>
  <c r="AD100" i="1"/>
  <c r="Z101" i="1"/>
  <c r="AD99" i="1"/>
  <c r="J87" i="1"/>
  <c r="H87" i="1"/>
  <c r="AU86" i="1"/>
  <c r="N86" i="1"/>
  <c r="AB86" i="1"/>
  <c r="BQ121" i="1" l="1"/>
  <c r="AD101" i="1"/>
  <c r="Z102" i="1"/>
  <c r="AU87" i="1"/>
  <c r="J88" i="1"/>
  <c r="H88" i="1"/>
  <c r="N87" i="1"/>
  <c r="AB87" i="1"/>
  <c r="Z103" i="1" l="1"/>
  <c r="AD102" i="1"/>
  <c r="AU88" i="1"/>
  <c r="J89" i="1"/>
  <c r="H89" i="1"/>
  <c r="N88" i="1"/>
  <c r="AB88" i="1"/>
  <c r="AA45" i="3"/>
  <c r="AA43" i="3"/>
  <c r="AA44" i="3"/>
  <c r="AA41" i="3"/>
  <c r="AA42" i="3"/>
  <c r="AA40" i="3"/>
  <c r="AD103" i="1" l="1"/>
  <c r="Z104" i="1"/>
  <c r="J90" i="1"/>
  <c r="H90" i="1"/>
  <c r="N89" i="1"/>
  <c r="AU89" i="1"/>
  <c r="AB89" i="1"/>
  <c r="AD104" i="1" l="1"/>
  <c r="Z105" i="1"/>
  <c r="J91" i="1"/>
  <c r="H91" i="1"/>
  <c r="AU90" i="1"/>
  <c r="N90" i="1"/>
  <c r="AB90" i="1"/>
  <c r="Z106" i="1" l="1"/>
  <c r="AD105" i="1"/>
  <c r="N91" i="1"/>
  <c r="H92" i="1"/>
  <c r="J92" i="1"/>
  <c r="AU91" i="1"/>
  <c r="AB91" i="1"/>
  <c r="Z107" i="1" l="1"/>
  <c r="Z108" i="1" s="1"/>
  <c r="Z109" i="1" s="1"/>
  <c r="AD106" i="1"/>
  <c r="Y108" i="3"/>
  <c r="Y109" i="3" s="1"/>
  <c r="N92" i="1"/>
  <c r="H93" i="1"/>
  <c r="J93" i="1"/>
  <c r="AB92" i="1"/>
  <c r="AU92" i="1"/>
  <c r="Z110" i="1" l="1"/>
  <c r="AD109" i="1"/>
  <c r="AD108" i="1"/>
  <c r="AD107" i="1"/>
  <c r="H94" i="1"/>
  <c r="J94" i="1"/>
  <c r="N93" i="1"/>
  <c r="AU93" i="1"/>
  <c r="AB93" i="1"/>
  <c r="AA46" i="3"/>
  <c r="Z111" i="1" l="1"/>
  <c r="Z112" i="1" s="1"/>
  <c r="AD110" i="1"/>
  <c r="H95" i="1"/>
  <c r="J95" i="1"/>
  <c r="N94" i="1"/>
  <c r="AU94" i="1"/>
  <c r="AB94" i="1"/>
  <c r="Z113" i="1" l="1"/>
  <c r="Z114" i="1" s="1"/>
  <c r="AD112" i="1"/>
  <c r="AD111" i="1"/>
  <c r="J96" i="1"/>
  <c r="H96" i="1"/>
  <c r="N95" i="1"/>
  <c r="AU95" i="1"/>
  <c r="AB95" i="1"/>
  <c r="AA48" i="3"/>
  <c r="AA49" i="3"/>
  <c r="AA47" i="3"/>
  <c r="Z115" i="1" l="1"/>
  <c r="AD114" i="1"/>
  <c r="AD113" i="1"/>
  <c r="AU96" i="1"/>
  <c r="H97" i="1"/>
  <c r="J97" i="1"/>
  <c r="N96" i="1"/>
  <c r="AB96" i="1"/>
  <c r="Z116" i="1" l="1"/>
  <c r="AD115" i="1"/>
  <c r="N97" i="1"/>
  <c r="H98" i="1"/>
  <c r="J98" i="1"/>
  <c r="AU97" i="1"/>
  <c r="AB97" i="1"/>
  <c r="Z117" i="1" l="1"/>
  <c r="AD116" i="1"/>
  <c r="J99" i="1"/>
  <c r="H99" i="1"/>
  <c r="N98" i="1"/>
  <c r="AU98" i="1"/>
  <c r="AB98" i="1"/>
  <c r="AA53" i="3"/>
  <c r="AA51" i="3"/>
  <c r="AA52" i="3"/>
  <c r="AA50" i="3"/>
  <c r="AD117" i="1" l="1"/>
  <c r="Z118" i="1"/>
  <c r="H100" i="1"/>
  <c r="J100" i="1"/>
  <c r="N99" i="1"/>
  <c r="AU99" i="1"/>
  <c r="AB99" i="1"/>
  <c r="AD118" i="1" l="1"/>
  <c r="Z119" i="1"/>
  <c r="AU100" i="1"/>
  <c r="J101" i="1"/>
  <c r="H101" i="1"/>
  <c r="N100" i="1"/>
  <c r="AB100" i="1"/>
  <c r="Z120" i="1" l="1"/>
  <c r="AD119" i="1"/>
  <c r="N101" i="1"/>
  <c r="J102" i="1"/>
  <c r="H102" i="1"/>
  <c r="AU101" i="1"/>
  <c r="AB101" i="1"/>
  <c r="AD120" i="1" l="1"/>
  <c r="Z121" i="1"/>
  <c r="N102" i="1"/>
  <c r="J103" i="1"/>
  <c r="H103" i="1"/>
  <c r="AU102" i="1"/>
  <c r="AB102" i="1"/>
  <c r="AA59" i="3"/>
  <c r="AA60" i="3"/>
  <c r="AA57" i="3"/>
  <c r="AA58" i="3"/>
  <c r="AA55" i="3"/>
  <c r="AA56" i="3"/>
  <c r="AA54" i="3"/>
  <c r="AD121" i="1" l="1"/>
  <c r="J104" i="1"/>
  <c r="H104" i="1"/>
  <c r="AU103" i="1"/>
  <c r="N103" i="1"/>
  <c r="AB103" i="1"/>
  <c r="I21" i="3" l="1"/>
  <c r="I35" i="3" s="1"/>
  <c r="AD49" i="2"/>
  <c r="AD51" i="2" s="1"/>
  <c r="AD53" i="2" s="1"/>
  <c r="AD55" i="2" s="1"/>
  <c r="AD57" i="2" s="1"/>
  <c r="AJ21" i="2"/>
  <c r="N104" i="1"/>
  <c r="H105" i="1"/>
  <c r="J105" i="1"/>
  <c r="AU104" i="1"/>
  <c r="AB104" i="1"/>
  <c r="N105" i="1" l="1"/>
  <c r="J106" i="1"/>
  <c r="H106" i="1"/>
  <c r="H107" i="1" s="1"/>
  <c r="AU105" i="1"/>
  <c r="AB105" i="1"/>
  <c r="AU106" i="1" l="1"/>
  <c r="J107" i="1"/>
  <c r="N106" i="1"/>
  <c r="W108" i="3"/>
  <c r="W109" i="3" s="1"/>
  <c r="AB106" i="1"/>
  <c r="J108" i="1" l="1"/>
  <c r="H108" i="1"/>
  <c r="N107" i="1"/>
  <c r="AU107" i="1"/>
  <c r="AB107" i="1"/>
  <c r="H109" i="1" l="1"/>
  <c r="J109" i="1"/>
  <c r="AU108" i="1"/>
  <c r="N108" i="1"/>
  <c r="AB108" i="1"/>
  <c r="N109" i="1" l="1"/>
  <c r="J110" i="1"/>
  <c r="H110" i="1"/>
  <c r="I23" i="3" s="1"/>
  <c r="I25" i="3" s="1"/>
  <c r="I27" i="3" s="1"/>
  <c r="AB109" i="1"/>
  <c r="AU109" i="1"/>
  <c r="N27" i="3" l="1"/>
  <c r="N28" i="3" s="1"/>
  <c r="I34" i="3"/>
  <c r="N110" i="1"/>
  <c r="J111" i="1"/>
  <c r="H111" i="1"/>
  <c r="AB110" i="1"/>
  <c r="AU110" i="1"/>
  <c r="AA65" i="3"/>
  <c r="AA63" i="3"/>
  <c r="AA64" i="3"/>
  <c r="AA62" i="3"/>
  <c r="J112" i="1" l="1"/>
  <c r="H112" i="1"/>
  <c r="N111" i="1"/>
  <c r="AB111" i="1"/>
  <c r="AU111" i="1"/>
  <c r="AU112" i="1" l="1"/>
  <c r="J113" i="1"/>
  <c r="H113" i="1"/>
  <c r="N112" i="1"/>
  <c r="AB112" i="1"/>
  <c r="H114" i="1" l="1"/>
  <c r="J114" i="1"/>
  <c r="N113" i="1"/>
  <c r="AU113" i="1"/>
  <c r="AB113" i="1"/>
  <c r="H115" i="1" l="1"/>
  <c r="J115" i="1"/>
  <c r="N114" i="1"/>
  <c r="AU114" i="1"/>
  <c r="AB114" i="1"/>
  <c r="AA67" i="3"/>
  <c r="AA66" i="3"/>
  <c r="N115" i="1" l="1"/>
  <c r="J116" i="1"/>
  <c r="AU115" i="1"/>
  <c r="H116" i="1"/>
  <c r="AB115" i="1"/>
  <c r="N116" i="1" l="1"/>
  <c r="J117" i="1"/>
  <c r="H117" i="1"/>
  <c r="AB116" i="1"/>
  <c r="AU116" i="1"/>
  <c r="AA71" i="3"/>
  <c r="AA72" i="3"/>
  <c r="AA69" i="3"/>
  <c r="AA70" i="3"/>
  <c r="AA68" i="3"/>
  <c r="AU117" i="1" l="1"/>
  <c r="H118" i="1"/>
  <c r="J118" i="1"/>
  <c r="AB117" i="1"/>
  <c r="N117" i="1"/>
  <c r="H119" i="1" l="1"/>
  <c r="J119" i="1"/>
  <c r="N118" i="1"/>
  <c r="AB118" i="1"/>
  <c r="AU118" i="1"/>
  <c r="H120" i="1" l="1"/>
  <c r="J120" i="1"/>
  <c r="N119" i="1"/>
  <c r="AU119" i="1"/>
  <c r="AB119" i="1"/>
  <c r="N120" i="1" l="1"/>
  <c r="J121" i="1"/>
  <c r="T14" i="7" s="1"/>
  <c r="H121" i="1"/>
  <c r="AU120" i="1"/>
  <c r="AB120" i="1"/>
  <c r="N121" i="1" l="1"/>
  <c r="AU121" i="1"/>
  <c r="AB121" i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AA75" i="3"/>
  <c r="AA76" i="3"/>
  <c r="AA73" i="3"/>
  <c r="AA74" i="3"/>
  <c r="P38" i="7" l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I32" i="3"/>
  <c r="AF21" i="2"/>
  <c r="L34" i="3" l="1"/>
  <c r="I36" i="3"/>
  <c r="I28" i="3"/>
  <c r="L32" i="3"/>
  <c r="L35" i="3"/>
  <c r="AA78" i="3" l="1"/>
  <c r="W79" i="3"/>
  <c r="AA79" i="3" s="1"/>
  <c r="AA77" i="3"/>
  <c r="L36" i="3"/>
  <c r="Y79" i="3" s="1"/>
  <c r="Y12" i="3" l="1"/>
</calcChain>
</file>

<file path=xl/sharedStrings.xml><?xml version="1.0" encoding="utf-8"?>
<sst xmlns="http://schemas.openxmlformats.org/spreadsheetml/2006/main" count="281" uniqueCount="159">
  <si>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</si>
  <si>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</si>
  <si>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</si>
  <si>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</si>
  <si>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</si>
  <si>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</si>
  <si>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</si>
  <si>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</si>
  <si>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</si>
  <si>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</si>
  <si>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</si>
  <si>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</si>
  <si>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</si>
  <si>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</si>
  <si>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</si>
  <si>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</si>
  <si>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</si>
  <si>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</si>
  <si>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</si>
  <si>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</si>
  <si>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</si>
  <si>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</si>
  <si>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</si>
  <si>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</si>
  <si>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</si>
  <si>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</si>
  <si>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</si>
  <si>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</si>
  <si>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</si>
  <si>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</si>
  <si>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</si>
  <si>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</si>
  <si>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</si>
  <si>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</si>
  <si>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</si>
  <si>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</si>
  <si>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</si>
  <si>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</si>
  <si>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</si>
  <si>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</si>
  <si>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</si>
  <si>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</si>
  <si>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</si>
  <si>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</si>
  <si>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</si>
  <si>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</si>
  <si>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</si>
  <si>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</si>
  <si>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</si>
  <si>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</si>
  <si>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</si>
  <si>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</si>
  <si>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</si>
  <si>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</si>
  <si>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</si>
  <si>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</si>
  <si>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</si>
  <si>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</si>
  <si>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</si>
  <si>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</si>
  <si>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</si>
  <si>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</si>
  <si>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</si>
  <si>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</si>
  <si>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</si>
  <si>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</si>
  <si>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</si>
  <si>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</si>
  <si>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</si>
  <si>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</si>
  <si>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</si>
  <si>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</si>
  <si>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</si>
  <si>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</si>
  <si>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</si>
  <si>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</si>
  <si>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</si>
  <si>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</si>
  <si>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</si>
  <si>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</si>
  <si>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</si>
  <si>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</si>
  <si>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</si>
  <si>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</si>
  <si>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</si>
  <si>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</si>
  <si>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</si>
  <si>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</si>
  <si>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</si>
  <si>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</si>
  <si>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</si>
  <si>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</si>
  <si>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</si>
  <si>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</si>
  <si>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</si>
  <si>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</si>
  <si>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</si>
  <si>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</si>
  <si>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</si>
  <si>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</si>
  <si>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</si>
  <si>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</si>
  <si>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</si>
  <si>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</si>
  <si>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</si>
  <si>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</si>
  <si>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</si>
  <si>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</si>
  <si>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</si>
  <si>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</si>
  <si>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</si>
  <si>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</si>
  <si>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</si>
  <si>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</si>
  <si>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</si>
  <si>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</si>
  <si>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</si>
  <si>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</si>
  <si>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</si>
  <si>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</si>
  <si>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</si>
  <si>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</si>
  <si>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</si>
  <si>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</si>
  <si>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</si>
  <si>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</si>
  <si>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</si>
  <si>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</si>
  <si>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</si>
  <si>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</si>
  <si>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</si>
  <si>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</si>
  <si>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</si>
  <si>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</si>
  <si>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</si>
  <si>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</si>
  <si>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</si>
  <si>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</si>
  <si>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</si>
  <si>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</si>
  <si>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</si>
  <si>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</si>
  <si>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</si>
  <si>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</si>
  <si>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</si>
  <si>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</si>
  <si>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</si>
  <si>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</si>
  <si>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</si>
  <si>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</si>
  <si>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</si>
  <si>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</si>
  <si>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</si>
  <si>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</si>
  <si>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</si>
  <si>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7/5 -7/12</t>
  </si>
  <si>
    <t>Time Frame</t>
  </si>
  <si>
    <t>US COVID Death Rates</t>
  </si>
  <si>
    <t>6/13 - 7/12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</si>
</sst>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6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7" fontId="0" fillId="13" borderId="0" xfId="0" applyNumberForma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0" fontId="0" fillId="13" borderId="23" xfId="0" applyFont="1" applyFill="1" applyBorder="1" applyAlignment="1">
      <alignment horizontal="center"/>
    </xf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165" fontId="1" fillId="13" borderId="0" xfId="2" applyNumberFormat="1" applyFont="1" applyFill="1" applyBorder="1" applyAlignment="1">
      <alignment horizontal="right"/>
    </xf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Table'!$BJ$40:$BJ$124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136</xdr:row>
      <xdr:rowOff>0</xdr:rowOff>
    </xdr:from>
    <xdr:to>
      <xdr:col>53</xdr:col>
      <xdr:colOff>160020</xdr:colOff>
      <xdr:row>136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137</xdr:row>
      <xdr:rowOff>0</xdr:rowOff>
    </xdr:from>
    <xdr:to>
      <xdr:col>53</xdr:col>
      <xdr:colOff>160020</xdr:colOff>
      <xdr:row>137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146</xdr:row>
      <xdr:rowOff>99060</xdr:rowOff>
    </xdr:from>
    <xdr:to>
      <xdr:col>21</xdr:col>
      <xdr:colOff>274320</xdr:colOff>
      <xdr:row>148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146</xdr:row>
      <xdr:rowOff>129540</xdr:rowOff>
    </xdr:from>
    <xdr:to>
      <xdr:col>22</xdr:col>
      <xdr:colOff>38100</xdr:colOff>
      <xdr:row>148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426720</xdr:colOff>
      <xdr:row>13</xdr:row>
      <xdr:rowOff>91440</xdr:rowOff>
    </xdr:from>
    <xdr:to>
      <xdr:col>88</xdr:col>
      <xdr:colOff>518160</xdr:colOff>
      <xdr:row>31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79</xdr:col>
      <xdr:colOff>91440</xdr:colOff>
      <xdr:row>26</xdr:row>
      <xdr:rowOff>160020</xdr:rowOff>
    </xdr:from>
    <xdr:to>
      <xdr:col>89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77</xdr:col>
      <xdr:colOff>160020</xdr:colOff>
      <xdr:row>4</xdr:row>
      <xdr:rowOff>99060</xdr:rowOff>
    </xdr:from>
    <xdr:to>
      <xdr:col>89</xdr:col>
      <xdr:colOff>304800</xdr:colOff>
      <xdr:row>22</xdr:row>
      <xdr:rowOff>38100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104</xdr:row>
      <xdr:rowOff>0</xdr:rowOff>
    </xdr:from>
    <xdr:to>
      <xdr:col>70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23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104</xdr:row>
      <xdr:rowOff>0</xdr:rowOff>
    </xdr:from>
    <xdr:to>
      <xdr:col>59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104</xdr:row>
      <xdr:rowOff>0</xdr:rowOff>
    </xdr:from>
    <xdr:to>
      <xdr:col>44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104</xdr:row>
      <xdr:rowOff>0</xdr:rowOff>
    </xdr:from>
    <xdr:to>
      <xdr:col>38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105</xdr:row>
      <xdr:rowOff>0</xdr:rowOff>
    </xdr:from>
    <xdr:to>
      <xdr:col>59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105</xdr:row>
      <xdr:rowOff>0</xdr:rowOff>
    </xdr:from>
    <xdr:to>
      <xdr:col>44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105</xdr:row>
      <xdr:rowOff>0</xdr:rowOff>
    </xdr:from>
    <xdr:to>
      <xdr:col>23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105</xdr:row>
      <xdr:rowOff>0</xdr:rowOff>
    </xdr:from>
    <xdr:to>
      <xdr:col>38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105</xdr:row>
      <xdr:rowOff>0</xdr:rowOff>
    </xdr:from>
    <xdr:to>
      <xdr:col>70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106</xdr:row>
      <xdr:rowOff>0</xdr:rowOff>
    </xdr:from>
    <xdr:to>
      <xdr:col>23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106</xdr:row>
      <xdr:rowOff>0</xdr:rowOff>
    </xdr:from>
    <xdr:to>
      <xdr:col>70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106</xdr:row>
      <xdr:rowOff>0</xdr:rowOff>
    </xdr:from>
    <xdr:to>
      <xdr:col>38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106</xdr:row>
      <xdr:rowOff>0</xdr:rowOff>
    </xdr:from>
    <xdr:to>
      <xdr:col>44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107</xdr:row>
      <xdr:rowOff>0</xdr:rowOff>
    </xdr:from>
    <xdr:to>
      <xdr:col>38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107</xdr:row>
      <xdr:rowOff>0</xdr:rowOff>
    </xdr:from>
    <xdr:to>
      <xdr:col>44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107</xdr:row>
      <xdr:rowOff>0</xdr:rowOff>
    </xdr:from>
    <xdr:to>
      <xdr:col>23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107</xdr:row>
      <xdr:rowOff>0</xdr:rowOff>
    </xdr:from>
    <xdr:to>
      <xdr:col>59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107</xdr:row>
      <xdr:rowOff>0</xdr:rowOff>
    </xdr:from>
    <xdr:to>
      <xdr:col>70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108</xdr:row>
      <xdr:rowOff>0</xdr:rowOff>
    </xdr:from>
    <xdr:to>
      <xdr:col>23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108</xdr:row>
      <xdr:rowOff>0</xdr:rowOff>
    </xdr:from>
    <xdr:to>
      <xdr:col>44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108</xdr:row>
      <xdr:rowOff>0</xdr:rowOff>
    </xdr:from>
    <xdr:to>
      <xdr:col>38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108</xdr:row>
      <xdr:rowOff>0</xdr:rowOff>
    </xdr:from>
    <xdr:to>
      <xdr:col>59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108</xdr:row>
      <xdr:rowOff>0</xdr:rowOff>
    </xdr:from>
    <xdr:to>
      <xdr:col>70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109</xdr:row>
      <xdr:rowOff>0</xdr:rowOff>
    </xdr:from>
    <xdr:to>
      <xdr:col>23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109</xdr:row>
      <xdr:rowOff>0</xdr:rowOff>
    </xdr:from>
    <xdr:to>
      <xdr:col>70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109</xdr:row>
      <xdr:rowOff>0</xdr:rowOff>
    </xdr:from>
    <xdr:to>
      <xdr:col>59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38</xdr:col>
      <xdr:colOff>0</xdr:colOff>
      <xdr:row>109</xdr:row>
      <xdr:rowOff>0</xdr:rowOff>
    </xdr:from>
    <xdr:to>
      <xdr:col>38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109</xdr:row>
      <xdr:rowOff>0</xdr:rowOff>
    </xdr:from>
    <xdr:to>
      <xdr:col>44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110</xdr:row>
      <xdr:rowOff>0</xdr:rowOff>
    </xdr:from>
    <xdr:to>
      <xdr:col>23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110</xdr:row>
      <xdr:rowOff>0</xdr:rowOff>
    </xdr:from>
    <xdr:to>
      <xdr:col>38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110</xdr:row>
      <xdr:rowOff>0</xdr:rowOff>
    </xdr:from>
    <xdr:to>
      <xdr:col>44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110</xdr:row>
      <xdr:rowOff>0</xdr:rowOff>
    </xdr:from>
    <xdr:to>
      <xdr:col>59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110</xdr:row>
      <xdr:rowOff>0</xdr:rowOff>
    </xdr:from>
    <xdr:to>
      <xdr:col>70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111</xdr:row>
      <xdr:rowOff>0</xdr:rowOff>
    </xdr:from>
    <xdr:to>
      <xdr:col>38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111</xdr:row>
      <xdr:rowOff>0</xdr:rowOff>
    </xdr:from>
    <xdr:to>
      <xdr:col>44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111</xdr:row>
      <xdr:rowOff>0</xdr:rowOff>
    </xdr:from>
    <xdr:to>
      <xdr:col>59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111</xdr:row>
      <xdr:rowOff>0</xdr:rowOff>
    </xdr:from>
    <xdr:to>
      <xdr:col>70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112</xdr:row>
      <xdr:rowOff>0</xdr:rowOff>
    </xdr:from>
    <xdr:to>
      <xdr:col>44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113</xdr:row>
      <xdr:rowOff>0</xdr:rowOff>
    </xdr:from>
    <xdr:to>
      <xdr:col>44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112</xdr:row>
      <xdr:rowOff>0</xdr:rowOff>
    </xdr:from>
    <xdr:to>
      <xdr:col>23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112</xdr:row>
      <xdr:rowOff>0</xdr:rowOff>
    </xdr:from>
    <xdr:to>
      <xdr:col>38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112</xdr:row>
      <xdr:rowOff>0</xdr:rowOff>
    </xdr:from>
    <xdr:to>
      <xdr:col>59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112</xdr:row>
      <xdr:rowOff>0</xdr:rowOff>
    </xdr:from>
    <xdr:to>
      <xdr:col>70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114</xdr:row>
      <xdr:rowOff>0</xdr:rowOff>
    </xdr:from>
    <xdr:to>
      <xdr:col>23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114</xdr:row>
      <xdr:rowOff>0</xdr:rowOff>
    </xdr:from>
    <xdr:to>
      <xdr:col>38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114</xdr:row>
      <xdr:rowOff>0</xdr:rowOff>
    </xdr:from>
    <xdr:to>
      <xdr:col>59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113</xdr:row>
      <xdr:rowOff>0</xdr:rowOff>
    </xdr:from>
    <xdr:to>
      <xdr:col>38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113</xdr:row>
      <xdr:rowOff>0</xdr:rowOff>
    </xdr:from>
    <xdr:to>
      <xdr:col>59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113</xdr:row>
      <xdr:rowOff>0</xdr:rowOff>
    </xdr:from>
    <xdr:to>
      <xdr:col>70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114</xdr:row>
      <xdr:rowOff>0</xdr:rowOff>
    </xdr:from>
    <xdr:to>
      <xdr:col>70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115</xdr:row>
      <xdr:rowOff>0</xdr:rowOff>
    </xdr:from>
    <xdr:to>
      <xdr:col>59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115</xdr:row>
      <xdr:rowOff>0</xdr:rowOff>
    </xdr:from>
    <xdr:to>
      <xdr:col>70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115</xdr:row>
      <xdr:rowOff>0</xdr:rowOff>
    </xdr:from>
    <xdr:to>
      <xdr:col>23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115</xdr:row>
      <xdr:rowOff>0</xdr:rowOff>
    </xdr:from>
    <xdr:to>
      <xdr:col>38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116</xdr:row>
      <xdr:rowOff>0</xdr:rowOff>
    </xdr:from>
    <xdr:to>
      <xdr:col>59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116</xdr:row>
      <xdr:rowOff>0</xdr:rowOff>
    </xdr:from>
    <xdr:to>
      <xdr:col>70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116</xdr:row>
      <xdr:rowOff>0</xdr:rowOff>
    </xdr:from>
    <xdr:to>
      <xdr:col>23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116</xdr:row>
      <xdr:rowOff>0</xdr:rowOff>
    </xdr:from>
    <xdr:to>
      <xdr:col>38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117</xdr:row>
      <xdr:rowOff>0</xdr:rowOff>
    </xdr:from>
    <xdr:to>
      <xdr:col>38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117</xdr:row>
      <xdr:rowOff>0</xdr:rowOff>
    </xdr:from>
    <xdr:to>
      <xdr:col>59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117</xdr:row>
      <xdr:rowOff>0</xdr:rowOff>
    </xdr:from>
    <xdr:to>
      <xdr:col>70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118</xdr:row>
      <xdr:rowOff>0</xdr:rowOff>
    </xdr:from>
    <xdr:to>
      <xdr:col>23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118</xdr:row>
      <xdr:rowOff>0</xdr:rowOff>
    </xdr:from>
    <xdr:to>
      <xdr:col>59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118</xdr:row>
      <xdr:rowOff>0</xdr:rowOff>
    </xdr:from>
    <xdr:to>
      <xdr:col>70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118</xdr:row>
      <xdr:rowOff>0</xdr:rowOff>
    </xdr:from>
    <xdr:to>
      <xdr:col>38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119</xdr:row>
      <xdr:rowOff>0</xdr:rowOff>
    </xdr:from>
    <xdr:to>
      <xdr:col>70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119</xdr:row>
      <xdr:rowOff>0</xdr:rowOff>
    </xdr:from>
    <xdr:to>
      <xdr:col>23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119</xdr:row>
      <xdr:rowOff>0</xdr:rowOff>
    </xdr:from>
    <xdr:to>
      <xdr:col>38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119</xdr:row>
      <xdr:rowOff>0</xdr:rowOff>
    </xdr:from>
    <xdr:to>
      <xdr:col>59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120</xdr:row>
      <xdr:rowOff>0</xdr:rowOff>
    </xdr:from>
    <xdr:to>
      <xdr:col>59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120</xdr:row>
      <xdr:rowOff>0</xdr:rowOff>
    </xdr:from>
    <xdr:to>
      <xdr:col>23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120</xdr:row>
      <xdr:rowOff>0</xdr:rowOff>
    </xdr:from>
    <xdr:to>
      <xdr:col>38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120</xdr:row>
      <xdr:rowOff>0</xdr:rowOff>
    </xdr:from>
    <xdr:to>
      <xdr:col>70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121</xdr:row>
      <xdr:rowOff>0</xdr:rowOff>
    </xdr:from>
    <xdr:to>
      <xdr:col>44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121</xdr:row>
      <xdr:rowOff>0</xdr:rowOff>
    </xdr:from>
    <xdr:to>
      <xdr:col>44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121</xdr:row>
      <xdr:rowOff>0</xdr:rowOff>
    </xdr:from>
    <xdr:to>
      <xdr:col>59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121</xdr:row>
      <xdr:rowOff>0</xdr:rowOff>
    </xdr:from>
    <xdr:to>
      <xdr:col>70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121</xdr:row>
      <xdr:rowOff>0</xdr:rowOff>
    </xdr:from>
    <xdr:to>
      <xdr:col>23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121</xdr:row>
      <xdr:rowOff>0</xdr:rowOff>
    </xdr:from>
    <xdr:to>
      <xdr:col>38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122</xdr:row>
      <xdr:rowOff>0</xdr:rowOff>
    </xdr:from>
    <xdr:to>
      <xdr:col>44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122</xdr:row>
      <xdr:rowOff>0</xdr:rowOff>
    </xdr:from>
    <xdr:to>
      <xdr:col>44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122</xdr:row>
      <xdr:rowOff>0</xdr:rowOff>
    </xdr:from>
    <xdr:to>
      <xdr:col>59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122</xdr:row>
      <xdr:rowOff>0</xdr:rowOff>
    </xdr:from>
    <xdr:to>
      <xdr:col>70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122</xdr:row>
      <xdr:rowOff>0</xdr:rowOff>
    </xdr:from>
    <xdr:to>
      <xdr:col>23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122</xdr:row>
      <xdr:rowOff>0</xdr:rowOff>
    </xdr:from>
    <xdr:to>
      <xdr:col>38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123</xdr:row>
      <xdr:rowOff>0</xdr:rowOff>
    </xdr:from>
    <xdr:to>
      <xdr:col>44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123</xdr:row>
      <xdr:rowOff>0</xdr:rowOff>
    </xdr:from>
    <xdr:to>
      <xdr:col>44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123</xdr:row>
      <xdr:rowOff>0</xdr:rowOff>
    </xdr:from>
    <xdr:to>
      <xdr:col>70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123</xdr:row>
      <xdr:rowOff>0</xdr:rowOff>
    </xdr:from>
    <xdr:to>
      <xdr:col>23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123</xdr:row>
      <xdr:rowOff>0</xdr:rowOff>
    </xdr:from>
    <xdr:to>
      <xdr:col>38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123</xdr:row>
      <xdr:rowOff>0</xdr:rowOff>
    </xdr:from>
    <xdr:to>
      <xdr:col>59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15240</xdr:colOff>
      <xdr:row>27</xdr:row>
      <xdr:rowOff>15240</xdr:rowOff>
    </xdr:from>
    <xdr:to>
      <xdr:col>12</xdr:col>
      <xdr:colOff>129540</xdr:colOff>
      <xdr:row>27</xdr:row>
      <xdr:rowOff>160020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4655820" y="521208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15240</xdr:colOff>
      <xdr:row>32</xdr:row>
      <xdr:rowOff>15240</xdr:rowOff>
    </xdr:from>
    <xdr:to>
      <xdr:col>34</xdr:col>
      <xdr:colOff>121920</xdr:colOff>
      <xdr:row>32</xdr:row>
      <xdr:rowOff>144780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180820" y="618744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207"/>
  <sheetViews>
    <sheetView tabSelected="1" zoomScaleNormal="100" workbookViewId="0">
      <selection activeCell="BB141" sqref="BB141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9.77734375" hidden="1" customWidth="1" outlineLevel="1"/>
    <col min="33" max="33" width="10.33203125" hidden="1" customWidth="1" outlineLevel="1"/>
    <col min="34" max="34" width="8.109375" hidden="1" customWidth="1" outlineLevel="1"/>
    <col min="35" max="35" width="2.21875" hidden="1" customWidth="1" outlineLevel="1"/>
    <col min="36" max="36" width="3.5546875" customWidth="1" collapsed="1"/>
    <col min="37" max="37" width="9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10.21875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2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7.77734375" customWidth="1"/>
    <col min="59" max="59" width="1.109375" customWidth="1"/>
    <col min="60" max="60" width="3.88671875" customWidth="1"/>
    <col min="61" max="61" width="1.44140625" hidden="1" customWidth="1" outlineLevel="1"/>
    <col min="62" max="62" width="15.10937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27" t="s">
        <v>5</v>
      </c>
      <c r="C1" s="527"/>
      <c r="D1" s="527"/>
    </row>
    <row r="2" spans="2:89" ht="15.6" x14ac:dyDescent="0.3">
      <c r="B2" s="527" t="s">
        <v>6</v>
      </c>
      <c r="C2" s="527"/>
      <c r="D2" s="527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30" t="s">
        <v>13</v>
      </c>
      <c r="C3" s="530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28" t="s">
        <v>11</v>
      </c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B4" s="529"/>
      <c r="AC4" s="11"/>
      <c r="AD4" s="326"/>
      <c r="AE4" s="448"/>
      <c r="AF4" s="448"/>
      <c r="AG4" s="448"/>
      <c r="AH4" s="448"/>
      <c r="AI4" s="12"/>
      <c r="AK4" s="510" t="s">
        <v>14</v>
      </c>
      <c r="AL4" s="511"/>
      <c r="AM4" s="511"/>
      <c r="AN4" s="511"/>
      <c r="AO4" s="511"/>
      <c r="AP4" s="511"/>
      <c r="AQ4" s="511"/>
      <c r="AR4" s="511"/>
      <c r="AS4" s="511"/>
      <c r="AT4" s="511"/>
      <c r="AU4" s="511"/>
      <c r="AV4" s="511"/>
      <c r="AW4" s="511"/>
      <c r="AX4" s="511"/>
      <c r="AY4" s="511"/>
      <c r="AZ4" s="511"/>
      <c r="BA4" s="511"/>
      <c r="BB4" s="511"/>
      <c r="BC4" s="511"/>
      <c r="BD4" s="511"/>
      <c r="BE4" s="511"/>
      <c r="BF4" s="511"/>
      <c r="BG4" s="511"/>
      <c r="BH4" s="511"/>
      <c r="BI4" s="511"/>
      <c r="BJ4" s="511"/>
      <c r="BK4" s="511"/>
      <c r="BL4" s="511"/>
      <c r="BM4" s="511"/>
      <c r="BN4" s="511"/>
      <c r="BO4" s="511"/>
      <c r="BP4" s="511"/>
      <c r="BQ4" s="511"/>
      <c r="BR4" s="511"/>
      <c r="BS4" s="511"/>
      <c r="BT4" s="512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4" t="s">
        <v>7</v>
      </c>
      <c r="E6" s="335"/>
      <c r="F6" s="531" t="s">
        <v>12</v>
      </c>
      <c r="G6" s="531"/>
      <c r="H6" s="531"/>
      <c r="I6" s="531"/>
      <c r="J6" s="531"/>
      <c r="K6" s="531"/>
      <c r="L6" s="531"/>
      <c r="M6" s="336"/>
      <c r="N6" s="336"/>
      <c r="O6" s="337"/>
      <c r="P6" s="537" t="s">
        <v>124</v>
      </c>
      <c r="Q6" s="531"/>
      <c r="R6" s="531"/>
      <c r="S6" s="531"/>
      <c r="T6" s="538"/>
      <c r="U6" s="3"/>
      <c r="V6" s="8" t="s">
        <v>7</v>
      </c>
      <c r="W6" s="30"/>
      <c r="X6" s="532">
        <v>1.2500000000000001E-2</v>
      </c>
      <c r="Y6" s="532"/>
      <c r="Z6" s="532"/>
      <c r="AA6" s="532"/>
      <c r="AB6" s="532"/>
      <c r="AC6" s="532"/>
      <c r="AD6" s="532"/>
      <c r="AE6" s="532"/>
      <c r="AF6" s="532"/>
      <c r="AG6" s="532"/>
      <c r="AH6" s="532"/>
      <c r="AI6" s="533"/>
      <c r="AJ6" s="3"/>
      <c r="AK6" s="519" t="s">
        <v>27</v>
      </c>
      <c r="AL6" s="520"/>
      <c r="AM6" s="520"/>
      <c r="AN6" s="520"/>
      <c r="AO6" s="520"/>
      <c r="AP6" s="520"/>
      <c r="AQ6" s="520"/>
      <c r="AR6" s="520"/>
      <c r="AS6" s="520"/>
      <c r="AT6" s="520"/>
      <c r="AU6" s="520"/>
      <c r="AV6" s="520"/>
      <c r="AW6" s="520"/>
      <c r="AX6" s="521"/>
      <c r="AY6" s="3"/>
      <c r="AZ6" s="522" t="s">
        <v>7</v>
      </c>
      <c r="BA6" s="514"/>
      <c r="BB6" s="514"/>
      <c r="BC6" s="97"/>
      <c r="BD6" s="513" t="s">
        <v>26</v>
      </c>
      <c r="BE6" s="513"/>
      <c r="BF6" s="513"/>
      <c r="BG6" s="513"/>
      <c r="BH6" s="513"/>
      <c r="BI6" s="513"/>
      <c r="BJ6" s="513"/>
      <c r="BK6" s="513"/>
      <c r="BL6" s="513"/>
      <c r="BM6" s="513"/>
      <c r="BN6" s="513"/>
      <c r="BO6" s="513"/>
      <c r="BP6" s="513"/>
      <c r="BQ6" s="514"/>
      <c r="BR6" s="514"/>
      <c r="BS6" s="514"/>
      <c r="BT6" s="515"/>
      <c r="BU6" s="3"/>
    </row>
    <row r="7" spans="2:89" ht="16.2" x14ac:dyDescent="0.3">
      <c r="D7" s="516" t="s">
        <v>20</v>
      </c>
      <c r="E7" s="517"/>
      <c r="F7" s="517"/>
      <c r="G7" s="517"/>
      <c r="H7" s="517"/>
      <c r="I7" s="517"/>
      <c r="J7" s="517"/>
      <c r="K7" s="466"/>
      <c r="L7" s="466"/>
      <c r="M7" s="466"/>
      <c r="N7" s="466"/>
      <c r="O7" s="467"/>
      <c r="P7" s="449"/>
      <c r="Q7" s="450"/>
      <c r="R7" s="450"/>
      <c r="S7" s="450"/>
      <c r="T7" s="338"/>
      <c r="U7" s="3"/>
      <c r="V7" s="534" t="s">
        <v>35</v>
      </c>
      <c r="W7" s="535"/>
      <c r="X7" s="535"/>
      <c r="Y7" s="535"/>
      <c r="Z7" s="535"/>
      <c r="AA7" s="535"/>
      <c r="AB7" s="535"/>
      <c r="AC7" s="535"/>
      <c r="AD7" s="535"/>
      <c r="AE7" s="535"/>
      <c r="AF7" s="535"/>
      <c r="AG7" s="535"/>
      <c r="AH7" s="535"/>
      <c r="AI7" s="536"/>
      <c r="AJ7" s="3"/>
      <c r="AK7" s="516" t="s">
        <v>76</v>
      </c>
      <c r="AL7" s="517"/>
      <c r="AM7" s="517"/>
      <c r="AN7" s="517"/>
      <c r="AO7" s="517"/>
      <c r="AP7" s="517"/>
      <c r="AQ7" s="517"/>
      <c r="AR7" s="517"/>
      <c r="AS7" s="517"/>
      <c r="AT7" s="517"/>
      <c r="AU7" s="517"/>
      <c r="AV7" s="517"/>
      <c r="AW7" s="517"/>
      <c r="AX7" s="518"/>
      <c r="AZ7" s="516" t="s">
        <v>25</v>
      </c>
      <c r="BA7" s="517"/>
      <c r="BB7" s="517"/>
      <c r="BC7" s="517"/>
      <c r="BD7" s="517"/>
      <c r="BE7" s="517"/>
      <c r="BF7" s="517"/>
      <c r="BG7" s="517"/>
      <c r="BH7" s="517"/>
      <c r="BI7" s="517"/>
      <c r="BJ7" s="517"/>
      <c r="BK7" s="517"/>
      <c r="BL7" s="517"/>
      <c r="BM7" s="517"/>
      <c r="BN7" s="517"/>
      <c r="BO7" s="517"/>
      <c r="BP7" s="517"/>
      <c r="BQ7" s="517"/>
      <c r="BR7" s="517"/>
      <c r="BS7" s="517"/>
      <c r="BT7" s="518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9"/>
      <c r="N8" s="332" t="s">
        <v>115</v>
      </c>
      <c r="O8" s="339"/>
      <c r="P8" s="453" t="s">
        <v>1</v>
      </c>
      <c r="Q8" s="329"/>
      <c r="R8" s="53" t="s">
        <v>79</v>
      </c>
      <c r="S8" s="329"/>
      <c r="T8" s="339"/>
      <c r="V8" s="456" t="s">
        <v>1</v>
      </c>
      <c r="W8" s="457"/>
      <c r="X8" s="458" t="s">
        <v>15</v>
      </c>
      <c r="Y8" s="457"/>
      <c r="Z8" s="459" t="s">
        <v>2</v>
      </c>
      <c r="AA8" s="457"/>
      <c r="AB8" s="460" t="s">
        <v>3</v>
      </c>
      <c r="AC8" s="457"/>
      <c r="AD8" s="461" t="s">
        <v>115</v>
      </c>
      <c r="AE8" s="462"/>
      <c r="AF8" s="456" t="s">
        <v>1</v>
      </c>
      <c r="AG8" s="455"/>
      <c r="AH8" s="461" t="s">
        <v>125</v>
      </c>
      <c r="AI8" s="48"/>
      <c r="AK8" s="20" t="s">
        <v>1</v>
      </c>
      <c r="AL8" s="327"/>
      <c r="AM8" s="345" t="s">
        <v>15</v>
      </c>
      <c r="AN8" s="327"/>
      <c r="AO8" s="73" t="s">
        <v>2</v>
      </c>
      <c r="AP8" s="327"/>
      <c r="AQ8" s="328" t="s">
        <v>3</v>
      </c>
      <c r="AR8" s="327"/>
      <c r="AS8" s="345" t="s">
        <v>15</v>
      </c>
      <c r="AT8" s="327"/>
      <c r="AU8" s="346" t="s">
        <v>16</v>
      </c>
      <c r="AV8" s="343"/>
      <c r="AW8" s="347" t="s">
        <v>115</v>
      </c>
      <c r="AX8" s="348"/>
      <c r="AZ8" s="508" t="s">
        <v>1</v>
      </c>
      <c r="BA8" s="509"/>
      <c r="BB8" s="509"/>
      <c r="BC8" s="64"/>
      <c r="BD8" s="509" t="s">
        <v>24</v>
      </c>
      <c r="BE8" s="509"/>
      <c r="BF8" s="509"/>
      <c r="BG8" s="509"/>
      <c r="BH8" s="523"/>
      <c r="BI8" s="524" t="s">
        <v>124</v>
      </c>
      <c r="BJ8" s="525"/>
      <c r="BK8" s="525"/>
      <c r="BL8" s="526"/>
      <c r="BM8" s="508" t="s">
        <v>24</v>
      </c>
      <c r="BN8" s="509"/>
      <c r="BO8" s="509"/>
      <c r="BP8" s="64"/>
      <c r="BQ8" s="105"/>
      <c r="BR8" s="465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49"/>
      <c r="AZ9" s="451" t="s">
        <v>36</v>
      </c>
      <c r="BA9" s="64"/>
      <c r="BB9" s="98" t="s">
        <v>2</v>
      </c>
      <c r="BC9" s="65"/>
      <c r="BD9" s="452" t="s">
        <v>36</v>
      </c>
      <c r="BE9" s="64"/>
      <c r="BF9" s="63" t="s">
        <v>10</v>
      </c>
      <c r="BG9" s="156"/>
      <c r="BH9" s="463" t="s">
        <v>15</v>
      </c>
      <c r="BI9" s="64"/>
      <c r="BJ9" s="452" t="s">
        <v>126</v>
      </c>
      <c r="BK9" s="64"/>
      <c r="BL9" s="63" t="s">
        <v>10</v>
      </c>
      <c r="BM9" s="464" t="s">
        <v>115</v>
      </c>
      <c r="BN9" s="64"/>
      <c r="BO9" s="104" t="s">
        <v>2</v>
      </c>
      <c r="BP9" s="353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49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7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4"/>
      <c r="Q11" s="60"/>
      <c r="R11" s="60"/>
      <c r="S11" s="60"/>
      <c r="T11" s="42"/>
      <c r="U11" s="478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49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1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4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2">
        <f t="shared" ref="AU12:AU43" si="9">+AO12/H12</f>
        <v>5.2977767195452243E-3</v>
      </c>
      <c r="AV12" s="342"/>
      <c r="AW12" s="24">
        <f t="shared" ref="AW12:AW43" si="10">+AO12/BV12</f>
        <v>59.333333333333336</v>
      </c>
      <c r="AX12" s="350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4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2">
        <f t="shared" si="9"/>
        <v>6.740238078917906E-3</v>
      </c>
      <c r="AV13" s="342"/>
      <c r="AW13" s="24">
        <f t="shared" si="10"/>
        <v>73.75</v>
      </c>
      <c r="AX13" s="352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4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2">
        <f t="shared" si="9"/>
        <v>6.8907685576782849E-3</v>
      </c>
      <c r="AV14" s="342"/>
      <c r="AW14" s="24">
        <f t="shared" si="10"/>
        <v>75.599999999999994</v>
      </c>
      <c r="AX14" s="352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4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2">
        <f t="shared" si="9"/>
        <v>5.7761944554397381E-3</v>
      </c>
      <c r="AV15" s="342"/>
      <c r="AW15" s="24">
        <f t="shared" si="10"/>
        <v>65.666666666666671</v>
      </c>
      <c r="AX15" s="352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4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2">
        <f t="shared" si="9"/>
        <v>2.1864575408205068E-2</v>
      </c>
      <c r="AV16" s="342"/>
      <c r="AW16" s="24">
        <f t="shared" si="10"/>
        <v>266.85714285714283</v>
      </c>
      <c r="AX16" s="352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4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2">
        <f t="shared" si="9"/>
        <v>2.4220655744002458E-2</v>
      </c>
      <c r="AV17" s="342"/>
      <c r="AW17" s="24">
        <f t="shared" si="10"/>
        <v>315.25</v>
      </c>
      <c r="AX17" s="352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7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4"/>
      <c r="Q18" s="60"/>
      <c r="R18" s="60"/>
      <c r="S18" s="60"/>
      <c r="T18" s="42"/>
      <c r="U18" s="478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2">
        <f t="shared" si="9"/>
        <v>2.6145430416417162E-2</v>
      </c>
      <c r="AV18" s="342"/>
      <c r="AW18" s="24">
        <f t="shared" si="10"/>
        <v>359</v>
      </c>
      <c r="AX18" s="352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4"/>
      <c r="Q19" s="60"/>
      <c r="R19" s="60"/>
      <c r="S19" s="60"/>
      <c r="T19" s="42"/>
      <c r="U19" s="392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2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2">
        <f t="shared" si="9"/>
        <v>3.1772027513920734E-2</v>
      </c>
      <c r="AV19" s="342"/>
      <c r="AW19" s="24">
        <f t="shared" si="10"/>
        <v>455.9</v>
      </c>
      <c r="AX19" s="352"/>
      <c r="AY19" s="392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4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2">
        <f t="shared" si="9"/>
        <v>3.3605136593344888E-2</v>
      </c>
      <c r="AV20" s="342"/>
      <c r="AW20" s="24">
        <f t="shared" si="10"/>
        <v>500.54545454545456</v>
      </c>
      <c r="AX20" s="352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4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2">
        <f t="shared" si="9"/>
        <v>3.8449301644872896E-2</v>
      </c>
      <c r="AV21" s="342"/>
      <c r="AW21" s="24">
        <f t="shared" si="10"/>
        <v>604.25</v>
      </c>
      <c r="AX21" s="352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4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2">
        <f t="shared" si="9"/>
        <v>4.1281694790731849E-2</v>
      </c>
      <c r="AV22" s="342"/>
      <c r="AW22" s="24">
        <f t="shared" si="10"/>
        <v>682.92307692307691</v>
      </c>
      <c r="AX22" s="352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4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2">
        <f t="shared" si="9"/>
        <v>4.2482552465115141E-2</v>
      </c>
      <c r="AV23" s="342"/>
      <c r="AW23" s="24">
        <f t="shared" si="10"/>
        <v>743.07142857142856</v>
      </c>
      <c r="AX23" s="352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0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4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0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2">
        <f t="shared" si="9"/>
        <v>4.3789874441355278E-2</v>
      </c>
      <c r="AV24" s="342"/>
      <c r="AW24" s="24">
        <f t="shared" si="10"/>
        <v>815.86666666666667</v>
      </c>
      <c r="AX24" s="352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7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8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2">
        <f t="shared" si="9"/>
        <v>4.726349918862998E-2</v>
      </c>
      <c r="AV25" s="342"/>
      <c r="AW25" s="24">
        <f t="shared" si="10"/>
        <v>926.5625</v>
      </c>
      <c r="AX25" s="352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2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2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2">
        <f t="shared" si="9"/>
        <v>5.3032157954823696E-2</v>
      </c>
      <c r="AV26" s="342"/>
      <c r="AW26" s="24">
        <f t="shared" si="10"/>
        <v>1057.4705882352941</v>
      </c>
      <c r="AX26" s="352"/>
      <c r="AY26" s="392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2">
        <f t="shared" si="9"/>
        <v>5.3137147379880227E-2</v>
      </c>
      <c r="AV27" s="342"/>
      <c r="AW27" s="24">
        <f t="shared" si="10"/>
        <v>1092.8333333333333</v>
      </c>
      <c r="AX27" s="352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2">
        <f t="shared" si="9"/>
        <v>5.3694633757212257E-2</v>
      </c>
      <c r="AV28" s="342"/>
      <c r="AW28" s="24">
        <f t="shared" si="10"/>
        <v>1140.7368421052631</v>
      </c>
      <c r="AX28" s="352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2">
        <f t="shared" si="9"/>
        <v>5.2551952762702372E-2</v>
      </c>
      <c r="AV29" s="342"/>
      <c r="AW29" s="24">
        <f t="shared" si="10"/>
        <v>1144.55</v>
      </c>
      <c r="AX29" s="352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2">
        <f t="shared" si="9"/>
        <v>5.5268969398282755E-2</v>
      </c>
      <c r="AV30" s="342"/>
      <c r="AW30" s="24">
        <f t="shared" si="10"/>
        <v>1234.6666666666667</v>
      </c>
      <c r="AX30" s="352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2">
        <f t="shared" si="9"/>
        <v>5.4315576802233555E-2</v>
      </c>
      <c r="AV31" s="342"/>
      <c r="AW31" s="24">
        <f t="shared" si="10"/>
        <v>1241.5454545454545</v>
      </c>
      <c r="AX31" s="352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7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8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2">
        <f t="shared" si="9"/>
        <v>5.7148058001910376E-2</v>
      </c>
      <c r="AV32" s="342"/>
      <c r="AW32" s="24">
        <f t="shared" si="10"/>
        <v>1324.0434782608695</v>
      </c>
      <c r="AX32" s="352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2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2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2">
        <f t="shared" si="9"/>
        <v>5.8243797965375689E-2</v>
      </c>
      <c r="AV33" s="342"/>
      <c r="AW33" s="24">
        <f t="shared" si="10"/>
        <v>1359.75</v>
      </c>
      <c r="AX33" s="352"/>
      <c r="AY33" s="392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2">
        <f t="shared" si="9"/>
        <v>6.1767707486783167E-2</v>
      </c>
      <c r="AV34" s="342"/>
      <c r="AW34" s="24">
        <f t="shared" si="10"/>
        <v>1450.16</v>
      </c>
      <c r="AX34" s="352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1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24763.538461538461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+Z34+V35+3778+317+73+3+2024</f>
        <v>32242</v>
      </c>
      <c r="AA35" s="341" t="s">
        <v>68</v>
      </c>
      <c r="AB35" s="46">
        <f t="shared" si="4"/>
        <v>5.0076725707150091E-2</v>
      </c>
      <c r="AC35" s="33"/>
      <c r="AD35" s="33">
        <f t="shared" si="5"/>
        <v>1240.0769230769231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2">
        <f t="shared" si="9"/>
        <v>6.0293359343451598E-2</v>
      </c>
      <c r="AV35" s="342"/>
      <c r="AW35" s="24">
        <f t="shared" si="10"/>
        <v>1493.0769230769231</v>
      </c>
      <c r="AX35" s="352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>
        <f t="shared" si="2"/>
        <v>24970.14814814815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34860</v>
      </c>
      <c r="AA36" s="33"/>
      <c r="AB36" s="46">
        <f t="shared" si="4"/>
        <v>5.1706185459971465E-2</v>
      </c>
      <c r="AC36" s="33"/>
      <c r="AD36" s="33">
        <f t="shared" si="5"/>
        <v>1291.1111111111111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2">
        <f t="shared" si="9"/>
        <v>7.2235884626680152E-2</v>
      </c>
      <c r="AV36" s="342"/>
      <c r="AW36" s="24">
        <f t="shared" si="10"/>
        <v>1803.7407407407406</v>
      </c>
      <c r="AX36" s="352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>
        <f t="shared" si="2"/>
        <v>25134.321428571428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37036</v>
      </c>
      <c r="AA37" s="33"/>
      <c r="AB37" s="46">
        <f t="shared" si="4"/>
        <v>5.2625820413464232E-2</v>
      </c>
      <c r="AC37" s="33"/>
      <c r="AD37" s="33">
        <f t="shared" si="5"/>
        <v>1322.7142857142858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2">
        <f t="shared" si="9"/>
        <v>8.1715241395871607E-2</v>
      </c>
      <c r="AV37" s="342"/>
      <c r="AW37" s="24">
        <f t="shared" si="10"/>
        <v>2053.8571428571427</v>
      </c>
      <c r="AX37" s="352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>
        <f t="shared" si="2"/>
        <v>25376.758620689656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39564</v>
      </c>
      <c r="AA38" s="33"/>
      <c r="AB38" s="46">
        <f t="shared" si="4"/>
        <v>5.3760840084465016E-2</v>
      </c>
      <c r="AC38" s="33"/>
      <c r="AD38" s="33">
        <f t="shared" si="5"/>
        <v>1364.2758620689656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2">
        <f t="shared" si="9"/>
        <v>8.2222940893513743E-2</v>
      </c>
      <c r="AV38" s="342"/>
      <c r="AW38" s="24">
        <f t="shared" si="10"/>
        <v>2086.5517241379312</v>
      </c>
      <c r="AX38" s="352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6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>
        <f t="shared" si="2"/>
        <v>25499.433333333334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41431</v>
      </c>
      <c r="AA39" s="33"/>
      <c r="AB39" s="46">
        <f t="shared" si="4"/>
        <v>5.415937347627333E-2</v>
      </c>
      <c r="AC39" s="33"/>
      <c r="AD39" s="33">
        <f t="shared" si="5"/>
        <v>1381.0333333333333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2">
        <f t="shared" si="9"/>
        <v>8.9242506042617936E-2</v>
      </c>
      <c r="AV39" s="342"/>
      <c r="AW39" s="24">
        <f t="shared" si="10"/>
        <v>2275.6333333333332</v>
      </c>
      <c r="AX39" s="352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1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>
        <f t="shared" si="2"/>
        <v>25521.483870967742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2"/>
      <c r="V40" s="34">
        <v>1570</v>
      </c>
      <c r="W40" s="33"/>
      <c r="X40" s="33"/>
      <c r="Y40" s="33"/>
      <c r="Z40" s="33">
        <f t="shared" si="19"/>
        <v>43001</v>
      </c>
      <c r="AA40" s="33"/>
      <c r="AB40" s="46">
        <f t="shared" si="4"/>
        <v>5.435142561737992E-2</v>
      </c>
      <c r="AC40" s="33"/>
      <c r="AD40" s="33">
        <f t="shared" si="5"/>
        <v>1387.1290322580646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2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2">
        <f t="shared" si="9"/>
        <v>8.9744756473357043E-2</v>
      </c>
      <c r="AV40" s="342"/>
      <c r="AW40" s="24">
        <f t="shared" si="10"/>
        <v>2290.4193548387098</v>
      </c>
      <c r="AX40" s="352"/>
      <c r="AY40" s="392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>
        <f t="shared" si="2"/>
        <v>25603.40625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44953</v>
      </c>
      <c r="AA41" s="33"/>
      <c r="AB41" s="46">
        <f t="shared" si="4"/>
        <v>5.4866967163792905E-2</v>
      </c>
      <c r="AC41" s="33"/>
      <c r="AD41" s="33">
        <f t="shared" si="5"/>
        <v>1404.78125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2">
        <f t="shared" si="9"/>
        <v>8.8353722466126938E-2</v>
      </c>
      <c r="AV41" s="342"/>
      <c r="AW41" s="24">
        <f t="shared" si="10"/>
        <v>2262.15625</v>
      </c>
      <c r="AX41" s="352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>
        <f t="shared" ref="N42:N68" si="22">+H42/BV42</f>
        <v>25618.60606060606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47636</v>
      </c>
      <c r="AA42" s="33"/>
      <c r="AB42" s="46">
        <f t="shared" ref="AB42:AB68" si="23">+Z42/H42</f>
        <v>5.6346358115668772E-2</v>
      </c>
      <c r="AC42" s="33"/>
      <c r="AD42" s="33">
        <f t="shared" ref="AD42:AD68" si="24">+Z42/BV42</f>
        <v>1443.5151515151515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2">
        <f t="shared" si="9"/>
        <v>9.8085671635435426E-2</v>
      </c>
      <c r="AV42" s="342"/>
      <c r="AW42" s="24">
        <f t="shared" si="10"/>
        <v>2512.818181818182</v>
      </c>
      <c r="AX42" s="352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>
        <f t="shared" si="22"/>
        <v>25753.647058823528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49994</v>
      </c>
      <c r="AA43" s="33"/>
      <c r="AB43" s="46">
        <f t="shared" si="23"/>
        <v>5.7095282906818451E-2</v>
      </c>
      <c r="AC43" s="33"/>
      <c r="AD43" s="33">
        <f t="shared" si="24"/>
        <v>1470.4117647058824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2">
        <f t="shared" si="9"/>
        <v>9.5988689209066905E-2</v>
      </c>
      <c r="AV43" s="342"/>
      <c r="AW43" s="24">
        <f t="shared" si="10"/>
        <v>2472.0588235294117</v>
      </c>
      <c r="AX43" s="352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>
        <f t="shared" si="22"/>
        <v>25929.257142857143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52334</v>
      </c>
      <c r="AA44" s="33"/>
      <c r="AB44" s="46">
        <f t="shared" si="23"/>
        <v>5.7666794486977757E-2</v>
      </c>
      <c r="AC44" s="33"/>
      <c r="AD44" s="33">
        <f t="shared" si="24"/>
        <v>1495.2571428571428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2">
        <f t="shared" ref="AU44:AU68" si="25">+AO44/H44</f>
        <v>9.4677385942410333E-2</v>
      </c>
      <c r="AV44" s="342"/>
      <c r="AW44" s="24">
        <f t="shared" ref="AW44:AW68" si="26">+AO44/BV44</f>
        <v>2454.9142857142856</v>
      </c>
      <c r="AX44" s="352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>
        <f t="shared" si="22"/>
        <v>26285.777777777777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54291</v>
      </c>
      <c r="AA45" s="33"/>
      <c r="AB45" s="46">
        <f t="shared" si="23"/>
        <v>5.737259692609438E-2</v>
      </c>
      <c r="AC45" s="33"/>
      <c r="AD45" s="33">
        <f t="shared" si="24"/>
        <v>1508.0833333333333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2">
        <f t="shared" si="25"/>
        <v>0.11670020120724346</v>
      </c>
      <c r="AV45" s="342"/>
      <c r="AW45" s="24">
        <f t="shared" si="26"/>
        <v>3067.5555555555557</v>
      </c>
      <c r="AX45" s="352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7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>
        <f t="shared" si="22"/>
        <v>26532.62162162162</v>
      </c>
      <c r="O46" s="41"/>
      <c r="P46" s="17"/>
      <c r="Q46" s="16"/>
      <c r="R46" s="60"/>
      <c r="S46" s="16"/>
      <c r="T46" s="41"/>
      <c r="U46" s="478"/>
      <c r="V46" s="34">
        <v>2065</v>
      </c>
      <c r="W46" s="33"/>
      <c r="X46" s="33"/>
      <c r="Y46" s="33"/>
      <c r="Z46" s="33">
        <f t="shared" si="19"/>
        <v>56356</v>
      </c>
      <c r="AA46" s="33"/>
      <c r="AB46" s="46">
        <f t="shared" si="23"/>
        <v>5.740613034235266E-2</v>
      </c>
      <c r="AC46" s="33"/>
      <c r="AD46" s="33">
        <f t="shared" si="24"/>
        <v>1523.1351351351352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2">
        <f t="shared" si="25"/>
        <v>0.12036381527278506</v>
      </c>
      <c r="AV46" s="342"/>
      <c r="AW46" s="24">
        <f t="shared" si="26"/>
        <v>3193.5675675675675</v>
      </c>
      <c r="AX46" s="352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1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>
        <f t="shared" si="22"/>
        <v>26532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2"/>
      <c r="V47" s="34">
        <v>1156</v>
      </c>
      <c r="W47" s="33"/>
      <c r="X47" s="33"/>
      <c r="Y47" s="33"/>
      <c r="Z47" s="33">
        <f t="shared" si="19"/>
        <v>57512</v>
      </c>
      <c r="AA47" s="33"/>
      <c r="AB47" s="46">
        <f t="shared" si="23"/>
        <v>5.7043331984416037E-2</v>
      </c>
      <c r="AC47" s="33"/>
      <c r="AD47" s="33">
        <f t="shared" si="24"/>
        <v>1513.4736842105262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2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2">
        <f t="shared" si="25"/>
        <v>0.1178130479976513</v>
      </c>
      <c r="AV47" s="342"/>
      <c r="AW47" s="24">
        <f t="shared" si="26"/>
        <v>3125.8157894736842</v>
      </c>
      <c r="AX47" s="352"/>
      <c r="AY47" s="392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>
        <f t="shared" si="22"/>
        <v>26446.461538461539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58895</v>
      </c>
      <c r="AA48" s="33"/>
      <c r="AB48" s="46">
        <f t="shared" si="23"/>
        <v>5.7101332930002753E-2</v>
      </c>
      <c r="AC48" s="33"/>
      <c r="AD48" s="33">
        <f t="shared" si="24"/>
        <v>1510.1282051282051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2">
        <f t="shared" si="25"/>
        <v>0.13360810229084014</v>
      </c>
      <c r="AV48" s="342"/>
      <c r="AW48" s="24">
        <f t="shared" si="26"/>
        <v>3533.4615384615386</v>
      </c>
      <c r="AX48" s="352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>
        <f t="shared" si="22"/>
        <v>26420.525000000001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61365</v>
      </c>
      <c r="AA49" s="33"/>
      <c r="AB49" s="46">
        <f t="shared" si="23"/>
        <v>5.8065651609875278E-2</v>
      </c>
      <c r="AC49" s="33"/>
      <c r="AD49" s="33">
        <f t="shared" si="24"/>
        <v>1534.125</v>
      </c>
      <c r="AE49" s="50"/>
      <c r="AF49" s="33"/>
      <c r="AG49" s="232">
        <f>+AG51/AG50</f>
        <v>6.194382152455194E-2</v>
      </c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2">
        <f t="shared" si="25"/>
        <v>0.13431886762280462</v>
      </c>
      <c r="AV49" s="342"/>
      <c r="AW49" s="24">
        <f t="shared" si="26"/>
        <v>3548.7750000000001</v>
      </c>
      <c r="AX49" s="352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>
        <f t="shared" si="22"/>
        <v>26469.512195121952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63755</v>
      </c>
      <c r="AA50" s="33"/>
      <c r="AB50" s="46">
        <f t="shared" si="23"/>
        <v>5.8746832527067493E-2</v>
      </c>
      <c r="AC50" s="33"/>
      <c r="AD50" s="33">
        <f t="shared" si="24"/>
        <v>1555</v>
      </c>
      <c r="AE50" s="50"/>
      <c r="AF50" s="33"/>
      <c r="AG50" s="33">
        <f>SUM(D22:D51)</f>
        <v>898992</v>
      </c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2">
        <f t="shared" si="25"/>
        <v>0.13583137525915687</v>
      </c>
      <c r="AV50" s="342"/>
      <c r="AW50" s="24">
        <f t="shared" si="26"/>
        <v>3595.3902439024391</v>
      </c>
      <c r="AX50" s="352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>
        <f t="shared" si="22"/>
        <v>26573.309523809523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65956</v>
      </c>
      <c r="AA51" s="33"/>
      <c r="AB51" s="46">
        <f t="shared" si="23"/>
        <v>5.909617509154818E-2</v>
      </c>
      <c r="AC51" s="33"/>
      <c r="AD51" s="33">
        <f t="shared" si="24"/>
        <v>1570.3809523809523</v>
      </c>
      <c r="AE51" s="50"/>
      <c r="AF51" s="33"/>
      <c r="AG51" s="33">
        <f>SUM(V22:V51)</f>
        <v>55687</v>
      </c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2">
        <f t="shared" si="25"/>
        <v>0.1364813781103309</v>
      </c>
      <c r="AV51" s="342"/>
      <c r="AW51" s="24">
        <f t="shared" si="26"/>
        <v>3626.7619047619046</v>
      </c>
      <c r="AX51" s="352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>
        <f t="shared" si="22"/>
        <v>26792.697674418603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67853</v>
      </c>
      <c r="AA52" s="33"/>
      <c r="AB52" s="46">
        <f t="shared" si="23"/>
        <v>5.8895776877767807E-2</v>
      </c>
      <c r="AC52" s="33"/>
      <c r="AD52" s="33">
        <f t="shared" si="24"/>
        <v>1577.9767441860465</v>
      </c>
      <c r="AE52" s="50"/>
      <c r="AF52" s="33"/>
      <c r="AG52" s="33">
        <f>+V52</f>
        <v>1897</v>
      </c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2">
        <f t="shared" si="25"/>
        <v>0.14023519077568863</v>
      </c>
      <c r="AV52" s="342"/>
      <c r="AW52" s="24">
        <f t="shared" si="26"/>
        <v>3757.2790697674418</v>
      </c>
      <c r="AX52" s="352"/>
      <c r="AY52" s="504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7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>
        <f t="shared" si="22"/>
        <v>26859.772727272728</v>
      </c>
      <c r="O53" s="41"/>
      <c r="P53" s="17"/>
      <c r="Q53" s="16"/>
      <c r="R53" s="60"/>
      <c r="S53" s="16"/>
      <c r="T53" s="41"/>
      <c r="U53" s="478"/>
      <c r="V53" s="34">
        <v>1691</v>
      </c>
      <c r="W53" s="33"/>
      <c r="X53" s="33"/>
      <c r="Y53" s="33"/>
      <c r="Z53" s="33">
        <f t="shared" si="29"/>
        <v>69544</v>
      </c>
      <c r="AA53" s="33"/>
      <c r="AB53" s="46">
        <f t="shared" si="23"/>
        <v>5.8844334633576738E-2</v>
      </c>
      <c r="AC53" s="33"/>
      <c r="AD53" s="33">
        <f t="shared" si="24"/>
        <v>1580.5454545454545</v>
      </c>
      <c r="AE53" s="50"/>
      <c r="AF53" s="33"/>
      <c r="AG53" s="33">
        <f t="shared" ref="AG53:AG82" si="35">+V53</f>
        <v>1691</v>
      </c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2">
        <f t="shared" si="25"/>
        <v>0.14665222578543446</v>
      </c>
      <c r="AV53" s="342"/>
      <c r="AW53" s="24">
        <f t="shared" si="26"/>
        <v>3939.0454545454545</v>
      </c>
      <c r="AX53" s="352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1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>
        <f t="shared" si="22"/>
        <v>26870.62222222222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2"/>
      <c r="V54" s="34">
        <v>1153</v>
      </c>
      <c r="W54" s="33"/>
      <c r="X54" s="33"/>
      <c r="Y54" s="33"/>
      <c r="Z54" s="33">
        <f t="shared" si="29"/>
        <v>70697</v>
      </c>
      <c r="AA54" s="33"/>
      <c r="AB54" s="46">
        <f t="shared" si="23"/>
        <v>5.8466991625715982E-2</v>
      </c>
      <c r="AC54" s="33"/>
      <c r="AD54" s="33">
        <f t="shared" si="24"/>
        <v>1571.0444444444445</v>
      </c>
      <c r="AE54" s="50"/>
      <c r="AF54" s="33">
        <f>SUM(V48:V54)</f>
        <v>13185</v>
      </c>
      <c r="AG54" s="33">
        <f t="shared" si="35"/>
        <v>1153</v>
      </c>
      <c r="AH54" s="232">
        <f>+(AF54-AF47)/AF47</f>
        <v>-9.1378953897043619E-2</v>
      </c>
      <c r="AI54" s="50"/>
      <c r="AJ54" s="392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2">
        <f t="shared" si="25"/>
        <v>0.14742494487991015</v>
      </c>
      <c r="AV54" s="342"/>
      <c r="AW54" s="24">
        <f t="shared" si="26"/>
        <v>3961.4</v>
      </c>
      <c r="AX54" s="352"/>
      <c r="AY54" s="392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>
        <f t="shared" si="22"/>
        <v>26823.717391304348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72021</v>
      </c>
      <c r="AA55" s="33"/>
      <c r="AB55" s="46">
        <f t="shared" si="23"/>
        <v>5.8369013146217938E-2</v>
      </c>
      <c r="AC55" s="33"/>
      <c r="AD55" s="33">
        <f t="shared" si="24"/>
        <v>1565.6739130434783</v>
      </c>
      <c r="AE55" s="50"/>
      <c r="AF55" s="33"/>
      <c r="AG55" s="33">
        <f t="shared" si="35"/>
        <v>1324</v>
      </c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2">
        <f t="shared" si="25"/>
        <v>0.15238542140270089</v>
      </c>
      <c r="AV55" s="342"/>
      <c r="AW55" s="24">
        <f t="shared" si="26"/>
        <v>4087.5434782608695</v>
      </c>
      <c r="AX55" s="352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>
        <f t="shared" si="22"/>
        <v>26780.617021276597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74371</v>
      </c>
      <c r="AA56" s="33"/>
      <c r="AB56" s="46">
        <f t="shared" si="23"/>
        <v>5.908608083490044E-2</v>
      </c>
      <c r="AC56" s="33"/>
      <c r="AD56" s="33">
        <f t="shared" si="24"/>
        <v>1582.3617021276596</v>
      </c>
      <c r="AE56" s="50"/>
      <c r="AF56" s="33"/>
      <c r="AG56" s="33">
        <f t="shared" si="35"/>
        <v>2350</v>
      </c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2">
        <f t="shared" si="25"/>
        <v>0.15939282857004392</v>
      </c>
      <c r="AV56" s="342"/>
      <c r="AW56" s="24">
        <f t="shared" si="26"/>
        <v>4268.6382978723404</v>
      </c>
      <c r="AX56" s="352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>
        <f t="shared" si="22"/>
        <v>26753.083333333332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76899</v>
      </c>
      <c r="AA57" s="33"/>
      <c r="AB57" s="46">
        <f t="shared" si="23"/>
        <v>5.9883284481228018E-2</v>
      </c>
      <c r="AC57" s="33"/>
      <c r="AD57" s="33">
        <f t="shared" si="24"/>
        <v>1602.0625</v>
      </c>
      <c r="AE57" s="50"/>
      <c r="AF57" s="33"/>
      <c r="AG57" s="33">
        <f t="shared" si="35"/>
        <v>2528</v>
      </c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2">
        <f t="shared" si="25"/>
        <v>0.16065749430750972</v>
      </c>
      <c r="AV57" s="342"/>
      <c r="AW57" s="24">
        <f t="shared" si="26"/>
        <v>4298.083333333333</v>
      </c>
      <c r="AX57" s="352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>
        <f t="shared" si="22"/>
        <v>26809.775510204083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79028</v>
      </c>
      <c r="AA58" s="33"/>
      <c r="AB58" s="46">
        <f t="shared" si="23"/>
        <v>6.0157770657824322E-2</v>
      </c>
      <c r="AC58" s="33"/>
      <c r="AD58" s="33">
        <f t="shared" si="24"/>
        <v>1612.8163265306123</v>
      </c>
      <c r="AE58" s="50"/>
      <c r="AF58" s="33"/>
      <c r="AG58" s="33">
        <f t="shared" si="35"/>
        <v>2129</v>
      </c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2">
        <f t="shared" si="25"/>
        <v>0.16537525529448213</v>
      </c>
      <c r="AV58" s="342"/>
      <c r="AW58" s="24">
        <f t="shared" si="26"/>
        <v>4433.6734693877552</v>
      </c>
      <c r="AX58" s="352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>
        <f t="shared" si="22"/>
        <v>26856.82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80715</v>
      </c>
      <c r="AA59" s="33"/>
      <c r="AB59" s="46">
        <f t="shared" si="23"/>
        <v>6.0107637464152493E-2</v>
      </c>
      <c r="AC59" s="33"/>
      <c r="AD59" s="33">
        <f t="shared" si="24"/>
        <v>1614.3</v>
      </c>
      <c r="AE59" s="50"/>
      <c r="AF59" s="33"/>
      <c r="AG59" s="33">
        <f t="shared" si="35"/>
        <v>1687</v>
      </c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2">
        <f t="shared" si="25"/>
        <v>0.16633391443960976</v>
      </c>
      <c r="AV59" s="342"/>
      <c r="AW59" s="24">
        <f t="shared" si="26"/>
        <v>4467.2</v>
      </c>
      <c r="AX59" s="352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7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>
        <f t="shared" si="22"/>
        <v>26830.686274509804</v>
      </c>
      <c r="O60" s="41"/>
      <c r="P60" s="17"/>
      <c r="Q60" s="16"/>
      <c r="R60" s="60"/>
      <c r="S60" s="16"/>
      <c r="T60" s="41"/>
      <c r="U60" s="478"/>
      <c r="V60" s="34">
        <v>1422</v>
      </c>
      <c r="W60" s="33"/>
      <c r="X60" s="33"/>
      <c r="Y60" s="33"/>
      <c r="Z60" s="33">
        <f t="shared" si="29"/>
        <v>82137</v>
      </c>
      <c r="AA60" s="33"/>
      <c r="AB60" s="46">
        <f t="shared" si="23"/>
        <v>6.0025651050706501E-2</v>
      </c>
      <c r="AC60" s="33"/>
      <c r="AD60" s="33">
        <f t="shared" si="24"/>
        <v>1610.5294117647059</v>
      </c>
      <c r="AE60" s="50"/>
      <c r="AF60" s="33"/>
      <c r="AG60" s="33">
        <f t="shared" si="35"/>
        <v>1422</v>
      </c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2">
        <f t="shared" si="25"/>
        <v>0.17398720370661336</v>
      </c>
      <c r="AV60" s="342"/>
      <c r="AW60" s="24">
        <f t="shared" si="26"/>
        <v>4668.1960784313724</v>
      </c>
      <c r="AX60" s="352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1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>
        <f t="shared" si="22"/>
        <v>26705.653846153848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2"/>
      <c r="V61" s="34">
        <v>750</v>
      </c>
      <c r="W61" s="33"/>
      <c r="X61" s="33"/>
      <c r="Y61" s="33"/>
      <c r="Z61" s="33">
        <f t="shared" si="29"/>
        <v>82887</v>
      </c>
      <c r="AA61" s="33"/>
      <c r="AB61" s="46">
        <f t="shared" si="23"/>
        <v>5.9687015281984369E-2</v>
      </c>
      <c r="AC61" s="33"/>
      <c r="AD61" s="33">
        <f t="shared" si="24"/>
        <v>1593.9807692307693</v>
      </c>
      <c r="AE61" s="50"/>
      <c r="AF61" s="33">
        <f>SUM(V55:V61)</f>
        <v>12190</v>
      </c>
      <c r="AG61" s="33">
        <f t="shared" si="35"/>
        <v>750</v>
      </c>
      <c r="AH61" s="232">
        <f>+(AF61-AF54)/AF54</f>
        <v>-7.5464543041334847E-2</v>
      </c>
      <c r="AI61" s="50"/>
      <c r="AJ61" s="392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2">
        <f t="shared" si="25"/>
        <v>0.18458782136309368</v>
      </c>
      <c r="AV61" s="342"/>
      <c r="AW61" s="24">
        <f t="shared" si="26"/>
        <v>4929.5384615384619</v>
      </c>
      <c r="AX61" s="352"/>
      <c r="AY61" s="392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>
        <f t="shared" si="22"/>
        <v>26545.094339622643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83947</v>
      </c>
      <c r="AA62" s="33"/>
      <c r="AB62" s="46">
        <f t="shared" si="23"/>
        <v>5.9668488652275586E-2</v>
      </c>
      <c r="AC62" s="33"/>
      <c r="AD62" s="33">
        <f t="shared" si="24"/>
        <v>1583.9056603773586</v>
      </c>
      <c r="AE62" s="50"/>
      <c r="AF62" s="33"/>
      <c r="AG62" s="33">
        <f t="shared" si="35"/>
        <v>1060</v>
      </c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2">
        <f t="shared" si="25"/>
        <v>0.18638628464201182</v>
      </c>
      <c r="AV62" s="342"/>
      <c r="AW62" s="24">
        <f t="shared" si="26"/>
        <v>4947.6415094339627</v>
      </c>
      <c r="AX62" s="352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>
        <f t="shared" si="22"/>
        <v>26475.777777777777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85818</v>
      </c>
      <c r="AA63" s="33"/>
      <c r="AB63" s="46">
        <f t="shared" si="23"/>
        <v>6.0025515985261159E-2</v>
      </c>
      <c r="AC63" s="33"/>
      <c r="AD63" s="33">
        <f t="shared" si="24"/>
        <v>1589.2222222222222</v>
      </c>
      <c r="AE63" s="50"/>
      <c r="AF63" s="33"/>
      <c r="AG63" s="33">
        <f t="shared" si="35"/>
        <v>1871</v>
      </c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2">
        <f t="shared" si="25"/>
        <v>0.19741244967447535</v>
      </c>
      <c r="AV63" s="342"/>
      <c r="AW63" s="24">
        <f t="shared" si="26"/>
        <v>5226.6481481481478</v>
      </c>
      <c r="AX63" s="352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>
        <f t="shared" si="22"/>
        <v>26389.163636363635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87640</v>
      </c>
      <c r="AA64" s="33"/>
      <c r="AB64" s="46">
        <f t="shared" si="23"/>
        <v>6.0382911994179431E-2</v>
      </c>
      <c r="AC64" s="33"/>
      <c r="AD64" s="33">
        <f t="shared" si="24"/>
        <v>1593.4545454545455</v>
      </c>
      <c r="AE64" s="50"/>
      <c r="AF64" s="33"/>
      <c r="AG64" s="33">
        <f t="shared" si="35"/>
        <v>1822</v>
      </c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2">
        <f t="shared" si="25"/>
        <v>0.21376474089915695</v>
      </c>
      <c r="AV64" s="342"/>
      <c r="AW64" s="24">
        <f t="shared" si="26"/>
        <v>5641.0727272727272</v>
      </c>
      <c r="AX64" s="352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>
        <f t="shared" si="22"/>
        <v>26404.446428571428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8">+Z64+V65</f>
        <v>89393</v>
      </c>
      <c r="AA65" s="33"/>
      <c r="AB65" s="46">
        <f t="shared" si="23"/>
        <v>6.0455862074096013E-2</v>
      </c>
      <c r="AC65" s="33"/>
      <c r="AD65" s="33">
        <f t="shared" si="24"/>
        <v>1596.3035714285713</v>
      </c>
      <c r="AE65" s="50"/>
      <c r="AF65" s="33"/>
      <c r="AG65" s="33">
        <f t="shared" si="35"/>
        <v>1753</v>
      </c>
      <c r="AH65" s="33"/>
      <c r="AI65" s="50"/>
      <c r="AJ65" s="1"/>
      <c r="AK65" s="23">
        <f t="shared" ref="AK65:AK96" si="39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40">+AK65/AO64</f>
        <v>2.4502109527846091E-2</v>
      </c>
      <c r="AR65" s="25"/>
      <c r="AS65" s="25"/>
      <c r="AT65" s="24"/>
      <c r="AU65" s="342">
        <f t="shared" si="25"/>
        <v>0.21496717611819979</v>
      </c>
      <c r="AV65" s="342"/>
      <c r="AW65" s="24">
        <f t="shared" si="26"/>
        <v>5676.0892857142853</v>
      </c>
      <c r="AX65" s="352"/>
      <c r="AY65" s="1"/>
      <c r="AZ65" s="66">
        <f t="shared" ref="AZ65:AZ96" si="41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2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>
        <f t="shared" si="22"/>
        <v>26409.491228070176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8"/>
        <v>90995</v>
      </c>
      <c r="AA66" s="33"/>
      <c r="AB66" s="46">
        <f t="shared" si="23"/>
        <v>6.0448097806410639E-2</v>
      </c>
      <c r="AC66" s="33"/>
      <c r="AD66" s="33">
        <f t="shared" si="24"/>
        <v>1596.4035087719299</v>
      </c>
      <c r="AE66" s="50"/>
      <c r="AF66" s="33"/>
      <c r="AG66" s="33">
        <f t="shared" si="35"/>
        <v>1602</v>
      </c>
      <c r="AH66" s="33"/>
      <c r="AI66" s="50"/>
      <c r="AJ66" s="1"/>
      <c r="AK66" s="23">
        <f t="shared" si="39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40"/>
        <v>2.6366871053699573E-2</v>
      </c>
      <c r="AR66" s="25"/>
      <c r="AS66" s="25"/>
      <c r="AT66" s="24"/>
      <c r="AU66" s="342">
        <f t="shared" si="25"/>
        <v>0.2167229883461621</v>
      </c>
      <c r="AV66" s="342"/>
      <c r="AW66" s="24">
        <f t="shared" si="26"/>
        <v>5723.5438596491231</v>
      </c>
      <c r="AX66" s="352"/>
      <c r="AY66" s="1"/>
      <c r="AZ66" s="66">
        <f t="shared" si="41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2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7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>
        <f t="shared" si="22"/>
        <v>26359.120689655174</v>
      </c>
      <c r="O67" s="41"/>
      <c r="P67" s="17"/>
      <c r="Q67" s="16"/>
      <c r="R67" s="60"/>
      <c r="S67" s="16"/>
      <c r="T67" s="41"/>
      <c r="U67" s="478"/>
      <c r="V67" s="34">
        <v>1218</v>
      </c>
      <c r="W67" s="33"/>
      <c r="X67" s="33"/>
      <c r="Y67" s="33"/>
      <c r="Z67" s="33">
        <f t="shared" si="38"/>
        <v>92213</v>
      </c>
      <c r="AA67" s="33"/>
      <c r="AB67" s="46">
        <f t="shared" si="23"/>
        <v>6.0316098137855836E-2</v>
      </c>
      <c r="AC67" s="33"/>
      <c r="AD67" s="33">
        <f t="shared" si="24"/>
        <v>1589.8793103448277</v>
      </c>
      <c r="AE67" s="50"/>
      <c r="AF67" s="33"/>
      <c r="AG67" s="33">
        <f t="shared" si="35"/>
        <v>1218</v>
      </c>
      <c r="AH67" s="232"/>
      <c r="AI67" s="50"/>
      <c r="AJ67" s="1"/>
      <c r="AK67" s="23">
        <f t="shared" si="39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40"/>
        <v>3.981706831125361E-2</v>
      </c>
      <c r="AR67" s="25"/>
      <c r="AS67" s="25"/>
      <c r="AT67" s="24"/>
      <c r="AU67" s="342">
        <f t="shared" si="25"/>
        <v>0.22189008711896491</v>
      </c>
      <c r="AV67" s="342"/>
      <c r="AW67" s="24">
        <f t="shared" si="26"/>
        <v>5848.8275862068967</v>
      </c>
      <c r="AX67" s="352"/>
      <c r="AY67" s="1"/>
      <c r="AZ67" s="66">
        <f t="shared" si="41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2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1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>
        <f t="shared" si="22"/>
        <v>26249.491525423728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2"/>
      <c r="V68" s="34">
        <v>865</v>
      </c>
      <c r="W68" s="33"/>
      <c r="X68" s="33"/>
      <c r="Y68" s="33"/>
      <c r="Z68" s="33">
        <f t="shared" si="38"/>
        <v>93078</v>
      </c>
      <c r="AA68" s="33"/>
      <c r="AB68" s="46">
        <f t="shared" si="23"/>
        <v>6.0099953509995349E-2</v>
      </c>
      <c r="AC68" s="33"/>
      <c r="AD68" s="33">
        <f t="shared" si="24"/>
        <v>1577.593220338983</v>
      </c>
      <c r="AE68" s="50"/>
      <c r="AF68" s="33">
        <f>SUM(V62:V68)</f>
        <v>10191</v>
      </c>
      <c r="AG68" s="33">
        <f t="shared" si="35"/>
        <v>865</v>
      </c>
      <c r="AH68" s="232">
        <f>+(AF68-AF61)/AF61</f>
        <v>-0.16398687448728466</v>
      </c>
      <c r="AI68" s="50"/>
      <c r="AJ68" s="392"/>
      <c r="AK68" s="23">
        <f t="shared" si="39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40"/>
        <v>2.109765588152061E-2</v>
      </c>
      <c r="AR68" s="25"/>
      <c r="AS68" s="25"/>
      <c r="AT68" s="24"/>
      <c r="AU68" s="342">
        <f t="shared" si="25"/>
        <v>0.22366147528281419</v>
      </c>
      <c r="AV68" s="342"/>
      <c r="AW68" s="24">
        <f t="shared" si="26"/>
        <v>5871</v>
      </c>
      <c r="AX68" s="352"/>
      <c r="AY68" s="392"/>
      <c r="AZ68" s="66">
        <f t="shared" si="41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2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>
        <f t="shared" ref="N69:N96" si="43">+H69/BV69</f>
        <v>26189.166666666668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8"/>
        <v>94081</v>
      </c>
      <c r="AA69" s="33"/>
      <c r="AB69" s="46">
        <f t="shared" ref="AB69:AB96" si="44">+Z69/H69</f>
        <v>5.9872720908772714E-2</v>
      </c>
      <c r="AC69" s="33"/>
      <c r="AD69" s="33">
        <f t="shared" ref="AD69:AD96" si="45">+Z69/BV69</f>
        <v>1568.0166666666667</v>
      </c>
      <c r="AE69" s="50"/>
      <c r="AF69" s="33"/>
      <c r="AG69" s="33">
        <f t="shared" si="35"/>
        <v>1003</v>
      </c>
      <c r="AH69" s="232"/>
      <c r="AI69" s="50"/>
      <c r="AJ69" s="10"/>
      <c r="AK69" s="23">
        <f t="shared" si="39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40"/>
        <v>2.8851955460479403E-2</v>
      </c>
      <c r="AR69" s="25"/>
      <c r="AS69" s="25"/>
      <c r="AT69" s="24"/>
      <c r="AU69" s="342">
        <f t="shared" ref="AU69:AU96" si="46">+AO69/H69</f>
        <v>0.22680052184427404</v>
      </c>
      <c r="AV69" s="342"/>
      <c r="AW69" s="24">
        <f t="shared" ref="AW69:AW96" si="47">+AO69/BV69</f>
        <v>5939.7166666666662</v>
      </c>
      <c r="AX69" s="352"/>
      <c r="AY69" s="10"/>
      <c r="AZ69" s="66">
        <f t="shared" si="41"/>
        <v>425164</v>
      </c>
      <c r="BA69" s="67"/>
      <c r="BB69" s="67">
        <v>12300744</v>
      </c>
      <c r="BC69" s="67"/>
      <c r="BD69" s="67">
        <f t="shared" ref="BD69:BD96" si="48">+D69</f>
        <v>22630</v>
      </c>
      <c r="BE69" s="67"/>
      <c r="BF69" s="157">
        <f t="shared" si="42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9">+BB69/BV69</f>
        <v>205012.4</v>
      </c>
      <c r="BN69" s="67"/>
      <c r="BO69" s="67">
        <f t="shared" ref="BO69:BO96" si="50">+BO68+BD69</f>
        <v>1297972</v>
      </c>
      <c r="BP69" s="67"/>
      <c r="BQ69" s="74">
        <f t="shared" ref="BQ69:BQ96" si="51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>
        <f t="shared" si="43"/>
        <v>26092.442622950821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8"/>
        <v>95633</v>
      </c>
      <c r="AA70" s="33"/>
      <c r="AB70" s="46">
        <f t="shared" si="44"/>
        <v>6.0084604611975456E-2</v>
      </c>
      <c r="AC70" s="33"/>
      <c r="AD70" s="33">
        <f t="shared" si="45"/>
        <v>1567.7540983606557</v>
      </c>
      <c r="AE70" s="50"/>
      <c r="AF70" s="33"/>
      <c r="AG70" s="33">
        <f t="shared" si="35"/>
        <v>1552</v>
      </c>
      <c r="AH70" s="232"/>
      <c r="AI70" s="50"/>
      <c r="AJ70" s="10"/>
      <c r="AK70" s="23">
        <f t="shared" si="39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40"/>
        <v>1.346023800237385E-2</v>
      </c>
      <c r="AR70" s="25"/>
      <c r="AS70" s="25"/>
      <c r="AT70" s="24"/>
      <c r="AU70" s="342">
        <f t="shared" si="46"/>
        <v>0.22692331615397712</v>
      </c>
      <c r="AV70" s="342"/>
      <c r="AW70" s="24">
        <f t="shared" si="47"/>
        <v>5920.9836065573772</v>
      </c>
      <c r="AX70" s="352"/>
      <c r="AY70" s="10"/>
      <c r="AZ70" s="66">
        <f t="shared" si="41"/>
        <v>344729</v>
      </c>
      <c r="BA70" s="67"/>
      <c r="BB70" s="67">
        <v>12645473</v>
      </c>
      <c r="BC70" s="67"/>
      <c r="BD70" s="67">
        <f t="shared" si="48"/>
        <v>20289</v>
      </c>
      <c r="BE70" s="67"/>
      <c r="BF70" s="157">
        <f t="shared" si="42"/>
        <v>5.8854926623521667E-2</v>
      </c>
      <c r="BG70" s="67"/>
      <c r="BH70" s="184"/>
      <c r="BI70" s="67"/>
      <c r="BJ70" s="67"/>
      <c r="BK70" s="67"/>
      <c r="BL70" s="157"/>
      <c r="BM70" s="66">
        <f t="shared" si="49"/>
        <v>207302.83606557376</v>
      </c>
      <c r="BN70" s="67"/>
      <c r="BO70" s="67">
        <f t="shared" si="50"/>
        <v>1318261</v>
      </c>
      <c r="BP70" s="67"/>
      <c r="BQ70" s="74">
        <f t="shared" si="51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>
        <f t="shared" si="43"/>
        <v>26028.693548387098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8"/>
        <v>97036</v>
      </c>
      <c r="AA71" s="33"/>
      <c r="AB71" s="46">
        <f t="shared" si="44"/>
        <v>6.0129670791353708E-2</v>
      </c>
      <c r="AC71" s="33"/>
      <c r="AD71" s="33">
        <f t="shared" si="45"/>
        <v>1565.0967741935483</v>
      </c>
      <c r="AE71" s="50"/>
      <c r="AF71" s="33"/>
      <c r="AG71" s="33">
        <f t="shared" si="35"/>
        <v>1403</v>
      </c>
      <c r="AH71" s="232"/>
      <c r="AI71" s="50"/>
      <c r="AJ71" s="10"/>
      <c r="AK71" s="23">
        <f t="shared" si="39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40"/>
        <v>2.4630378204773245E-2</v>
      </c>
      <c r="AR71" s="25"/>
      <c r="AS71" s="25"/>
      <c r="AT71" s="24"/>
      <c r="AU71" s="342">
        <f t="shared" si="46"/>
        <v>0.2293226024133416</v>
      </c>
      <c r="AV71" s="342"/>
      <c r="AW71" s="24">
        <f t="shared" si="47"/>
        <v>5968.9677419354839</v>
      </c>
      <c r="AX71" s="352"/>
      <c r="AY71" s="10"/>
      <c r="AZ71" s="66">
        <f t="shared" si="41"/>
        <v>323101</v>
      </c>
      <c r="BA71" s="67"/>
      <c r="BB71" s="67">
        <v>12968574</v>
      </c>
      <c r="BC71" s="67"/>
      <c r="BD71" s="67">
        <f t="shared" si="48"/>
        <v>22140</v>
      </c>
      <c r="BE71" s="67"/>
      <c r="BF71" s="157">
        <f t="shared" si="42"/>
        <v>6.8523464798932843E-2</v>
      </c>
      <c r="BG71" s="67"/>
      <c r="BH71" s="184"/>
      <c r="BI71" s="67"/>
      <c r="BJ71" s="67"/>
      <c r="BK71" s="67"/>
      <c r="BL71" s="157"/>
      <c r="BM71" s="66">
        <f t="shared" si="49"/>
        <v>209170.54838709679</v>
      </c>
      <c r="BN71" s="67"/>
      <c r="BO71" s="67">
        <f t="shared" si="50"/>
        <v>1340401</v>
      </c>
      <c r="BP71" s="67"/>
      <c r="BQ71" s="74">
        <f t="shared" si="51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>
        <f t="shared" si="43"/>
        <v>26062.761904761905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8"/>
        <v>98454</v>
      </c>
      <c r="AA72" s="33"/>
      <c r="AB72" s="46">
        <f t="shared" si="44"/>
        <v>5.9961484913706474E-2</v>
      </c>
      <c r="AC72" s="33"/>
      <c r="AD72" s="33">
        <f t="shared" si="45"/>
        <v>1562.7619047619048</v>
      </c>
      <c r="AE72" s="50"/>
      <c r="AF72" s="33"/>
      <c r="AG72" s="33">
        <f t="shared" si="35"/>
        <v>1418</v>
      </c>
      <c r="AH72" s="232"/>
      <c r="AI72" s="50"/>
      <c r="AJ72" s="10"/>
      <c r="AK72" s="23">
        <f t="shared" si="39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40"/>
        <v>3.2677071736616263E-2</v>
      </c>
      <c r="AR72" s="25"/>
      <c r="AS72" s="25"/>
      <c r="AT72" s="24"/>
      <c r="AU72" s="342">
        <f t="shared" si="46"/>
        <v>0.23275256188663021</v>
      </c>
      <c r="AV72" s="342"/>
      <c r="AW72" s="24">
        <f t="shared" si="47"/>
        <v>6066.1746031746034</v>
      </c>
      <c r="AX72" s="352"/>
      <c r="AY72" s="10"/>
      <c r="AZ72" s="66">
        <f t="shared" si="41"/>
        <v>470540</v>
      </c>
      <c r="BA72" s="67"/>
      <c r="BB72" s="67">
        <v>13439114</v>
      </c>
      <c r="BC72" s="67"/>
      <c r="BD72" s="67">
        <f t="shared" si="48"/>
        <v>28175</v>
      </c>
      <c r="BE72" s="67"/>
      <c r="BF72" s="157">
        <f t="shared" si="42"/>
        <v>5.9878012496280872E-2</v>
      </c>
      <c r="BG72" s="67"/>
      <c r="BH72" s="184"/>
      <c r="BI72" s="67"/>
      <c r="BJ72" s="67"/>
      <c r="BK72" s="67"/>
      <c r="BL72" s="157"/>
      <c r="BM72" s="66">
        <f t="shared" si="49"/>
        <v>213319.26984126985</v>
      </c>
      <c r="BN72" s="67"/>
      <c r="BO72" s="67">
        <f t="shared" si="50"/>
        <v>1368576</v>
      </c>
      <c r="BP72" s="67"/>
      <c r="BQ72" s="74">
        <f t="shared" si="51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>
        <f t="shared" si="43"/>
        <v>26030.5625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8"/>
        <v>99747</v>
      </c>
      <c r="AA73" s="33"/>
      <c r="AB73" s="46">
        <f t="shared" si="44"/>
        <v>5.9873730158539598E-2</v>
      </c>
      <c r="AC73" s="33"/>
      <c r="AD73" s="33">
        <f t="shared" si="45"/>
        <v>1558.546875</v>
      </c>
      <c r="AE73" s="50"/>
      <c r="AF73" s="33"/>
      <c r="AG73" s="33">
        <f t="shared" si="35"/>
        <v>1293</v>
      </c>
      <c r="AH73" s="232"/>
      <c r="AI73" s="50"/>
      <c r="AJ73" s="10"/>
      <c r="AK73" s="23">
        <f t="shared" si="39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40"/>
        <v>0.13456873791437821</v>
      </c>
      <c r="AR73" s="25"/>
      <c r="AS73" s="25"/>
      <c r="AT73" s="24"/>
      <c r="AU73" s="342">
        <f t="shared" si="46"/>
        <v>0.26026917877783085</v>
      </c>
      <c r="AV73" s="342"/>
      <c r="AW73" s="24">
        <f t="shared" si="47"/>
        <v>6774.953125</v>
      </c>
      <c r="AX73" s="352"/>
      <c r="AY73" s="10"/>
      <c r="AZ73" s="66">
        <f t="shared" si="41"/>
        <v>470791</v>
      </c>
      <c r="BA73" s="67"/>
      <c r="BB73" s="67">
        <v>13909905</v>
      </c>
      <c r="BC73" s="67"/>
      <c r="BD73" s="67">
        <f t="shared" si="48"/>
        <v>24002</v>
      </c>
      <c r="BE73" s="67"/>
      <c r="BF73" s="157">
        <f t="shared" si="42"/>
        <v>5.0982283008808582E-2</v>
      </c>
      <c r="BG73" s="67"/>
      <c r="BH73" s="184"/>
      <c r="BI73" s="67"/>
      <c r="BJ73" s="67"/>
      <c r="BK73" s="67"/>
      <c r="BL73" s="157"/>
      <c r="BM73" s="66">
        <f t="shared" si="49"/>
        <v>217342.265625</v>
      </c>
      <c r="BN73" s="67"/>
      <c r="BO73" s="67">
        <f t="shared" si="50"/>
        <v>1392578</v>
      </c>
      <c r="BP73" s="67"/>
      <c r="BQ73" s="74">
        <f t="shared" si="51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6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>
        <f t="shared" si="43"/>
        <v>25967.446153846155</v>
      </c>
      <c r="O74" s="41"/>
      <c r="P74" s="17"/>
      <c r="Q74" s="16"/>
      <c r="R74" s="60"/>
      <c r="S74" s="16"/>
      <c r="T74" s="41"/>
      <c r="U74" s="478"/>
      <c r="V74" s="34">
        <v>1036</v>
      </c>
      <c r="W74" s="33"/>
      <c r="X74" s="33"/>
      <c r="Y74" s="33"/>
      <c r="Z74" s="33">
        <f t="shared" si="38"/>
        <v>100783</v>
      </c>
      <c r="AA74" s="33"/>
      <c r="AB74" s="46">
        <f t="shared" si="44"/>
        <v>5.9709671991677156E-2</v>
      </c>
      <c r="AC74" s="33"/>
      <c r="AD74" s="33">
        <f t="shared" si="45"/>
        <v>1550.5076923076922</v>
      </c>
      <c r="AE74" s="50"/>
      <c r="AF74" s="33"/>
      <c r="AG74" s="33">
        <f t="shared" si="35"/>
        <v>1036</v>
      </c>
      <c r="AH74" s="232"/>
      <c r="AI74" s="50"/>
      <c r="AJ74" s="10"/>
      <c r="AK74" s="23">
        <f t="shared" si="39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40"/>
        <v>3.0712850873045709E-2</v>
      </c>
      <c r="AR74" s="25"/>
      <c r="AS74" s="25"/>
      <c r="AT74" s="24"/>
      <c r="AU74" s="342">
        <f t="shared" si="46"/>
        <v>0.26477767429515298</v>
      </c>
      <c r="AV74" s="342"/>
      <c r="AW74" s="24">
        <f t="shared" si="47"/>
        <v>6875.6</v>
      </c>
      <c r="AX74" s="352"/>
      <c r="AY74" s="10"/>
      <c r="AZ74" s="66">
        <f t="shared" si="41"/>
        <v>448064</v>
      </c>
      <c r="BA74" s="67"/>
      <c r="BB74" s="67">
        <v>14357969</v>
      </c>
      <c r="BC74" s="67"/>
      <c r="BD74" s="67">
        <f t="shared" si="48"/>
        <v>21928</v>
      </c>
      <c r="BE74" s="67"/>
      <c r="BF74" s="157">
        <f t="shared" si="42"/>
        <v>4.8939437223253821E-2</v>
      </c>
      <c r="BG74" s="67"/>
      <c r="BH74" s="184"/>
      <c r="BI74" s="67"/>
      <c r="BJ74" s="67"/>
      <c r="BK74" s="67"/>
      <c r="BL74" s="157"/>
      <c r="BM74" s="66">
        <f t="shared" si="49"/>
        <v>220891.83076923076</v>
      </c>
      <c r="BN74" s="67"/>
      <c r="BO74" s="67">
        <f t="shared" si="50"/>
        <v>1414506</v>
      </c>
      <c r="BP74" s="67"/>
      <c r="BQ74" s="74">
        <f t="shared" si="51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1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>
        <f t="shared" si="43"/>
        <v>25871.090909090908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2"/>
      <c r="V75" s="34">
        <v>617</v>
      </c>
      <c r="W75" s="33"/>
      <c r="X75" s="33"/>
      <c r="Y75" s="33"/>
      <c r="Z75" s="33">
        <f t="shared" si="38"/>
        <v>101400</v>
      </c>
      <c r="AA75" s="33"/>
      <c r="AB75" s="46">
        <f t="shared" si="44"/>
        <v>5.9385344118742578E-2</v>
      </c>
      <c r="AC75" s="33"/>
      <c r="AD75" s="33">
        <f t="shared" si="45"/>
        <v>1536.3636363636363</v>
      </c>
      <c r="AE75" s="50"/>
      <c r="AF75" s="33">
        <f>SUM(V69:V75)</f>
        <v>8322</v>
      </c>
      <c r="AG75" s="33">
        <f t="shared" si="35"/>
        <v>617</v>
      </c>
      <c r="AH75" s="232">
        <f>+(AF75-AF68)/AF68</f>
        <v>-0.1833971151015602</v>
      </c>
      <c r="AI75" s="50"/>
      <c r="AJ75" s="392"/>
      <c r="AK75" s="23">
        <f t="shared" si="39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40"/>
        <v>1.0713470600607723E-2</v>
      </c>
      <c r="AR75" s="25"/>
      <c r="AS75" s="25"/>
      <c r="AT75" s="24"/>
      <c r="AU75" s="342">
        <f t="shared" si="46"/>
        <v>0.26454121014915444</v>
      </c>
      <c r="AV75" s="342"/>
      <c r="AW75" s="24">
        <f t="shared" si="47"/>
        <v>6843.969696969697</v>
      </c>
      <c r="AX75" s="352"/>
      <c r="AY75" s="392"/>
      <c r="AZ75" s="66">
        <f t="shared" si="41"/>
        <v>391787</v>
      </c>
      <c r="BA75" s="67"/>
      <c r="BB75" s="67">
        <v>14749756</v>
      </c>
      <c r="BC75" s="67"/>
      <c r="BD75" s="67">
        <f t="shared" si="48"/>
        <v>19608</v>
      </c>
      <c r="BE75" s="67"/>
      <c r="BF75" s="157">
        <f t="shared" si="42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9"/>
        <v>223481.15151515152</v>
      </c>
      <c r="BN75" s="67"/>
      <c r="BO75" s="67">
        <f t="shared" si="50"/>
        <v>1434114</v>
      </c>
      <c r="BP75" s="67"/>
      <c r="BQ75" s="74">
        <f t="shared" si="51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>
        <f t="shared" si="43"/>
        <v>25780.328358208953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8"/>
        <v>101905</v>
      </c>
      <c r="AA76" s="33"/>
      <c r="AB76" s="46">
        <f t="shared" si="44"/>
        <v>5.8997314856520246E-2</v>
      </c>
      <c r="AC76" s="33"/>
      <c r="AD76" s="33">
        <f t="shared" si="45"/>
        <v>1520.9701492537313</v>
      </c>
      <c r="AE76" s="50"/>
      <c r="AF76" s="33"/>
      <c r="AG76" s="33">
        <f t="shared" si="35"/>
        <v>505</v>
      </c>
      <c r="AH76" s="232"/>
      <c r="AI76" s="50"/>
      <c r="AJ76" s="10"/>
      <c r="AK76" s="23">
        <f t="shared" si="39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40"/>
        <v>2.8709193229164362E-2</v>
      </c>
      <c r="AR76" s="25"/>
      <c r="AS76" s="25"/>
      <c r="AT76" s="24"/>
      <c r="AU76" s="342">
        <f t="shared" si="46"/>
        <v>0.26901802948215753</v>
      </c>
      <c r="AV76" s="342"/>
      <c r="AW76" s="24">
        <f t="shared" si="47"/>
        <v>6935.373134328358</v>
      </c>
      <c r="AX76" s="352"/>
      <c r="AY76" s="10"/>
      <c r="AZ76" s="66">
        <f t="shared" si="41"/>
        <v>437891</v>
      </c>
      <c r="BA76" s="67"/>
      <c r="BB76" s="67">
        <v>15187647</v>
      </c>
      <c r="BC76" s="67"/>
      <c r="BD76" s="67">
        <f t="shared" si="48"/>
        <v>19790</v>
      </c>
      <c r="BE76" s="67"/>
      <c r="BF76" s="157">
        <f t="shared" si="42"/>
        <v>4.5193895284442932E-2</v>
      </c>
      <c r="BG76" s="67"/>
      <c r="BH76" s="184"/>
      <c r="BI76" s="67"/>
      <c r="BJ76" s="67"/>
      <c r="BK76" s="67"/>
      <c r="BL76" s="157"/>
      <c r="BM76" s="66">
        <f t="shared" si="49"/>
        <v>226681.29850746269</v>
      </c>
      <c r="BN76" s="67"/>
      <c r="BO76" s="67">
        <f t="shared" si="50"/>
        <v>1453904</v>
      </c>
      <c r="BP76" s="67"/>
      <c r="BQ76" s="74">
        <f t="shared" si="51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31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>
        <f t="shared" si="43"/>
        <v>25681.073529411766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8"/>
        <v>102679</v>
      </c>
      <c r="AA77" s="33"/>
      <c r="AB77" s="46">
        <f t="shared" si="44"/>
        <v>5.8797592413272995E-2</v>
      </c>
      <c r="AC77" s="33"/>
      <c r="AD77" s="33">
        <f t="shared" si="45"/>
        <v>1509.9852941176471</v>
      </c>
      <c r="AE77" s="50"/>
      <c r="AF77" s="33"/>
      <c r="AG77" s="33">
        <f t="shared" si="35"/>
        <v>774</v>
      </c>
      <c r="AH77" s="232"/>
      <c r="AI77" s="50"/>
      <c r="AJ77" s="10"/>
      <c r="AK77" s="23">
        <f t="shared" si="39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40"/>
        <v>3.2924441001140593E-2</v>
      </c>
      <c r="AR77" s="25"/>
      <c r="AS77" s="25"/>
      <c r="AT77" s="24"/>
      <c r="AU77" s="342">
        <f t="shared" si="46"/>
        <v>0.27484706349892601</v>
      </c>
      <c r="AV77" s="342"/>
      <c r="AW77" s="24">
        <f t="shared" si="47"/>
        <v>7058.3676470588234</v>
      </c>
      <c r="AX77" s="352"/>
      <c r="AY77" s="10"/>
      <c r="AZ77" s="66">
        <f t="shared" si="41"/>
        <v>344512</v>
      </c>
      <c r="BA77" s="67"/>
      <c r="BB77" s="67">
        <v>15532159</v>
      </c>
      <c r="BC77" s="67"/>
      <c r="BD77" s="67">
        <f t="shared" si="48"/>
        <v>19031</v>
      </c>
      <c r="BE77" s="67"/>
      <c r="BF77" s="157">
        <f t="shared" si="42"/>
        <v>5.5240456065391047E-2</v>
      </c>
      <c r="BG77" s="67"/>
      <c r="BH77" s="184"/>
      <c r="BI77" s="67"/>
      <c r="BJ77" s="67"/>
      <c r="BK77" s="67"/>
      <c r="BL77" s="157"/>
      <c r="BM77" s="66">
        <f t="shared" si="49"/>
        <v>228414.10294117648</v>
      </c>
      <c r="BN77" s="67"/>
      <c r="BO77" s="67">
        <f t="shared" si="50"/>
        <v>1472935</v>
      </c>
      <c r="BP77" s="67"/>
      <c r="BQ77" s="74">
        <f t="shared" si="51"/>
        <v>9.4831310959410081E-2</v>
      </c>
      <c r="BR77" s="67"/>
      <c r="BS77" s="86"/>
      <c r="BT77" s="184"/>
      <c r="BU77" s="1"/>
      <c r="BV77">
        <f t="shared" ref="BV77:BV131" si="53">+BV76+1</f>
        <v>68</v>
      </c>
    </row>
    <row r="78" spans="2:74" x14ac:dyDescent="0.3">
      <c r="B78" s="172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>
        <f t="shared" si="43"/>
        <v>25606.652173913044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8"/>
        <v>104207</v>
      </c>
      <c r="AA78" s="33"/>
      <c r="AB78" s="46">
        <f t="shared" si="44"/>
        <v>5.8978673453852291E-2</v>
      </c>
      <c r="AC78" s="33"/>
      <c r="AD78" s="33">
        <f t="shared" si="45"/>
        <v>1510.2463768115942</v>
      </c>
      <c r="AE78" s="50"/>
      <c r="AF78" s="33"/>
      <c r="AG78" s="33">
        <f t="shared" si="35"/>
        <v>1528</v>
      </c>
      <c r="AH78" s="232"/>
      <c r="AI78" s="50"/>
      <c r="AJ78" s="10"/>
      <c r="AK78" s="23">
        <f t="shared" si="39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40"/>
        <v>2.1170117236738208E-2</v>
      </c>
      <c r="AR78" s="25"/>
      <c r="AS78" s="25"/>
      <c r="AT78" s="24"/>
      <c r="AU78" s="342">
        <f t="shared" si="46"/>
        <v>0.27740187530527338</v>
      </c>
      <c r="AV78" s="342"/>
      <c r="AW78" s="24">
        <f t="shared" si="47"/>
        <v>7103.333333333333</v>
      </c>
      <c r="AX78" s="352"/>
      <c r="AY78" s="10"/>
      <c r="AZ78" s="66">
        <f t="shared" si="41"/>
        <v>343314</v>
      </c>
      <c r="BA78" s="67"/>
      <c r="BB78" s="67">
        <v>15875473</v>
      </c>
      <c r="BC78" s="67"/>
      <c r="BD78" s="67">
        <f t="shared" si="48"/>
        <v>20546</v>
      </c>
      <c r="BE78" s="67"/>
      <c r="BF78" s="157">
        <f t="shared" si="42"/>
        <v>5.9846088420512998E-2</v>
      </c>
      <c r="BG78" s="67"/>
      <c r="BH78" s="184"/>
      <c r="BI78" s="67"/>
      <c r="BJ78" s="67"/>
      <c r="BK78" s="67"/>
      <c r="BL78" s="157"/>
      <c r="BM78" s="66">
        <f t="shared" si="49"/>
        <v>230079.31884057971</v>
      </c>
      <c r="BN78" s="67"/>
      <c r="BO78" s="67">
        <f t="shared" si="50"/>
        <v>1493481</v>
      </c>
      <c r="BP78" s="67"/>
      <c r="BQ78" s="74">
        <f t="shared" si="51"/>
        <v>9.4074740324272543E-2</v>
      </c>
      <c r="BR78" s="67"/>
      <c r="BS78" s="86"/>
      <c r="BT78" s="184"/>
      <c r="BU78" s="1"/>
      <c r="BV78">
        <f t="shared" si="53"/>
        <v>69</v>
      </c>
    </row>
    <row r="79" spans="2:74" x14ac:dyDescent="0.3">
      <c r="B79" s="172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>
        <f t="shared" si="43"/>
        <v>25564.528571428571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8"/>
        <v>105430</v>
      </c>
      <c r="AA79" s="33"/>
      <c r="AB79" s="46">
        <f t="shared" si="44"/>
        <v>5.891533860812722E-2</v>
      </c>
      <c r="AC79" s="33"/>
      <c r="AD79" s="33">
        <f t="shared" si="45"/>
        <v>1506.1428571428571</v>
      </c>
      <c r="AE79" s="50"/>
      <c r="AF79" s="33"/>
      <c r="AG79" s="33">
        <f t="shared" si="35"/>
        <v>1223</v>
      </c>
      <c r="AH79" s="232"/>
      <c r="AI79" s="50"/>
      <c r="AJ79" s="10"/>
      <c r="AK79" s="23">
        <f t="shared" si="39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40"/>
        <v>1.7536163874890334E-2</v>
      </c>
      <c r="AR79" s="25"/>
      <c r="AS79" s="25"/>
      <c r="AT79" s="24"/>
      <c r="AU79" s="342">
        <f t="shared" si="46"/>
        <v>0.2786925187075619</v>
      </c>
      <c r="AV79" s="342"/>
      <c r="AW79" s="24">
        <f t="shared" si="47"/>
        <v>7124.6428571428569</v>
      </c>
      <c r="AX79" s="352"/>
      <c r="AY79" s="10"/>
      <c r="AZ79" s="66">
        <f t="shared" si="41"/>
        <v>455839</v>
      </c>
      <c r="BA79" s="67"/>
      <c r="BB79" s="67">
        <v>16331312</v>
      </c>
      <c r="BC79" s="67"/>
      <c r="BD79" s="67">
        <f t="shared" si="48"/>
        <v>22658</v>
      </c>
      <c r="BE79" s="67"/>
      <c r="BF79" s="157">
        <f t="shared" si="42"/>
        <v>4.9706146249004581E-2</v>
      </c>
      <c r="BG79" s="67"/>
      <c r="BH79" s="184"/>
      <c r="BI79" s="67"/>
      <c r="BJ79" s="67"/>
      <c r="BK79" s="67"/>
      <c r="BL79" s="157"/>
      <c r="BM79" s="66">
        <f t="shared" si="49"/>
        <v>233304.45714285714</v>
      </c>
      <c r="BN79" s="67"/>
      <c r="BO79" s="67">
        <f t="shared" si="50"/>
        <v>1516139</v>
      </c>
      <c r="BP79" s="67"/>
      <c r="BQ79" s="74">
        <f t="shared" si="51"/>
        <v>9.2836325703654424E-2</v>
      </c>
      <c r="BR79" s="67"/>
      <c r="BS79" s="86"/>
      <c r="BT79" s="184"/>
      <c r="BU79" s="1"/>
      <c r="BV79">
        <f t="shared" si="53"/>
        <v>70</v>
      </c>
    </row>
    <row r="80" spans="2:74" x14ac:dyDescent="0.3">
      <c r="B80" s="172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>
        <f t="shared" si="43"/>
        <v>25557.549295774646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8"/>
        <v>106642</v>
      </c>
      <c r="AA80" s="33"/>
      <c r="AB80" s="46">
        <f t="shared" si="44"/>
        <v>5.8769328100183732E-2</v>
      </c>
      <c r="AC80" s="33"/>
      <c r="AD80" s="33">
        <f t="shared" si="45"/>
        <v>1502</v>
      </c>
      <c r="AE80" s="50"/>
      <c r="AF80" s="33"/>
      <c r="AG80" s="33">
        <f t="shared" si="35"/>
        <v>1212</v>
      </c>
      <c r="AH80" s="232"/>
      <c r="AI80" s="50"/>
      <c r="AJ80" s="10"/>
      <c r="AK80" s="23">
        <f t="shared" si="39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40"/>
        <v>4.1794576169231538E-2</v>
      </c>
      <c r="AR80" s="25"/>
      <c r="AS80" s="25"/>
      <c r="AT80" s="24"/>
      <c r="AU80" s="342">
        <f t="shared" si="46"/>
        <v>0.28632922330493016</v>
      </c>
      <c r="AV80" s="342"/>
      <c r="AW80" s="24">
        <f t="shared" si="47"/>
        <v>7317.8732394366198</v>
      </c>
      <c r="AX80" s="352"/>
      <c r="AY80" s="10"/>
      <c r="AZ80" s="66">
        <f t="shared" si="41"/>
        <v>479466</v>
      </c>
      <c r="BA80" s="67"/>
      <c r="BB80" s="67">
        <v>16810778</v>
      </c>
      <c r="BC80" s="67"/>
      <c r="BD80" s="67">
        <f t="shared" si="48"/>
        <v>25069</v>
      </c>
      <c r="BE80" s="67"/>
      <c r="BF80" s="157">
        <f t="shared" si="42"/>
        <v>5.2285250674708947E-2</v>
      </c>
      <c r="BG80" s="67"/>
      <c r="BH80" s="184"/>
      <c r="BI80" s="67"/>
      <c r="BJ80" s="67"/>
      <c r="BK80" s="67"/>
      <c r="BL80" s="157"/>
      <c r="BM80" s="66">
        <f t="shared" si="49"/>
        <v>236771.52112676058</v>
      </c>
      <c r="BN80" s="67"/>
      <c r="BO80" s="67">
        <f t="shared" si="50"/>
        <v>1541208</v>
      </c>
      <c r="BP80" s="67"/>
      <c r="BQ80" s="74">
        <f t="shared" si="51"/>
        <v>9.1679754500356855E-2</v>
      </c>
      <c r="BR80" s="67"/>
      <c r="BS80" s="86"/>
      <c r="BT80" s="184"/>
      <c r="BU80" s="1"/>
      <c r="BV80">
        <f t="shared" si="53"/>
        <v>71</v>
      </c>
    </row>
    <row r="81" spans="2:74" x14ac:dyDescent="0.3">
      <c r="B81" s="476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>
        <f t="shared" si="43"/>
        <v>25526.055555555555</v>
      </c>
      <c r="O81" s="41"/>
      <c r="P81" s="17"/>
      <c r="Q81" s="16"/>
      <c r="R81" s="60"/>
      <c r="S81" s="16"/>
      <c r="T81" s="41"/>
      <c r="U81" s="478"/>
      <c r="V81" s="34">
        <v>1015</v>
      </c>
      <c r="W81" s="33"/>
      <c r="X81" s="33"/>
      <c r="Y81" s="33"/>
      <c r="Z81" s="33">
        <f t="shared" si="38"/>
        <v>107657</v>
      </c>
      <c r="AA81" s="33"/>
      <c r="AB81" s="46">
        <f t="shared" si="44"/>
        <v>5.8576857198200528E-2</v>
      </c>
      <c r="AC81" s="33"/>
      <c r="AD81" s="33">
        <f t="shared" si="45"/>
        <v>1495.2361111111111</v>
      </c>
      <c r="AE81" s="50"/>
      <c r="AF81" s="33"/>
      <c r="AG81" s="33">
        <f t="shared" si="35"/>
        <v>1015</v>
      </c>
      <c r="AH81" s="232"/>
      <c r="AI81" s="50"/>
      <c r="AJ81" s="10"/>
      <c r="AK81" s="23">
        <f t="shared" si="39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40"/>
        <v>3.0157688391724679E-2</v>
      </c>
      <c r="AR81" s="25"/>
      <c r="AS81" s="25"/>
      <c r="AT81" s="24"/>
      <c r="AU81" s="342">
        <f t="shared" si="46"/>
        <v>0.2912263939460551</v>
      </c>
      <c r="AV81" s="342"/>
      <c r="AW81" s="24">
        <f t="shared" si="47"/>
        <v>7433.8611111111113</v>
      </c>
      <c r="AX81" s="352"/>
      <c r="AY81" s="504"/>
      <c r="AZ81" s="66">
        <f t="shared" si="41"/>
        <v>460063</v>
      </c>
      <c r="BA81" s="67"/>
      <c r="BB81" s="67">
        <v>17270841</v>
      </c>
      <c r="BC81" s="67"/>
      <c r="BD81" s="67">
        <f t="shared" si="48"/>
        <v>23290</v>
      </c>
      <c r="BE81" s="67"/>
      <c r="BF81" s="157">
        <f t="shared" si="42"/>
        <v>5.0623501563916248E-2</v>
      </c>
      <c r="BG81" s="67"/>
      <c r="BH81" s="184"/>
      <c r="BI81" s="67"/>
      <c r="BJ81" s="67"/>
      <c r="BK81" s="67"/>
      <c r="BL81" s="157"/>
      <c r="BM81" s="66">
        <f t="shared" si="49"/>
        <v>239872.79166666666</v>
      </c>
      <c r="BN81" s="67"/>
      <c r="BO81" s="67">
        <f t="shared" si="50"/>
        <v>1564498</v>
      </c>
      <c r="BP81" s="67"/>
      <c r="BQ81" s="74">
        <f t="shared" si="51"/>
        <v>9.0586092478067509E-2</v>
      </c>
      <c r="BR81" s="67"/>
      <c r="BS81" s="86"/>
      <c r="BT81" s="184"/>
      <c r="BU81" s="1"/>
      <c r="BV81">
        <f t="shared" si="53"/>
        <v>72</v>
      </c>
    </row>
    <row r="82" spans="2:74" x14ac:dyDescent="0.3">
      <c r="B82" s="391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>
        <f t="shared" si="43"/>
        <v>25455.150684931508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2"/>
      <c r="V82" s="34">
        <v>638</v>
      </c>
      <c r="W82" s="33"/>
      <c r="X82" s="33"/>
      <c r="Y82" s="33"/>
      <c r="Z82" s="33">
        <f t="shared" si="38"/>
        <v>108295</v>
      </c>
      <c r="AA82" s="33"/>
      <c r="AB82" s="46">
        <f t="shared" si="44"/>
        <v>5.8278702375276208E-2</v>
      </c>
      <c r="AC82" s="33"/>
      <c r="AD82" s="33">
        <f t="shared" si="45"/>
        <v>1483.4931506849316</v>
      </c>
      <c r="AE82" s="50"/>
      <c r="AF82" s="33">
        <f>SUM(V76:V82)</f>
        <v>6895</v>
      </c>
      <c r="AG82" s="33">
        <f t="shared" si="35"/>
        <v>638</v>
      </c>
      <c r="AH82" s="232">
        <f>+(AF82-AF75)/AF75</f>
        <v>-0.17147320355683729</v>
      </c>
      <c r="AI82" s="50"/>
      <c r="AJ82" s="392"/>
      <c r="AK82" s="23">
        <f t="shared" si="39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40"/>
        <v>0.12074815315803437</v>
      </c>
      <c r="AR82" s="25"/>
      <c r="AS82" s="25"/>
      <c r="AT82" s="24"/>
      <c r="AU82" s="342">
        <f t="shared" si="46"/>
        <v>0.32281703086707431</v>
      </c>
      <c r="AV82" s="342"/>
      <c r="AW82" s="24">
        <f t="shared" si="47"/>
        <v>8217.3561643835619</v>
      </c>
      <c r="AX82" s="352"/>
      <c r="AY82" s="392"/>
      <c r="AZ82" s="66">
        <f t="shared" si="41"/>
        <v>401726</v>
      </c>
      <c r="BA82" s="67"/>
      <c r="BB82" s="67">
        <v>17672567</v>
      </c>
      <c r="BC82" s="67"/>
      <c r="BD82" s="67">
        <f t="shared" si="48"/>
        <v>20350</v>
      </c>
      <c r="BE82" s="67"/>
      <c r="BF82" s="157">
        <f t="shared" si="42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9"/>
        <v>242089.95890410958</v>
      </c>
      <c r="BN82" s="67"/>
      <c r="BO82" s="67">
        <f t="shared" si="50"/>
        <v>1584848</v>
      </c>
      <c r="BP82" s="67"/>
      <c r="BQ82" s="74">
        <f t="shared" si="51"/>
        <v>8.9678426456100011E-2</v>
      </c>
      <c r="BR82" s="67"/>
      <c r="BS82" s="86"/>
      <c r="BT82" s="184"/>
      <c r="BU82" s="1"/>
      <c r="BV82">
        <f t="shared" si="53"/>
        <v>73</v>
      </c>
    </row>
    <row r="83" spans="2:74" x14ac:dyDescent="0.3">
      <c r="B83" s="172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>
        <f t="shared" si="43"/>
        <v>25410.527027027027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8"/>
        <v>109025</v>
      </c>
      <c r="AA83" s="33"/>
      <c r="AB83" s="46">
        <f t="shared" si="44"/>
        <v>5.7980332688250612E-2</v>
      </c>
      <c r="AC83" s="33"/>
      <c r="AD83" s="33">
        <f t="shared" si="45"/>
        <v>1473.3108108108108</v>
      </c>
      <c r="AE83" s="50"/>
      <c r="AF83" s="33">
        <f>SUM(D52:D82)</f>
        <v>742147</v>
      </c>
      <c r="AG83" s="33"/>
      <c r="AH83" s="232"/>
      <c r="AI83" s="50"/>
      <c r="AJ83" s="10"/>
      <c r="AK83" s="23">
        <f t="shared" si="39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40"/>
        <v>2.5774046580325307E-2</v>
      </c>
      <c r="AR83" s="25"/>
      <c r="AS83" s="25"/>
      <c r="AT83" s="24"/>
      <c r="AU83" s="342">
        <f t="shared" si="46"/>
        <v>0.32723615824256708</v>
      </c>
      <c r="AV83" s="342"/>
      <c r="AW83" s="24">
        <f t="shared" si="47"/>
        <v>8315.2432432432433</v>
      </c>
      <c r="AX83" s="352"/>
      <c r="AY83" s="10"/>
      <c r="AZ83" s="66">
        <f t="shared" si="41"/>
        <v>477486</v>
      </c>
      <c r="BA83" s="67"/>
      <c r="BB83" s="67">
        <v>18150053</v>
      </c>
      <c r="BC83" s="67"/>
      <c r="BD83" s="67">
        <f t="shared" si="48"/>
        <v>22153</v>
      </c>
      <c r="BE83" s="67"/>
      <c r="BF83" s="157">
        <f t="shared" si="42"/>
        <v>4.6395077552011998E-2</v>
      </c>
      <c r="BG83" s="67"/>
      <c r="BH83" s="184"/>
      <c r="BI83" s="67"/>
      <c r="BJ83" s="67"/>
      <c r="BK83" s="67"/>
      <c r="BL83" s="157"/>
      <c r="BM83" s="66">
        <f t="shared" si="49"/>
        <v>245270.98648648648</v>
      </c>
      <c r="BN83" s="67"/>
      <c r="BO83" s="67">
        <f t="shared" si="50"/>
        <v>1607001</v>
      </c>
      <c r="BP83" s="67"/>
      <c r="BQ83" s="74">
        <f t="shared" si="51"/>
        <v>8.8539741454198503E-2</v>
      </c>
      <c r="BR83" s="67"/>
      <c r="BS83" s="86"/>
      <c r="BT83" s="184"/>
      <c r="BU83" s="1"/>
      <c r="BV83">
        <f t="shared" si="53"/>
        <v>74</v>
      </c>
    </row>
    <row r="84" spans="2:74" x14ac:dyDescent="0.3">
      <c r="B84" s="172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>
        <f t="shared" si="43"/>
        <v>25363.48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8"/>
        <v>110159</v>
      </c>
      <c r="AA84" s="33"/>
      <c r="AB84" s="46">
        <f t="shared" si="44"/>
        <v>5.7909508737234272E-2</v>
      </c>
      <c r="AC84" s="33"/>
      <c r="AD84" s="33">
        <f t="shared" si="45"/>
        <v>1468.7866666666666</v>
      </c>
      <c r="AE84" s="50"/>
      <c r="AF84" s="33">
        <f>SUM(AG52:AG82)</f>
        <v>42339</v>
      </c>
      <c r="AG84" s="33"/>
      <c r="AH84" s="232"/>
      <c r="AI84" s="50"/>
      <c r="AJ84" s="10"/>
      <c r="AK84" s="23">
        <f t="shared" si="39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40"/>
        <v>4.9320037443444799E-2</v>
      </c>
      <c r="AR84" s="25"/>
      <c r="AS84" s="25"/>
      <c r="AT84" s="24"/>
      <c r="AU84" s="342">
        <f t="shared" si="46"/>
        <v>0.33942555727105794</v>
      </c>
      <c r="AV84" s="342"/>
      <c r="AW84" s="24">
        <f t="shared" si="47"/>
        <v>8609.0133333333342</v>
      </c>
      <c r="AX84" s="352"/>
      <c r="AY84" s="10"/>
      <c r="AZ84" s="66">
        <f t="shared" si="41"/>
        <v>453121</v>
      </c>
      <c r="BA84" s="67"/>
      <c r="BB84" s="67">
        <v>18603174</v>
      </c>
      <c r="BC84" s="67"/>
      <c r="BD84" s="67">
        <f t="shared" si="48"/>
        <v>21882</v>
      </c>
      <c r="BE84" s="67"/>
      <c r="BF84" s="157">
        <f t="shared" si="42"/>
        <v>4.8291736644295896E-2</v>
      </c>
      <c r="BG84" s="67"/>
      <c r="BH84" s="184"/>
      <c r="BI84" s="67"/>
      <c r="BJ84" s="67"/>
      <c r="BK84" s="67"/>
      <c r="BL84" s="157"/>
      <c r="BM84" s="66">
        <f t="shared" si="49"/>
        <v>248042.32</v>
      </c>
      <c r="BN84" s="67"/>
      <c r="BO84" s="67">
        <f t="shared" si="50"/>
        <v>1628883</v>
      </c>
      <c r="BP84" s="67"/>
      <c r="BQ84" s="74">
        <f t="shared" si="51"/>
        <v>8.7559413248513393E-2</v>
      </c>
      <c r="BR84" s="67"/>
      <c r="BS84" s="86"/>
      <c r="BT84" s="184"/>
      <c r="BU84" s="1"/>
      <c r="BV84">
        <f t="shared" si="53"/>
        <v>75</v>
      </c>
    </row>
    <row r="85" spans="2:74" x14ac:dyDescent="0.3">
      <c r="B85" s="172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>
        <f t="shared" si="43"/>
        <v>25300.513157894737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8"/>
        <v>111242</v>
      </c>
      <c r="AA85" s="33"/>
      <c r="AB85" s="46">
        <f t="shared" si="44"/>
        <v>5.7852997572859714E-2</v>
      </c>
      <c r="AC85" s="33"/>
      <c r="AD85" s="33">
        <f t="shared" si="45"/>
        <v>1463.7105263157894</v>
      </c>
      <c r="AE85" s="50"/>
      <c r="AF85" s="232">
        <f>+AF84/AF83</f>
        <v>5.7049344671608188E-2</v>
      </c>
      <c r="AG85" s="33"/>
      <c r="AH85" s="232"/>
      <c r="AI85" s="50"/>
      <c r="AJ85" s="10"/>
      <c r="AK85" s="23">
        <f t="shared" si="39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40"/>
        <v>6.6587576431522938E-2</v>
      </c>
      <c r="AR85" s="25"/>
      <c r="AS85" s="25"/>
      <c r="AT85" s="24"/>
      <c r="AU85" s="342">
        <f t="shared" si="46"/>
        <v>0.35815271065336202</v>
      </c>
      <c r="AV85" s="342"/>
      <c r="AW85" s="24">
        <f t="shared" si="47"/>
        <v>9061.4473684210534</v>
      </c>
      <c r="AX85" s="352"/>
      <c r="AY85" s="10"/>
      <c r="AZ85" s="66">
        <f t="shared" si="41"/>
        <v>493497</v>
      </c>
      <c r="BA85" s="67"/>
      <c r="BB85" s="67">
        <v>19096671</v>
      </c>
      <c r="BC85" s="67"/>
      <c r="BD85" s="67">
        <f t="shared" si="48"/>
        <v>20578</v>
      </c>
      <c r="BE85" s="67"/>
      <c r="BF85" s="157">
        <f t="shared" si="42"/>
        <v>4.1698328459950113E-2</v>
      </c>
      <c r="BG85" s="67"/>
      <c r="BH85" s="184"/>
      <c r="BI85" s="67"/>
      <c r="BJ85" s="67"/>
      <c r="BK85" s="67"/>
      <c r="BL85" s="157"/>
      <c r="BM85" s="66">
        <f t="shared" si="49"/>
        <v>251271.98684210525</v>
      </c>
      <c r="BN85" s="67"/>
      <c r="BO85" s="67">
        <f t="shared" si="50"/>
        <v>1649461</v>
      </c>
      <c r="BP85" s="67"/>
      <c r="BQ85" s="74">
        <f t="shared" si="51"/>
        <v>8.6374269106903503E-2</v>
      </c>
      <c r="BR85" s="67"/>
      <c r="BS85" s="86"/>
      <c r="BT85" s="184"/>
      <c r="BU85" s="1"/>
      <c r="BV85">
        <f t="shared" si="53"/>
        <v>76</v>
      </c>
    </row>
    <row r="86" spans="2:74" x14ac:dyDescent="0.3">
      <c r="B86" s="172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>
        <f t="shared" si="43"/>
        <v>25261.129870129869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8"/>
        <v>112273</v>
      </c>
      <c r="AA86" s="33"/>
      <c r="AB86" s="46">
        <f t="shared" si="44"/>
        <v>5.7720732072837122E-2</v>
      </c>
      <c r="AC86" s="33"/>
      <c r="AD86" s="33">
        <f t="shared" si="45"/>
        <v>1458.090909090909</v>
      </c>
      <c r="AE86" s="50"/>
      <c r="AF86" s="33"/>
      <c r="AG86" s="33"/>
      <c r="AH86" s="232"/>
      <c r="AI86" s="50"/>
      <c r="AJ86" s="10"/>
      <c r="AK86" s="23">
        <f t="shared" si="39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40"/>
        <v>3.4242815862459523E-2</v>
      </c>
      <c r="AR86" s="25"/>
      <c r="AS86" s="25"/>
      <c r="AT86" s="24"/>
      <c r="AU86" s="342">
        <f t="shared" si="46"/>
        <v>0.36617625662752745</v>
      </c>
      <c r="AV86" s="342"/>
      <c r="AW86" s="24">
        <f t="shared" si="47"/>
        <v>9250.0259740259735</v>
      </c>
      <c r="AX86" s="352"/>
      <c r="AY86" s="10"/>
      <c r="AZ86" s="66">
        <f t="shared" si="41"/>
        <v>471398</v>
      </c>
      <c r="BA86" s="67"/>
      <c r="BB86" s="67">
        <v>19568069</v>
      </c>
      <c r="BC86" s="67"/>
      <c r="BD86" s="67">
        <f t="shared" si="48"/>
        <v>22268</v>
      </c>
      <c r="BE86" s="67"/>
      <c r="BF86" s="157">
        <f t="shared" si="42"/>
        <v>4.7238214841810955E-2</v>
      </c>
      <c r="BG86" s="67"/>
      <c r="BH86" s="184"/>
      <c r="BI86" s="67"/>
      <c r="BJ86" s="67"/>
      <c r="BK86" s="67"/>
      <c r="BL86" s="157"/>
      <c r="BM86" s="66">
        <f t="shared" si="49"/>
        <v>254130.76623376625</v>
      </c>
      <c r="BN86" s="67"/>
      <c r="BO86" s="67">
        <f t="shared" si="50"/>
        <v>1671729</v>
      </c>
      <c r="BP86" s="67"/>
      <c r="BQ86" s="74">
        <f t="shared" si="51"/>
        <v>8.5431475124091188E-2</v>
      </c>
      <c r="BR86" s="67"/>
      <c r="BS86" s="86"/>
      <c r="BT86" s="184"/>
      <c r="BU86" s="1"/>
      <c r="BV86">
        <f t="shared" si="53"/>
        <v>77</v>
      </c>
    </row>
    <row r="87" spans="2:74" x14ac:dyDescent="0.3">
      <c r="B87" s="172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>
        <f t="shared" si="43"/>
        <v>25262.820512820512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8"/>
        <v>113248</v>
      </c>
      <c r="AA87" s="33"/>
      <c r="AB87" s="46">
        <f t="shared" si="44"/>
        <v>5.7471707688403956E-2</v>
      </c>
      <c r="AC87" s="33"/>
      <c r="AD87" s="33">
        <f t="shared" si="45"/>
        <v>1451.8974358974358</v>
      </c>
      <c r="AE87" s="50"/>
      <c r="AF87" s="33"/>
      <c r="AG87" s="33"/>
      <c r="AH87" s="232"/>
      <c r="AI87" s="50"/>
      <c r="AJ87" s="10"/>
      <c r="AK87" s="23">
        <f t="shared" si="39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40"/>
        <v>3.7057109000746928E-2</v>
      </c>
      <c r="AR87" s="25"/>
      <c r="AS87" s="25"/>
      <c r="AT87" s="24"/>
      <c r="AU87" s="342">
        <f t="shared" si="46"/>
        <v>0.37485206800304494</v>
      </c>
      <c r="AV87" s="342"/>
      <c r="AW87" s="24">
        <f t="shared" si="47"/>
        <v>9469.8205128205136</v>
      </c>
      <c r="AX87" s="352"/>
      <c r="AY87" s="10"/>
      <c r="AZ87" s="66">
        <f t="shared" si="41"/>
        <v>699286</v>
      </c>
      <c r="BA87" s="67"/>
      <c r="BB87" s="67">
        <v>20267355</v>
      </c>
      <c r="BC87" s="67"/>
      <c r="BD87" s="67">
        <f t="shared" si="48"/>
        <v>25393</v>
      </c>
      <c r="BE87" s="67"/>
      <c r="BF87" s="157">
        <f t="shared" si="42"/>
        <v>3.631275329407424E-2</v>
      </c>
      <c r="BG87" s="67"/>
      <c r="BH87" s="184"/>
      <c r="BI87" s="67"/>
      <c r="BJ87" s="67"/>
      <c r="BK87" s="67"/>
      <c r="BL87" s="157"/>
      <c r="BM87" s="66">
        <f t="shared" si="49"/>
        <v>259837.88461538462</v>
      </c>
      <c r="BN87" s="67"/>
      <c r="BO87" s="67">
        <f t="shared" si="50"/>
        <v>1697122</v>
      </c>
      <c r="BP87" s="67"/>
      <c r="BQ87" s="74">
        <f t="shared" si="51"/>
        <v>8.3736728349604578E-2</v>
      </c>
      <c r="BR87" s="67"/>
      <c r="BS87" s="86"/>
      <c r="BT87" s="184"/>
      <c r="BU87" s="1"/>
      <c r="BV87">
        <f t="shared" si="53"/>
        <v>78</v>
      </c>
    </row>
    <row r="88" spans="2:74" x14ac:dyDescent="0.3">
      <c r="B88" s="476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>
        <f t="shared" si="43"/>
        <v>25232.101265822785</v>
      </c>
      <c r="O88" s="41"/>
      <c r="P88" s="17"/>
      <c r="Q88" s="16"/>
      <c r="R88" s="60"/>
      <c r="S88" s="16"/>
      <c r="T88" s="41"/>
      <c r="U88" s="478"/>
      <c r="V88" s="34">
        <v>706</v>
      </c>
      <c r="W88" s="33"/>
      <c r="X88" s="33"/>
      <c r="Y88" s="33"/>
      <c r="Z88" s="33">
        <f t="shared" si="38"/>
        <v>113954</v>
      </c>
      <c r="AA88" s="33"/>
      <c r="AB88" s="46">
        <f t="shared" si="44"/>
        <v>5.7167482050191239E-2</v>
      </c>
      <c r="AC88" s="33"/>
      <c r="AD88" s="33">
        <f t="shared" si="45"/>
        <v>1442.4556962025317</v>
      </c>
      <c r="AE88" s="50"/>
      <c r="AF88" s="33"/>
      <c r="AG88" s="33"/>
      <c r="AH88" s="232"/>
      <c r="AI88" s="50"/>
      <c r="AJ88" s="10"/>
      <c r="AK88" s="23">
        <f t="shared" si="39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40"/>
        <v>1.7666107986775804E-2</v>
      </c>
      <c r="AR88" s="25"/>
      <c r="AS88" s="25"/>
      <c r="AT88" s="24"/>
      <c r="AU88" s="342">
        <f t="shared" si="46"/>
        <v>0.37710401056319659</v>
      </c>
      <c r="AV88" s="342"/>
      <c r="AW88" s="24">
        <f t="shared" si="47"/>
        <v>9515.1265822784808</v>
      </c>
      <c r="AX88" s="352"/>
      <c r="AY88" s="10"/>
      <c r="AZ88" s="66">
        <f t="shared" si="41"/>
        <v>551073</v>
      </c>
      <c r="BA88" s="67"/>
      <c r="BB88" s="67">
        <v>20818428</v>
      </c>
      <c r="BC88" s="67"/>
      <c r="BD88" s="67">
        <f t="shared" si="48"/>
        <v>22836</v>
      </c>
      <c r="BE88" s="67"/>
      <c r="BF88" s="157">
        <f t="shared" si="42"/>
        <v>4.1439155973890938E-2</v>
      </c>
      <c r="BG88" s="67"/>
      <c r="BH88" s="184"/>
      <c r="BI88" s="67"/>
      <c r="BJ88" s="67"/>
      <c r="BK88" s="67"/>
      <c r="BL88" s="157"/>
      <c r="BM88" s="66">
        <f t="shared" si="49"/>
        <v>263524.40506329114</v>
      </c>
      <c r="BN88" s="67"/>
      <c r="BO88" s="67">
        <f t="shared" si="50"/>
        <v>1719958</v>
      </c>
      <c r="BP88" s="67"/>
      <c r="BQ88" s="74">
        <f t="shared" si="51"/>
        <v>8.2617092894814156E-2</v>
      </c>
      <c r="BR88" s="67"/>
      <c r="BS88" s="86"/>
      <c r="BT88" s="184"/>
      <c r="BU88" s="1"/>
      <c r="BV88">
        <f t="shared" si="53"/>
        <v>79</v>
      </c>
    </row>
    <row r="89" spans="2:74" x14ac:dyDescent="0.3">
      <c r="B89" s="391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>
        <f t="shared" si="43"/>
        <v>25146.387500000001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2"/>
      <c r="V89" s="34">
        <v>542</v>
      </c>
      <c r="W89" s="33"/>
      <c r="X89" s="33"/>
      <c r="Y89" s="33"/>
      <c r="Z89" s="33">
        <f t="shared" si="38"/>
        <v>114496</v>
      </c>
      <c r="AA89" s="33"/>
      <c r="AB89" s="46">
        <f t="shared" si="44"/>
        <v>5.6914735764729628E-2</v>
      </c>
      <c r="AC89" s="33"/>
      <c r="AD89" s="33">
        <f t="shared" si="45"/>
        <v>1431.2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2"/>
      <c r="AK89" s="23">
        <f t="shared" si="39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40"/>
        <v>1.3320562196103473E-2</v>
      </c>
      <c r="AR89" s="25"/>
      <c r="AS89" s="25"/>
      <c r="AT89" s="24"/>
      <c r="AU89" s="342">
        <f t="shared" si="46"/>
        <v>0.37863689168076331</v>
      </c>
      <c r="AV89" s="342"/>
      <c r="AW89" s="24">
        <f t="shared" si="47"/>
        <v>9521.35</v>
      </c>
      <c r="AX89" s="352"/>
      <c r="AY89" s="392"/>
      <c r="AZ89" s="66">
        <f t="shared" si="41"/>
        <v>473249</v>
      </c>
      <c r="BA89" s="67"/>
      <c r="BB89" s="67">
        <v>21291677</v>
      </c>
      <c r="BC89" s="67"/>
      <c r="BD89" s="67">
        <f t="shared" si="48"/>
        <v>18375</v>
      </c>
      <c r="BE89" s="67"/>
      <c r="BF89" s="157">
        <f t="shared" si="42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9"/>
        <v>266145.96250000002</v>
      </c>
      <c r="BN89" s="67"/>
      <c r="BO89" s="67">
        <f t="shared" si="50"/>
        <v>1738333</v>
      </c>
      <c r="BP89" s="67"/>
      <c r="BQ89" s="74">
        <f t="shared" si="51"/>
        <v>8.1643780337265118E-2</v>
      </c>
      <c r="BR89" s="67"/>
      <c r="BS89" s="86"/>
      <c r="BT89" s="184"/>
      <c r="BU89" s="1"/>
      <c r="BV89">
        <f t="shared" si="53"/>
        <v>80</v>
      </c>
    </row>
    <row r="90" spans="2:74" x14ac:dyDescent="0.3">
      <c r="B90" s="172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>
        <f t="shared" si="43"/>
        <v>25071.04938271605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8"/>
        <v>115082</v>
      </c>
      <c r="AA90" s="33"/>
      <c r="AB90" s="46">
        <f t="shared" si="44"/>
        <v>5.6669563782928027E-2</v>
      </c>
      <c r="AC90" s="33"/>
      <c r="AD90" s="33">
        <f t="shared" si="45"/>
        <v>1420.7654320987654</v>
      </c>
      <c r="AE90" s="50"/>
      <c r="AF90" s="33"/>
      <c r="AG90" s="33"/>
      <c r="AH90" s="232"/>
      <c r="AI90" s="50"/>
      <c r="AJ90" s="10"/>
      <c r="AK90" s="23">
        <f t="shared" si="39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40"/>
        <v>1.545474118691152E-2</v>
      </c>
      <c r="AR90" s="25"/>
      <c r="AS90" s="25"/>
      <c r="AT90" s="24"/>
      <c r="AU90" s="342">
        <f t="shared" si="46"/>
        <v>0.38088297209658478</v>
      </c>
      <c r="AV90" s="342"/>
      <c r="AW90" s="24">
        <f t="shared" si="47"/>
        <v>9549.1358024691363</v>
      </c>
      <c r="AX90" s="352"/>
      <c r="AY90" s="10"/>
      <c r="AZ90" s="66">
        <f t="shared" si="41"/>
        <v>433387</v>
      </c>
      <c r="BA90" s="67"/>
      <c r="BB90" s="67">
        <v>21725064</v>
      </c>
      <c r="BC90" s="67"/>
      <c r="BD90" s="67">
        <f t="shared" si="48"/>
        <v>19044</v>
      </c>
      <c r="BE90" s="67"/>
      <c r="BF90" s="157">
        <f t="shared" si="42"/>
        <v>4.3942250229010098E-2</v>
      </c>
      <c r="BG90" s="67"/>
      <c r="BH90" s="184"/>
      <c r="BI90" s="67"/>
      <c r="BJ90" s="67"/>
      <c r="BK90" s="67"/>
      <c r="BL90" s="157"/>
      <c r="BM90" s="66">
        <f t="shared" si="49"/>
        <v>268210.66666666669</v>
      </c>
      <c r="BN90" s="67"/>
      <c r="BO90" s="67">
        <f t="shared" si="50"/>
        <v>1757377</v>
      </c>
      <c r="BP90" s="67"/>
      <c r="BQ90" s="74">
        <f t="shared" si="51"/>
        <v>8.0891683449125854E-2</v>
      </c>
      <c r="BR90" s="67"/>
      <c r="BS90" s="86"/>
      <c r="BT90" s="184"/>
      <c r="BU90" s="1"/>
      <c r="BV90">
        <f t="shared" si="53"/>
        <v>81</v>
      </c>
    </row>
    <row r="91" spans="2:74" x14ac:dyDescent="0.3">
      <c r="B91" s="172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>
        <f t="shared" si="43"/>
        <v>24997.695121951219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8"/>
        <v>116175</v>
      </c>
      <c r="AA91" s="33"/>
      <c r="AB91" s="46">
        <f t="shared" si="44"/>
        <v>5.6675956954080155E-2</v>
      </c>
      <c r="AC91" s="33"/>
      <c r="AD91" s="33">
        <f t="shared" si="45"/>
        <v>1416.7682926829268</v>
      </c>
      <c r="AE91" s="50"/>
      <c r="AF91" s="33"/>
      <c r="AG91" s="33"/>
      <c r="AH91" s="232"/>
      <c r="AI91" s="50"/>
      <c r="AJ91" s="10"/>
      <c r="AK91" s="23">
        <f t="shared" si="39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40"/>
        <v>1.988674561721053E-2</v>
      </c>
      <c r="AR91" s="25"/>
      <c r="AS91" s="25"/>
      <c r="AT91" s="24"/>
      <c r="AU91" s="342">
        <f t="shared" si="46"/>
        <v>0.38484621265082486</v>
      </c>
      <c r="AV91" s="342"/>
      <c r="AW91" s="24">
        <f t="shared" si="47"/>
        <v>9620.2682926829275</v>
      </c>
      <c r="AX91" s="352"/>
      <c r="AY91" s="10"/>
      <c r="AZ91" s="66">
        <f t="shared" si="41"/>
        <v>415612</v>
      </c>
      <c r="BA91" s="67"/>
      <c r="BB91" s="67">
        <v>22140676</v>
      </c>
      <c r="BC91" s="67"/>
      <c r="BD91" s="67">
        <f t="shared" si="48"/>
        <v>19056</v>
      </c>
      <c r="BE91" s="67"/>
      <c r="BF91" s="157">
        <f t="shared" si="42"/>
        <v>4.5850456675938137E-2</v>
      </c>
      <c r="BG91" s="67"/>
      <c r="BH91" s="184"/>
      <c r="BI91" s="67"/>
      <c r="BJ91" s="67"/>
      <c r="BK91" s="67"/>
      <c r="BL91" s="157"/>
      <c r="BM91" s="66">
        <f t="shared" si="49"/>
        <v>270008.24390243902</v>
      </c>
      <c r="BN91" s="67"/>
      <c r="BO91" s="67">
        <f t="shared" si="50"/>
        <v>1776433</v>
      </c>
      <c r="BP91" s="67"/>
      <c r="BQ91" s="74">
        <f t="shared" si="51"/>
        <v>8.0233909750542398E-2</v>
      </c>
      <c r="BR91" s="67"/>
      <c r="BS91" s="86"/>
      <c r="BT91" s="184"/>
      <c r="BU91" s="1"/>
      <c r="BV91">
        <f t="shared" si="53"/>
        <v>82</v>
      </c>
    </row>
    <row r="92" spans="2:74" x14ac:dyDescent="0.3">
      <c r="B92" s="172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>
        <f t="shared" si="43"/>
        <v>24947.746987951807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8"/>
        <v>117157</v>
      </c>
      <c r="AA92" s="33"/>
      <c r="AB92" s="46">
        <f t="shared" si="44"/>
        <v>5.6579462713150327E-2</v>
      </c>
      <c r="AC92" s="33"/>
      <c r="AD92" s="33">
        <f t="shared" si="45"/>
        <v>1411.5301204819277</v>
      </c>
      <c r="AE92" s="50"/>
      <c r="AF92" s="33"/>
      <c r="AG92" s="33"/>
      <c r="AH92" s="232"/>
      <c r="AI92" s="50"/>
      <c r="AJ92" s="10"/>
      <c r="AK92" s="23">
        <f t="shared" si="39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40"/>
        <v>2.4886482046289467E-2</v>
      </c>
      <c r="AR92" s="25"/>
      <c r="AS92" s="25"/>
      <c r="AT92" s="24"/>
      <c r="AU92" s="342">
        <f t="shared" si="46"/>
        <v>0.39045175385854675</v>
      </c>
      <c r="AV92" s="342"/>
      <c r="AW92" s="24">
        <f t="shared" si="47"/>
        <v>9740.8915662650597</v>
      </c>
      <c r="AX92" s="352"/>
      <c r="AY92" s="10"/>
      <c r="AZ92" s="66">
        <f t="shared" si="41"/>
        <v>485082</v>
      </c>
      <c r="BA92" s="67"/>
      <c r="BB92" s="67">
        <v>22625758</v>
      </c>
      <c r="BC92" s="67"/>
      <c r="BD92" s="67">
        <f t="shared" si="48"/>
        <v>20852</v>
      </c>
      <c r="BE92" s="67"/>
      <c r="BF92" s="157">
        <f t="shared" si="42"/>
        <v>4.298654660449161E-2</v>
      </c>
      <c r="BG92" s="67"/>
      <c r="BH92" s="184"/>
      <c r="BI92" s="67"/>
      <c r="BJ92" s="67"/>
      <c r="BK92" s="67"/>
      <c r="BL92" s="157"/>
      <c r="BM92" s="66">
        <f t="shared" si="49"/>
        <v>272599.49397590361</v>
      </c>
      <c r="BN92" s="67"/>
      <c r="BO92" s="67">
        <f t="shared" si="50"/>
        <v>1797285</v>
      </c>
      <c r="BP92" s="67"/>
      <c r="BQ92" s="74">
        <f t="shared" si="51"/>
        <v>7.9435349746072595E-2</v>
      </c>
      <c r="BR92" s="67"/>
      <c r="BS92" s="86"/>
      <c r="BT92" s="184"/>
      <c r="BU92" s="1"/>
      <c r="BV92">
        <f t="shared" si="53"/>
        <v>83</v>
      </c>
    </row>
    <row r="93" spans="2:74" x14ac:dyDescent="0.3">
      <c r="B93" s="172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>
        <f t="shared" si="43"/>
        <v>24928.130952380954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8"/>
        <v>118061</v>
      </c>
      <c r="AA93" s="33"/>
      <c r="AB93" s="46">
        <f t="shared" si="44"/>
        <v>5.6381607506913921E-2</v>
      </c>
      <c r="AC93" s="33"/>
      <c r="AD93" s="33">
        <f t="shared" si="45"/>
        <v>1405.4880952380952</v>
      </c>
      <c r="AE93" s="50"/>
      <c r="AF93" s="33"/>
      <c r="AG93" s="33"/>
      <c r="AH93" s="232"/>
      <c r="AI93" s="50"/>
      <c r="AJ93" s="10"/>
      <c r="AK93" s="23">
        <f t="shared" si="39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40"/>
        <v>6.5937409554059773E-3</v>
      </c>
      <c r="AR93" s="25"/>
      <c r="AS93" s="25"/>
      <c r="AT93" s="24"/>
      <c r="AU93" s="342">
        <f t="shared" si="46"/>
        <v>0.38865299912176099</v>
      </c>
      <c r="AV93" s="342"/>
      <c r="AW93" s="24">
        <f t="shared" si="47"/>
        <v>9688.3928571428569</v>
      </c>
      <c r="AX93" s="352"/>
      <c r="AY93" s="10"/>
      <c r="AZ93" s="66">
        <f t="shared" si="41"/>
        <v>447712</v>
      </c>
      <c r="BA93" s="67"/>
      <c r="BB93" s="67">
        <v>23073470</v>
      </c>
      <c r="BC93" s="67"/>
      <c r="BD93" s="67">
        <f t="shared" si="48"/>
        <v>23300</v>
      </c>
      <c r="BE93" s="67"/>
      <c r="BF93" s="157">
        <f t="shared" si="42"/>
        <v>5.2042384389964974E-2</v>
      </c>
      <c r="BG93" s="67"/>
      <c r="BH93" s="184"/>
      <c r="BI93" s="67"/>
      <c r="BJ93" s="67"/>
      <c r="BK93" s="67"/>
      <c r="BL93" s="157"/>
      <c r="BM93" s="66">
        <f t="shared" si="49"/>
        <v>274684.16666666669</v>
      </c>
      <c r="BN93" s="67"/>
      <c r="BO93" s="67">
        <f t="shared" si="50"/>
        <v>1820585</v>
      </c>
      <c r="BP93" s="67"/>
      <c r="BQ93" s="74">
        <f t="shared" si="51"/>
        <v>7.8903823308761098E-2</v>
      </c>
      <c r="BR93" s="67"/>
      <c r="BS93" s="86"/>
      <c r="BT93" s="184"/>
      <c r="BU93" s="1"/>
      <c r="BV93">
        <f t="shared" si="53"/>
        <v>84</v>
      </c>
    </row>
    <row r="94" spans="2:74" x14ac:dyDescent="0.3">
      <c r="B94" s="172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>
        <f t="shared" si="43"/>
        <v>24955.105882352942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8"/>
        <v>118852</v>
      </c>
      <c r="AA94" s="33"/>
      <c r="AB94" s="46">
        <f t="shared" si="44"/>
        <v>5.6030971382020608E-2</v>
      </c>
      <c r="AC94" s="33"/>
      <c r="AD94" s="33">
        <f t="shared" si="45"/>
        <v>1398.2588235294118</v>
      </c>
      <c r="AE94" s="50"/>
      <c r="AF94" s="33"/>
      <c r="AG94" s="33"/>
      <c r="AH94" s="232"/>
      <c r="AI94" s="50"/>
      <c r="AJ94" s="10"/>
      <c r="AK94" s="23">
        <f t="shared" si="39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40"/>
        <v>3.4539366571437351E-2</v>
      </c>
      <c r="AR94" s="25"/>
      <c r="AS94" s="25"/>
      <c r="AT94" s="24"/>
      <c r="AU94" s="342">
        <f t="shared" si="46"/>
        <v>0.39691700484257847</v>
      </c>
      <c r="AV94" s="342"/>
      <c r="AW94" s="24">
        <f t="shared" si="47"/>
        <v>9905.105882352942</v>
      </c>
      <c r="AX94" s="352"/>
      <c r="AY94" s="10"/>
      <c r="AZ94" s="66">
        <f t="shared" si="41"/>
        <v>718721</v>
      </c>
      <c r="BA94" s="67"/>
      <c r="BB94" s="67">
        <v>23792191</v>
      </c>
      <c r="BC94" s="67"/>
      <c r="BD94" s="67">
        <f t="shared" si="48"/>
        <v>27221</v>
      </c>
      <c r="BE94" s="67"/>
      <c r="BF94" s="157">
        <f t="shared" si="42"/>
        <v>3.7874223794768763E-2</v>
      </c>
      <c r="BG94" s="67"/>
      <c r="BH94" s="184"/>
      <c r="BI94" s="67"/>
      <c r="BJ94" s="67"/>
      <c r="BK94" s="67"/>
      <c r="BL94" s="157"/>
      <c r="BM94" s="66">
        <f t="shared" si="49"/>
        <v>279908.12941176473</v>
      </c>
      <c r="BN94" s="67"/>
      <c r="BO94" s="67">
        <f t="shared" si="50"/>
        <v>1847806</v>
      </c>
      <c r="BP94" s="67"/>
      <c r="BQ94" s="74">
        <f t="shared" si="51"/>
        <v>7.7664389967279604E-2</v>
      </c>
      <c r="BR94" s="67"/>
      <c r="BS94" s="86"/>
      <c r="BT94" s="184"/>
      <c r="BU94" s="1"/>
      <c r="BV94">
        <f t="shared" si="53"/>
        <v>85</v>
      </c>
    </row>
    <row r="95" spans="2:74" x14ac:dyDescent="0.3">
      <c r="B95" s="476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>
        <f t="shared" si="43"/>
        <v>24959.139534883721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8"/>
        <v>119554</v>
      </c>
      <c r="AA95" s="33"/>
      <c r="AB95" s="46">
        <f t="shared" si="44"/>
        <v>5.5697544731249118E-2</v>
      </c>
      <c r="AC95" s="33"/>
      <c r="AD95" s="33">
        <f t="shared" si="45"/>
        <v>1390.1627906976744</v>
      </c>
      <c r="AE95" s="50"/>
      <c r="AF95" s="33"/>
      <c r="AG95" s="33"/>
      <c r="AH95" s="232"/>
      <c r="AI95" s="50"/>
      <c r="AJ95" s="10"/>
      <c r="AK95" s="23">
        <f t="shared" si="39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40"/>
        <v>2.1353217710651903E-2</v>
      </c>
      <c r="AR95" s="25"/>
      <c r="AS95" s="25"/>
      <c r="AT95" s="24"/>
      <c r="AU95" s="342">
        <f t="shared" si="46"/>
        <v>0.40061384048160575</v>
      </c>
      <c r="AV95" s="342"/>
      <c r="AW95" s="24">
        <f t="shared" si="47"/>
        <v>9998.9767441860458</v>
      </c>
      <c r="AX95" s="352"/>
      <c r="AY95" s="10"/>
      <c r="AZ95" s="66">
        <f t="shared" si="41"/>
        <v>500980</v>
      </c>
      <c r="BA95" s="67"/>
      <c r="BB95" s="67">
        <v>24293171</v>
      </c>
      <c r="BC95" s="67"/>
      <c r="BD95" s="67">
        <f t="shared" si="48"/>
        <v>25302</v>
      </c>
      <c r="BE95" s="67"/>
      <c r="BF95" s="157">
        <f t="shared" si="42"/>
        <v>5.0505010180047105E-2</v>
      </c>
      <c r="BG95" s="67"/>
      <c r="BH95" s="184"/>
      <c r="BI95" s="67"/>
      <c r="BJ95" s="67"/>
      <c r="BK95" s="67"/>
      <c r="BL95" s="157"/>
      <c r="BM95" s="66">
        <f t="shared" si="49"/>
        <v>282478.73255813954</v>
      </c>
      <c r="BN95" s="67"/>
      <c r="BO95" s="67">
        <f t="shared" si="50"/>
        <v>1873108</v>
      </c>
      <c r="BP95" s="67"/>
      <c r="BQ95" s="74">
        <f t="shared" si="51"/>
        <v>7.7104302274906805E-2</v>
      </c>
      <c r="BR95" s="67"/>
      <c r="BS95" s="86"/>
      <c r="BT95" s="184"/>
      <c r="BU95" s="1"/>
      <c r="BV95">
        <f t="shared" si="53"/>
        <v>86</v>
      </c>
    </row>
    <row r="96" spans="2:74" x14ac:dyDescent="0.3">
      <c r="B96" s="391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>
        <f t="shared" si="43"/>
        <v>24902.183908045976</v>
      </c>
      <c r="O96" s="41"/>
      <c r="P96" s="17">
        <f>SUM(D90:D96)</f>
        <v>154779</v>
      </c>
      <c r="Q96" s="16"/>
      <c r="R96" s="60">
        <f>+(P96-P89)/P89</f>
        <v>8.4307912825357535E-3</v>
      </c>
      <c r="S96" s="16"/>
      <c r="T96" s="41"/>
      <c r="U96" s="392"/>
      <c r="V96" s="34">
        <v>331</v>
      </c>
      <c r="W96" s="33"/>
      <c r="X96" s="33"/>
      <c r="Y96" s="33"/>
      <c r="Z96" s="33">
        <f t="shared" si="38"/>
        <v>119885</v>
      </c>
      <c r="AA96" s="33"/>
      <c r="AB96" s="46">
        <f t="shared" si="44"/>
        <v>5.533605047796205E-2</v>
      </c>
      <c r="AC96" s="33"/>
      <c r="AD96" s="33">
        <f t="shared" si="45"/>
        <v>1377.9885057471265</v>
      </c>
      <c r="AE96" s="50"/>
      <c r="AF96" s="33">
        <f>SUM(V90:V96)</f>
        <v>5389</v>
      </c>
      <c r="AG96" s="33"/>
      <c r="AH96" s="232">
        <f>+(AF96-AF89)/AF89</f>
        <v>-0.13094662151265926</v>
      </c>
      <c r="AI96" s="50"/>
      <c r="AJ96" s="392"/>
      <c r="AK96" s="23">
        <f t="shared" si="39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40"/>
        <v>9.2300142340146427E-3</v>
      </c>
      <c r="AR96" s="25"/>
      <c r="AS96" s="25"/>
      <c r="AT96" s="24"/>
      <c r="AU96" s="342">
        <f t="shared" si="46"/>
        <v>0.40057835485047244</v>
      </c>
      <c r="AV96" s="342"/>
      <c r="AW96" s="24">
        <f t="shared" si="47"/>
        <v>9975.2758620689656</v>
      </c>
      <c r="AX96" s="352"/>
      <c r="AY96" s="392"/>
      <c r="AZ96" s="66">
        <f t="shared" si="41"/>
        <v>497760</v>
      </c>
      <c r="BA96" s="67"/>
      <c r="BB96" s="67">
        <v>24790931</v>
      </c>
      <c r="BC96" s="67"/>
      <c r="BD96" s="67">
        <f t="shared" si="48"/>
        <v>20004</v>
      </c>
      <c r="BE96" s="67"/>
      <c r="BF96" s="157">
        <f t="shared" si="42"/>
        <v>4.0188042430086786E-2</v>
      </c>
      <c r="BG96" s="67"/>
      <c r="BH96" s="184"/>
      <c r="BI96" s="67"/>
      <c r="BJ96" s="67">
        <f t="shared" ref="BJ96" si="54">SUM(AZ90:AZ96)</f>
        <v>3499254</v>
      </c>
      <c r="BK96" s="67"/>
      <c r="BL96" s="157">
        <f t="shared" ref="BL96" si="55">+P96/BJ96</f>
        <v>4.4231999163250227E-2</v>
      </c>
      <c r="BM96" s="66">
        <f t="shared" si="49"/>
        <v>284953.22988505749</v>
      </c>
      <c r="BN96" s="67"/>
      <c r="BO96" s="67">
        <f t="shared" si="50"/>
        <v>1893112</v>
      </c>
      <c r="BP96" s="67"/>
      <c r="BQ96" s="74">
        <f t="shared" si="51"/>
        <v>7.636308616243577E-2</v>
      </c>
      <c r="BR96" s="67"/>
      <c r="BS96" s="86"/>
      <c r="BT96" s="184"/>
      <c r="BU96" s="1"/>
      <c r="BV96">
        <f t="shared" si="53"/>
        <v>87</v>
      </c>
    </row>
    <row r="97" spans="2:74" x14ac:dyDescent="0.3">
      <c r="B97" s="172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6">+H96+D97</f>
        <v>2187212</v>
      </c>
      <c r="I97" s="16"/>
      <c r="J97" s="38">
        <f t="shared" ref="J97:J108" si="57">+D97/H96</f>
        <v>9.5647798974377914E-3</v>
      </c>
      <c r="K97" s="16"/>
      <c r="L97" s="16"/>
      <c r="M97" s="16"/>
      <c r="N97" s="16">
        <f t="shared" ref="N97:N108" si="58">+H97/BV97</f>
        <v>24854.68181818182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:Z108" si="59">+Z96+V97</f>
        <v>120310</v>
      </c>
      <c r="AA97" s="33"/>
      <c r="AB97" s="46">
        <f t="shared" ref="AB97:AB108" si="60">+Z97/H97</f>
        <v>5.5006099088702881E-2</v>
      </c>
      <c r="AC97" s="33"/>
      <c r="AD97" s="33">
        <f t="shared" ref="AD97:AD108" si="61">+Z97/BV97</f>
        <v>1367.159090909091</v>
      </c>
      <c r="AE97" s="50"/>
      <c r="AF97" s="33"/>
      <c r="AG97" s="33"/>
      <c r="AH97" s="232"/>
      <c r="AI97" s="50"/>
      <c r="AJ97" s="10"/>
      <c r="AK97" s="23">
        <f t="shared" ref="AK97:AK108" si="62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:AQ108" si="63">+AK97/AO96</f>
        <v>2.5369620751997179E-2</v>
      </c>
      <c r="AR97" s="25"/>
      <c r="AS97" s="25"/>
      <c r="AT97" s="24"/>
      <c r="AU97" s="342">
        <f t="shared" ref="AU97:AU108" si="64">+AO97/H97</f>
        <v>0.40684945035049186</v>
      </c>
      <c r="AV97" s="342"/>
      <c r="AW97" s="24">
        <f t="shared" ref="AW97:AW108" si="65">+AO97/BV97</f>
        <v>10112.113636363636</v>
      </c>
      <c r="AX97" s="352"/>
      <c r="AY97" s="10"/>
      <c r="AZ97" s="66">
        <f t="shared" ref="AZ97:AZ108" si="66">+BB97-BB96</f>
        <v>468146</v>
      </c>
      <c r="BA97" s="67"/>
      <c r="BB97" s="67">
        <v>25259077</v>
      </c>
      <c r="BC97" s="67"/>
      <c r="BD97" s="67">
        <f t="shared" ref="BD97:BD108" si="67">+D97</f>
        <v>20722</v>
      </c>
      <c r="BE97" s="67"/>
      <c r="BF97" s="157">
        <f t="shared" ref="BF97:BF108" si="68">+BD97/AZ97</f>
        <v>4.4263968932768835E-2</v>
      </c>
      <c r="BG97" s="67"/>
      <c r="BH97" s="184"/>
      <c r="BI97" s="67"/>
      <c r="BJ97" s="67"/>
      <c r="BK97" s="67"/>
      <c r="BL97" s="157"/>
      <c r="BM97" s="66">
        <f t="shared" ref="BM97:BM108" si="69">+BB97/BV97</f>
        <v>287034.96590909088</v>
      </c>
      <c r="BN97" s="67"/>
      <c r="BO97" s="67">
        <f t="shared" ref="BO97:BO108" si="70">+BO96+BD97</f>
        <v>1913834</v>
      </c>
      <c r="BP97" s="67"/>
      <c r="BQ97" s="74">
        <f t="shared" ref="BQ97:BQ108" si="71">+BO97/BB97</f>
        <v>7.5768168409320741E-2</v>
      </c>
      <c r="BR97" s="67"/>
      <c r="BS97" s="86"/>
      <c r="BT97" s="184"/>
      <c r="BU97" s="1"/>
      <c r="BV97">
        <f t="shared" si="53"/>
        <v>88</v>
      </c>
    </row>
    <row r="98" spans="2:74" x14ac:dyDescent="0.3">
      <c r="B98" s="172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6"/>
        <v>2212506</v>
      </c>
      <c r="I98" s="16"/>
      <c r="J98" s="38">
        <f t="shared" si="57"/>
        <v>1.1564493976807004E-2</v>
      </c>
      <c r="K98" s="16"/>
      <c r="L98" s="16"/>
      <c r="M98" s="16"/>
      <c r="N98" s="16">
        <f t="shared" si="58"/>
        <v>24859.617977528091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si="59"/>
        <v>121156</v>
      </c>
      <c r="AA98" s="33"/>
      <c r="AB98" s="46">
        <f t="shared" si="60"/>
        <v>5.4759625510620087E-2</v>
      </c>
      <c r="AC98" s="33"/>
      <c r="AD98" s="33">
        <f t="shared" si="61"/>
        <v>1361.3033707865168</v>
      </c>
      <c r="AE98" s="50"/>
      <c r="AF98" s="33"/>
      <c r="AG98" s="33"/>
      <c r="AH98" s="232"/>
      <c r="AI98" s="50"/>
      <c r="AJ98" s="10"/>
      <c r="AK98" s="23">
        <f t="shared" si="62"/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si="63"/>
        <v>1.4805599944261271E-2</v>
      </c>
      <c r="AR98" s="25"/>
      <c r="AS98" s="25"/>
      <c r="AT98" s="24"/>
      <c r="AU98" s="342">
        <f t="shared" si="64"/>
        <v>0.40815301743814481</v>
      </c>
      <c r="AV98" s="342"/>
      <c r="AW98" s="24">
        <f t="shared" si="65"/>
        <v>10146.528089887641</v>
      </c>
      <c r="AX98" s="352"/>
      <c r="AY98" s="10"/>
      <c r="AZ98" s="66">
        <f t="shared" si="66"/>
        <v>470291</v>
      </c>
      <c r="BA98" s="67"/>
      <c r="BB98" s="67">
        <v>25729368</v>
      </c>
      <c r="BC98" s="67"/>
      <c r="BD98" s="67">
        <f t="shared" si="67"/>
        <v>25294</v>
      </c>
      <c r="BE98" s="67"/>
      <c r="BF98" s="157">
        <f t="shared" si="68"/>
        <v>5.3783721142866864E-2</v>
      </c>
      <c r="BG98" s="67"/>
      <c r="BH98" s="184"/>
      <c r="BI98" s="67"/>
      <c r="BJ98" s="67"/>
      <c r="BK98" s="67"/>
      <c r="BL98" s="157"/>
      <c r="BM98" s="66">
        <f t="shared" si="69"/>
        <v>289094.02247191011</v>
      </c>
      <c r="BN98" s="67"/>
      <c r="BO98" s="67">
        <f t="shared" si="70"/>
        <v>1939128</v>
      </c>
      <c r="BP98" s="67"/>
      <c r="BQ98" s="74">
        <f t="shared" si="71"/>
        <v>7.5366328469475038E-2</v>
      </c>
      <c r="BR98" s="67"/>
      <c r="BS98" s="86"/>
      <c r="BT98" s="184"/>
      <c r="BU98" s="1"/>
      <c r="BV98">
        <f t="shared" si="53"/>
        <v>89</v>
      </c>
    </row>
    <row r="99" spans="2:74" x14ac:dyDescent="0.3">
      <c r="B99" s="172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6"/>
        <v>2238577</v>
      </c>
      <c r="I99" s="16"/>
      <c r="J99" s="38">
        <f t="shared" si="57"/>
        <v>1.1783470869683517E-2</v>
      </c>
      <c r="K99" s="16"/>
      <c r="L99" s="16"/>
      <c r="M99" s="16"/>
      <c r="N99" s="16">
        <f t="shared" si="58"/>
        <v>24873.077777777777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si="59"/>
        <v>121965</v>
      </c>
      <c r="AA99" s="33"/>
      <c r="AB99" s="46">
        <f t="shared" si="60"/>
        <v>5.4483272185857357E-2</v>
      </c>
      <c r="AC99" s="33"/>
      <c r="AD99" s="33">
        <f t="shared" si="61"/>
        <v>1355.1666666666667</v>
      </c>
      <c r="AE99" s="50"/>
      <c r="AF99" s="33"/>
      <c r="AG99" s="33"/>
      <c r="AH99" s="232"/>
      <c r="AI99" s="50"/>
      <c r="AJ99" s="10"/>
      <c r="AK99" s="23">
        <f t="shared" si="62"/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si="63"/>
        <v>1.7446605414372107E-2</v>
      </c>
      <c r="AR99" s="25"/>
      <c r="AS99" s="25"/>
      <c r="AT99" s="24"/>
      <c r="AU99" s="342">
        <f t="shared" si="64"/>
        <v>0.41043752348031809</v>
      </c>
      <c r="AV99" s="342"/>
      <c r="AW99" s="24">
        <f t="shared" si="65"/>
        <v>10208.844444444445</v>
      </c>
      <c r="AX99" s="352"/>
      <c r="AY99" s="10"/>
      <c r="AZ99" s="66">
        <f t="shared" si="66"/>
        <v>514443</v>
      </c>
      <c r="BA99" s="67"/>
      <c r="BB99" s="67">
        <v>26243811</v>
      </c>
      <c r="BC99" s="67"/>
      <c r="BD99" s="67">
        <f t="shared" si="67"/>
        <v>26071</v>
      </c>
      <c r="BE99" s="67"/>
      <c r="BF99" s="157">
        <f t="shared" si="68"/>
        <v>5.0678112055174238E-2</v>
      </c>
      <c r="BG99" s="67"/>
      <c r="BH99" s="184"/>
      <c r="BI99" s="67"/>
      <c r="BJ99" s="67"/>
      <c r="BK99" s="67"/>
      <c r="BL99" s="157"/>
      <c r="BM99" s="66">
        <f t="shared" si="69"/>
        <v>291597.90000000002</v>
      </c>
      <c r="BN99" s="67"/>
      <c r="BO99" s="67">
        <f t="shared" si="70"/>
        <v>1965199</v>
      </c>
      <c r="BP99" s="67"/>
      <c r="BQ99" s="74">
        <f t="shared" si="71"/>
        <v>7.4882378934980134E-2</v>
      </c>
      <c r="BR99" s="67"/>
      <c r="BS99" s="86"/>
      <c r="BT99" s="184"/>
      <c r="BU99" s="1"/>
      <c r="BV99">
        <f t="shared" si="53"/>
        <v>90</v>
      </c>
    </row>
    <row r="100" spans="2:74" x14ac:dyDescent="0.3">
      <c r="B100" s="172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6"/>
        <v>2266501</v>
      </c>
      <c r="I100" s="16"/>
      <c r="J100" s="38">
        <f t="shared" si="57"/>
        <v>1.2473995757126067E-2</v>
      </c>
      <c r="K100" s="16"/>
      <c r="L100" s="16"/>
      <c r="M100" s="16"/>
      <c r="N100" s="16">
        <f t="shared" si="58"/>
        <v>24906.604395604394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si="59"/>
        <v>122712</v>
      </c>
      <c r="AA100" s="33"/>
      <c r="AB100" s="46">
        <f t="shared" si="60"/>
        <v>5.4141604173128535E-2</v>
      </c>
      <c r="AC100" s="33"/>
      <c r="AD100" s="33">
        <f t="shared" si="61"/>
        <v>1348.4835164835165</v>
      </c>
      <c r="AE100" s="50"/>
      <c r="AF100" s="33"/>
      <c r="AG100" s="33"/>
      <c r="AH100" s="232"/>
      <c r="AI100" s="50"/>
      <c r="AJ100" s="10"/>
      <c r="AK100" s="23">
        <f t="shared" si="62"/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si="63"/>
        <v>1.3276069987244177E-2</v>
      </c>
      <c r="AR100" s="25"/>
      <c r="AS100" s="25"/>
      <c r="AT100" s="24"/>
      <c r="AU100" s="342">
        <f t="shared" si="64"/>
        <v>0.41076266897742381</v>
      </c>
      <c r="AV100" s="342"/>
      <c r="AW100" s="24">
        <f t="shared" si="65"/>
        <v>10230.703296703297</v>
      </c>
      <c r="AX100" s="352"/>
      <c r="AY100" s="10"/>
      <c r="AZ100" s="66">
        <f t="shared" si="66"/>
        <v>479368</v>
      </c>
      <c r="BA100" s="67"/>
      <c r="BB100" s="67">
        <v>26723179</v>
      </c>
      <c r="BC100" s="67"/>
      <c r="BD100" s="67">
        <f t="shared" si="67"/>
        <v>27924</v>
      </c>
      <c r="BE100" s="67"/>
      <c r="BF100" s="157">
        <f t="shared" si="68"/>
        <v>5.825169806912435E-2</v>
      </c>
      <c r="BG100" s="67"/>
      <c r="BH100" s="184"/>
      <c r="BI100" s="67"/>
      <c r="BJ100" s="67"/>
      <c r="BK100" s="67"/>
      <c r="BL100" s="157"/>
      <c r="BM100" s="66">
        <f t="shared" si="69"/>
        <v>293661.30769230769</v>
      </c>
      <c r="BN100" s="67"/>
      <c r="BO100" s="67">
        <f t="shared" si="70"/>
        <v>1993123</v>
      </c>
      <c r="BP100" s="67"/>
      <c r="BQ100" s="74">
        <f t="shared" si="71"/>
        <v>7.4584053042491688E-2</v>
      </c>
      <c r="BR100" s="67"/>
      <c r="BS100" s="86"/>
      <c r="BT100" s="184"/>
      <c r="BU100" s="1"/>
      <c r="BV100">
        <f t="shared" si="53"/>
        <v>91</v>
      </c>
    </row>
    <row r="101" spans="2:74" x14ac:dyDescent="0.3">
      <c r="B101" s="172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6"/>
        <v>2300040</v>
      </c>
      <c r="I101" s="16"/>
      <c r="J101" s="38">
        <f t="shared" si="57"/>
        <v>1.4797699184778652E-2</v>
      </c>
      <c r="K101" s="16"/>
      <c r="L101" s="16"/>
      <c r="M101" s="16"/>
      <c r="N101" s="16">
        <f t="shared" si="58"/>
        <v>25000.434782608696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si="59"/>
        <v>123431</v>
      </c>
      <c r="AA101" s="33"/>
      <c r="AB101" s="46">
        <f t="shared" si="60"/>
        <v>5.3664718874454356E-2</v>
      </c>
      <c r="AC101" s="33"/>
      <c r="AD101" s="33">
        <f t="shared" si="61"/>
        <v>1341.641304347826</v>
      </c>
      <c r="AE101" s="50"/>
      <c r="AF101" s="33"/>
      <c r="AG101" s="33"/>
      <c r="AH101" s="232"/>
      <c r="AI101" s="50"/>
      <c r="AJ101" s="10"/>
      <c r="AK101" s="23">
        <f t="shared" si="62"/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si="63"/>
        <v>2.6924985553075528E-2</v>
      </c>
      <c r="AR101" s="25"/>
      <c r="AS101" s="25"/>
      <c r="AT101" s="24"/>
      <c r="AU101" s="342">
        <f t="shared" si="64"/>
        <v>0.41567146658318987</v>
      </c>
      <c r="AV101" s="342"/>
      <c r="AW101" s="24">
        <f t="shared" si="65"/>
        <v>10391.967391304348</v>
      </c>
      <c r="AX101" s="352"/>
      <c r="AY101" s="10"/>
      <c r="AZ101" s="66">
        <f t="shared" si="66"/>
        <v>614206</v>
      </c>
      <c r="BA101" s="67"/>
      <c r="BB101" s="67">
        <v>27337385</v>
      </c>
      <c r="BC101" s="67"/>
      <c r="BD101" s="67">
        <f t="shared" si="67"/>
        <v>33539</v>
      </c>
      <c r="BE101" s="67"/>
      <c r="BF101" s="157">
        <f t="shared" si="68"/>
        <v>5.460545810363298E-2</v>
      </c>
      <c r="BG101" s="67"/>
      <c r="BH101" s="184"/>
      <c r="BI101" s="67"/>
      <c r="BJ101" s="67"/>
      <c r="BK101" s="67"/>
      <c r="BL101" s="157"/>
      <c r="BM101" s="66">
        <f t="shared" si="69"/>
        <v>297145.48913043475</v>
      </c>
      <c r="BN101" s="67"/>
      <c r="BO101" s="67">
        <f t="shared" si="70"/>
        <v>2026662</v>
      </c>
      <c r="BP101" s="67"/>
      <c r="BQ101" s="74">
        <f t="shared" si="71"/>
        <v>7.4135181547174314E-2</v>
      </c>
      <c r="BR101" s="67"/>
      <c r="BS101" s="86"/>
      <c r="BT101" s="184"/>
      <c r="BU101" s="1"/>
      <c r="BV101">
        <f t="shared" si="53"/>
        <v>92</v>
      </c>
    </row>
    <row r="102" spans="2:74" x14ac:dyDescent="0.3">
      <c r="B102" s="477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6"/>
        <v>2333378</v>
      </c>
      <c r="I102" s="16"/>
      <c r="J102" s="38">
        <f t="shared" si="57"/>
        <v>1.4494530529903828E-2</v>
      </c>
      <c r="K102" s="16"/>
      <c r="L102" s="16"/>
      <c r="M102" s="16"/>
      <c r="N102" s="16">
        <f t="shared" si="58"/>
        <v>25090.086021505376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si="59"/>
        <v>124004</v>
      </c>
      <c r="AA102" s="33"/>
      <c r="AB102" s="46">
        <f t="shared" si="60"/>
        <v>5.3143554109107052E-2</v>
      </c>
      <c r="AC102" s="33"/>
      <c r="AD102" s="33">
        <f t="shared" si="61"/>
        <v>1333.3763440860216</v>
      </c>
      <c r="AE102" s="50"/>
      <c r="AF102" s="33"/>
      <c r="AG102" s="33"/>
      <c r="AH102" s="232"/>
      <c r="AI102" s="50"/>
      <c r="AJ102" s="10"/>
      <c r="AK102" s="23">
        <f t="shared" si="62"/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si="63"/>
        <v>1.7655777194133009E-2</v>
      </c>
      <c r="AR102" s="25"/>
      <c r="AS102" s="25"/>
      <c r="AT102" s="24"/>
      <c r="AU102" s="342">
        <f t="shared" si="64"/>
        <v>0.41696673235112358</v>
      </c>
      <c r="AV102" s="342"/>
      <c r="AW102" s="24">
        <f t="shared" si="65"/>
        <v>10461.731182795698</v>
      </c>
      <c r="AX102" s="352"/>
      <c r="AY102" s="10"/>
      <c r="AZ102" s="66">
        <f t="shared" si="66"/>
        <v>638478</v>
      </c>
      <c r="BA102" s="67"/>
      <c r="BB102" s="67">
        <v>27975863</v>
      </c>
      <c r="BC102" s="67"/>
      <c r="BD102" s="67">
        <f t="shared" si="67"/>
        <v>33338</v>
      </c>
      <c r="BE102" s="67"/>
      <c r="BF102" s="157">
        <f t="shared" si="68"/>
        <v>5.2214798317248207E-2</v>
      </c>
      <c r="BG102" s="67"/>
      <c r="BH102" s="184"/>
      <c r="BI102" s="67"/>
      <c r="BJ102" s="67"/>
      <c r="BK102" s="67"/>
      <c r="BL102" s="157"/>
      <c r="BM102" s="66">
        <f t="shared" si="69"/>
        <v>300815.73118279572</v>
      </c>
      <c r="BN102" s="67"/>
      <c r="BO102" s="67">
        <f t="shared" si="70"/>
        <v>2060000</v>
      </c>
      <c r="BP102" s="67"/>
      <c r="BQ102" s="74">
        <f t="shared" si="71"/>
        <v>7.3634904488916034E-2</v>
      </c>
      <c r="BR102" s="67"/>
      <c r="BS102" s="86"/>
      <c r="BT102" s="184"/>
      <c r="BU102" s="1"/>
      <c r="BV102">
        <f t="shared" si="53"/>
        <v>93</v>
      </c>
    </row>
    <row r="103" spans="2:74" x14ac:dyDescent="0.3">
      <c r="B103" s="391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6"/>
        <v>2359457</v>
      </c>
      <c r="I103" s="16"/>
      <c r="J103" s="38">
        <f t="shared" si="57"/>
        <v>1.1176500335565005E-2</v>
      </c>
      <c r="K103" s="16"/>
      <c r="L103" s="16"/>
      <c r="M103" s="16"/>
      <c r="N103" s="16">
        <f t="shared" si="58"/>
        <v>25100.606382978724</v>
      </c>
      <c r="O103" s="41"/>
      <c r="P103" s="17">
        <f t="shared" ref="P103" si="72">SUM(D97:D103)</f>
        <v>192967</v>
      </c>
      <c r="Q103" s="16"/>
      <c r="R103" s="60">
        <f t="shared" ref="R103" si="73">+(P103-P96)/P96</f>
        <v>0.24672597703822871</v>
      </c>
      <c r="S103" s="16"/>
      <c r="T103" s="41"/>
      <c r="U103" s="392"/>
      <c r="V103" s="34">
        <v>267</v>
      </c>
      <c r="W103" s="33"/>
      <c r="X103" s="33"/>
      <c r="Y103" s="33"/>
      <c r="Z103" s="33">
        <f t="shared" si="59"/>
        <v>124271</v>
      </c>
      <c r="AA103" s="33"/>
      <c r="AB103" s="46">
        <f t="shared" si="60"/>
        <v>5.2669321797345743E-2</v>
      </c>
      <c r="AC103" s="33"/>
      <c r="AD103" s="33">
        <f t="shared" si="61"/>
        <v>1322.0319148936171</v>
      </c>
      <c r="AE103" s="50"/>
      <c r="AF103" s="33">
        <f t="shared" ref="AF103" si="74">SUM(V97:V103)</f>
        <v>4386</v>
      </c>
      <c r="AG103" s="33"/>
      <c r="AH103" s="232">
        <f t="shared" ref="AH103" si="75">+(AF103-AF96)/AF96</f>
        <v>-0.18611987381703471</v>
      </c>
      <c r="AI103" s="50"/>
      <c r="AJ103" s="392"/>
      <c r="AK103" s="23">
        <f t="shared" si="62"/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si="63"/>
        <v>7.620194852514181E-3</v>
      </c>
      <c r="AR103" s="25"/>
      <c r="AS103" s="25"/>
      <c r="AT103" s="24"/>
      <c r="AU103" s="342">
        <f t="shared" si="64"/>
        <v>0.41550026128893214</v>
      </c>
      <c r="AV103" s="342"/>
      <c r="AW103" s="24">
        <f t="shared" si="65"/>
        <v>10429.308510638299</v>
      </c>
      <c r="AX103" s="352"/>
      <c r="AY103" s="392"/>
      <c r="AZ103" s="66">
        <f t="shared" si="66"/>
        <v>516127</v>
      </c>
      <c r="BA103" s="67"/>
      <c r="BB103" s="67">
        <v>28491990</v>
      </c>
      <c r="BC103" s="67"/>
      <c r="BD103" s="67">
        <f t="shared" si="67"/>
        <v>26079</v>
      </c>
      <c r="BE103" s="67"/>
      <c r="BF103" s="157">
        <f t="shared" si="68"/>
        <v>5.0528261455029477E-2</v>
      </c>
      <c r="BG103" s="67"/>
      <c r="BH103" s="184"/>
      <c r="BI103" s="67"/>
      <c r="BJ103" s="67">
        <f t="shared" ref="BJ103" si="76">SUM(AZ97:AZ103)</f>
        <v>3701059</v>
      </c>
      <c r="BK103" s="67"/>
      <c r="BL103" s="157">
        <f t="shared" ref="BL103" si="77">+P103/BJ103</f>
        <v>5.2138320410455491E-2</v>
      </c>
      <c r="BM103" s="66">
        <f t="shared" si="69"/>
        <v>303106.27659574465</v>
      </c>
      <c r="BN103" s="67"/>
      <c r="BO103" s="67">
        <f t="shared" si="70"/>
        <v>2086079</v>
      </c>
      <c r="BP103" s="67"/>
      <c r="BQ103" s="479">
        <f t="shared" si="71"/>
        <v>7.3216332028756145E-2</v>
      </c>
      <c r="BR103" s="67"/>
      <c r="BS103" s="86"/>
      <c r="BT103" s="184"/>
      <c r="BU103" s="1"/>
      <c r="BV103">
        <f t="shared" si="53"/>
        <v>94</v>
      </c>
    </row>
    <row r="104" spans="2:74" x14ac:dyDescent="0.3">
      <c r="B104" s="172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6"/>
        <v>2390953</v>
      </c>
      <c r="I104" s="16"/>
      <c r="J104" s="38">
        <f t="shared" si="57"/>
        <v>1.3348834074958772E-2</v>
      </c>
      <c r="K104" s="16"/>
      <c r="L104" s="16"/>
      <c r="M104" s="16"/>
      <c r="N104" s="16">
        <f t="shared" si="58"/>
        <v>25167.926315789475</v>
      </c>
      <c r="O104" s="41"/>
      <c r="P104" s="17"/>
      <c r="Q104" s="16"/>
      <c r="R104" s="60"/>
      <c r="S104" s="16"/>
      <c r="T104" s="41"/>
      <c r="U104" s="10"/>
      <c r="V104" s="34">
        <v>363</v>
      </c>
      <c r="W104" s="33"/>
      <c r="X104" s="33"/>
      <c r="Y104" s="33"/>
      <c r="Z104" s="33">
        <f t="shared" si="59"/>
        <v>124634</v>
      </c>
      <c r="AA104" s="33"/>
      <c r="AB104" s="46">
        <f t="shared" si="60"/>
        <v>5.2127331653947194E-2</v>
      </c>
      <c r="AC104" s="33"/>
      <c r="AD104" s="33">
        <f t="shared" si="61"/>
        <v>1311.9368421052632</v>
      </c>
      <c r="AE104" s="50"/>
      <c r="AF104" s="33"/>
      <c r="AG104" s="33"/>
      <c r="AH104" s="232"/>
      <c r="AI104" s="50"/>
      <c r="AJ104" s="10"/>
      <c r="AK104" s="23">
        <f t="shared" si="62"/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si="63"/>
        <v>2.3026352698767284E-2</v>
      </c>
      <c r="AR104" s="25"/>
      <c r="AS104" s="25"/>
      <c r="AT104" s="24"/>
      <c r="AU104" s="342">
        <f t="shared" si="64"/>
        <v>0.41946830406118396</v>
      </c>
      <c r="AV104" s="342"/>
      <c r="AW104" s="24">
        <f t="shared" si="65"/>
        <v>10557.147368421052</v>
      </c>
      <c r="AX104" s="352"/>
      <c r="AY104" s="10"/>
      <c r="AZ104" s="66">
        <f t="shared" si="66"/>
        <v>521192</v>
      </c>
      <c r="BA104" s="67"/>
      <c r="BB104" s="67">
        <v>29013182</v>
      </c>
      <c r="BC104" s="67"/>
      <c r="BD104" s="67">
        <f t="shared" si="67"/>
        <v>31496</v>
      </c>
      <c r="BE104" s="67"/>
      <c r="BF104" s="157">
        <f t="shared" si="68"/>
        <v>6.0430704999309276E-2</v>
      </c>
      <c r="BG104" s="67"/>
      <c r="BH104" s="184"/>
      <c r="BI104" s="67"/>
      <c r="BJ104" s="67"/>
      <c r="BK104" s="67"/>
      <c r="BL104" s="157"/>
      <c r="BM104" s="66">
        <f t="shared" si="69"/>
        <v>305401.91578947369</v>
      </c>
      <c r="BN104" s="67"/>
      <c r="BO104" s="67">
        <f t="shared" si="70"/>
        <v>2117575</v>
      </c>
      <c r="BP104" s="67"/>
      <c r="BQ104" s="479">
        <f t="shared" si="71"/>
        <v>7.2986651377983977E-2</v>
      </c>
      <c r="BR104" s="67"/>
      <c r="BS104" s="86"/>
      <c r="BT104" s="184"/>
      <c r="BU104" s="1"/>
      <c r="BV104">
        <f t="shared" si="53"/>
        <v>95</v>
      </c>
    </row>
    <row r="105" spans="2:74" x14ac:dyDescent="0.3">
      <c r="B105" s="172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6"/>
        <v>2426991</v>
      </c>
      <c r="I105" s="16"/>
      <c r="J105" s="38">
        <f t="shared" si="57"/>
        <v>1.5072650947132796E-2</v>
      </c>
      <c r="K105" s="16"/>
      <c r="L105" s="16"/>
      <c r="M105" s="16"/>
      <c r="N105" s="16">
        <f t="shared" si="58"/>
        <v>25281.15625</v>
      </c>
      <c r="O105" s="41"/>
      <c r="P105" s="17"/>
      <c r="Q105" s="16"/>
      <c r="R105" s="60"/>
      <c r="S105" s="16"/>
      <c r="T105" s="41"/>
      <c r="U105" s="10"/>
      <c r="V105" s="34">
        <v>871</v>
      </c>
      <c r="W105" s="33"/>
      <c r="X105" s="33"/>
      <c r="Y105" s="33"/>
      <c r="Z105" s="33">
        <f t="shared" si="59"/>
        <v>125505</v>
      </c>
      <c r="AA105" s="33"/>
      <c r="AB105" s="46">
        <f t="shared" si="60"/>
        <v>5.1712181874592859E-2</v>
      </c>
      <c r="AC105" s="33"/>
      <c r="AD105" s="33">
        <f t="shared" si="61"/>
        <v>1307.34375</v>
      </c>
      <c r="AE105" s="50"/>
      <c r="AF105" s="33"/>
      <c r="AG105" s="33"/>
      <c r="AH105" s="232"/>
      <c r="AI105" s="50"/>
      <c r="AJ105" s="10"/>
      <c r="AK105" s="23">
        <f t="shared" si="62"/>
        <v>17452</v>
      </c>
      <c r="AL105" s="24"/>
      <c r="AM105" s="24"/>
      <c r="AN105" s="24">
        <v>178263</v>
      </c>
      <c r="AO105" s="24">
        <v>1020381</v>
      </c>
      <c r="AP105" s="24"/>
      <c r="AQ105" s="25">
        <f t="shared" si="63"/>
        <v>1.7401032376170196E-2</v>
      </c>
      <c r="AR105" s="25"/>
      <c r="AS105" s="25"/>
      <c r="AT105" s="24"/>
      <c r="AU105" s="342">
        <f t="shared" si="64"/>
        <v>0.42043048367299263</v>
      </c>
      <c r="AV105" s="342"/>
      <c r="AW105" s="24">
        <f t="shared" si="65"/>
        <v>10628.96875</v>
      </c>
      <c r="AX105" s="352"/>
      <c r="AY105" s="10"/>
      <c r="AZ105" s="66">
        <f t="shared" si="66"/>
        <v>539508</v>
      </c>
      <c r="BA105" s="67"/>
      <c r="BB105" s="67">
        <v>29552690</v>
      </c>
      <c r="BC105" s="67"/>
      <c r="BD105" s="67">
        <f t="shared" si="67"/>
        <v>36038</v>
      </c>
      <c r="BE105" s="67"/>
      <c r="BF105" s="157">
        <f t="shared" si="68"/>
        <v>6.6797897343505566E-2</v>
      </c>
      <c r="BG105" s="67"/>
      <c r="BH105" s="184"/>
      <c r="BI105" s="67"/>
      <c r="BJ105" s="67"/>
      <c r="BK105" s="67"/>
      <c r="BL105" s="157"/>
      <c r="BM105" s="66">
        <f t="shared" si="69"/>
        <v>307840.52083333331</v>
      </c>
      <c r="BN105" s="67"/>
      <c r="BO105" s="67">
        <f t="shared" si="70"/>
        <v>2153613</v>
      </c>
      <c r="BP105" s="67"/>
      <c r="BQ105" s="479">
        <f t="shared" si="71"/>
        <v>7.2873670721683881E-2</v>
      </c>
      <c r="BR105" s="67"/>
      <c r="BS105" s="86"/>
      <c r="BT105" s="184"/>
      <c r="BU105" s="1"/>
      <c r="BV105">
        <f t="shared" si="53"/>
        <v>96</v>
      </c>
    </row>
    <row r="106" spans="2:74" x14ac:dyDescent="0.3">
      <c r="B106" s="172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6"/>
        <v>2465403</v>
      </c>
      <c r="I106" s="16"/>
      <c r="J106" s="38">
        <f t="shared" si="57"/>
        <v>1.5827005538957498E-2</v>
      </c>
      <c r="K106" s="16"/>
      <c r="L106" s="16"/>
      <c r="M106" s="16"/>
      <c r="N106" s="16">
        <f t="shared" si="58"/>
        <v>25416.525773195877</v>
      </c>
      <c r="O106" s="41"/>
      <c r="P106" s="17"/>
      <c r="Q106" s="16"/>
      <c r="R106" s="60"/>
      <c r="S106" s="16"/>
      <c r="T106" s="41"/>
      <c r="U106" s="10"/>
      <c r="V106" s="34">
        <v>819</v>
      </c>
      <c r="W106" s="33"/>
      <c r="X106" s="33"/>
      <c r="Y106" s="33"/>
      <c r="Z106" s="33">
        <f t="shared" si="59"/>
        <v>126324</v>
      </c>
      <c r="AA106" s="33"/>
      <c r="AB106" s="46">
        <f t="shared" si="60"/>
        <v>5.1238681870671855E-2</v>
      </c>
      <c r="AC106" s="33"/>
      <c r="AD106" s="33">
        <f t="shared" si="61"/>
        <v>1302.3092783505156</v>
      </c>
      <c r="AE106" s="50"/>
      <c r="AF106" s="33"/>
      <c r="AG106" s="33"/>
      <c r="AH106" s="232"/>
      <c r="AI106" s="50"/>
      <c r="AJ106" s="10"/>
      <c r="AK106" s="23">
        <f t="shared" si="62"/>
        <v>20224</v>
      </c>
      <c r="AL106" s="24"/>
      <c r="AM106" s="24"/>
      <c r="AN106" s="24">
        <v>178263</v>
      </c>
      <c r="AO106" s="24">
        <v>1040605</v>
      </c>
      <c r="AP106" s="24"/>
      <c r="AQ106" s="25">
        <f t="shared" si="63"/>
        <v>1.9820047609667369E-2</v>
      </c>
      <c r="AR106" s="25"/>
      <c r="AS106" s="25"/>
      <c r="AT106" s="24"/>
      <c r="AU106" s="342">
        <f t="shared" si="64"/>
        <v>0.42208312393551883</v>
      </c>
      <c r="AV106" s="342"/>
      <c r="AW106" s="24">
        <f t="shared" si="65"/>
        <v>10727.886597938144</v>
      </c>
      <c r="AX106" s="352"/>
      <c r="AY106" s="10"/>
      <c r="AZ106" s="66">
        <f t="shared" si="66"/>
        <v>507174</v>
      </c>
      <c r="BA106" s="67"/>
      <c r="BB106" s="67">
        <f>30059864</f>
        <v>30059864</v>
      </c>
      <c r="BC106" s="67"/>
      <c r="BD106" s="67">
        <f t="shared" si="67"/>
        <v>38412</v>
      </c>
      <c r="BE106" s="67"/>
      <c r="BF106" s="157">
        <f t="shared" si="68"/>
        <v>7.5737320919447765E-2</v>
      </c>
      <c r="BG106" s="67"/>
      <c r="BH106" s="184"/>
      <c r="BI106" s="67"/>
      <c r="BJ106" s="67"/>
      <c r="BK106" s="67"/>
      <c r="BL106" s="157"/>
      <c r="BM106" s="66">
        <f t="shared" si="69"/>
        <v>309895.50515463919</v>
      </c>
      <c r="BN106" s="67"/>
      <c r="BO106" s="67">
        <f t="shared" si="70"/>
        <v>2192025</v>
      </c>
      <c r="BP106" s="67"/>
      <c r="BQ106" s="479">
        <f t="shared" si="71"/>
        <v>7.2921986606459696E-2</v>
      </c>
      <c r="BR106" s="67"/>
      <c r="BS106" s="86"/>
      <c r="BT106" s="184"/>
      <c r="BU106" s="1"/>
      <c r="BV106">
        <f t="shared" si="53"/>
        <v>97</v>
      </c>
    </row>
    <row r="107" spans="2:74" x14ac:dyDescent="0.3">
      <c r="B107" s="172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6"/>
        <v>2505615</v>
      </c>
      <c r="I107" s="16"/>
      <c r="J107" s="38">
        <f t="shared" si="57"/>
        <v>1.6310517996449263E-2</v>
      </c>
      <c r="K107" s="16"/>
      <c r="L107" s="16"/>
      <c r="M107" s="16"/>
      <c r="N107" s="16">
        <f t="shared" si="58"/>
        <v>25567.5</v>
      </c>
      <c r="O107" s="41"/>
      <c r="P107" s="17"/>
      <c r="Q107" s="16"/>
      <c r="R107" s="60"/>
      <c r="S107" s="16"/>
      <c r="T107" s="41"/>
      <c r="U107" s="10"/>
      <c r="V107" s="34">
        <v>653</v>
      </c>
      <c r="W107" s="33"/>
      <c r="X107" s="33"/>
      <c r="Y107" s="33"/>
      <c r="Z107" s="33">
        <f t="shared" si="59"/>
        <v>126977</v>
      </c>
      <c r="AA107" s="33"/>
      <c r="AB107" s="46">
        <f t="shared" si="60"/>
        <v>5.0676979504033937E-2</v>
      </c>
      <c r="AC107" s="33"/>
      <c r="AD107" s="33">
        <f t="shared" si="61"/>
        <v>1295.6836734693877</v>
      </c>
      <c r="AE107" s="50"/>
      <c r="AF107" s="33"/>
      <c r="AG107" s="33"/>
      <c r="AH107" s="232"/>
      <c r="AI107" s="50"/>
      <c r="AJ107" s="10"/>
      <c r="AK107" s="23">
        <f t="shared" si="62"/>
        <v>11688</v>
      </c>
      <c r="AL107" s="24"/>
      <c r="AM107" s="24"/>
      <c r="AN107" s="24">
        <v>178263</v>
      </c>
      <c r="AO107" s="24">
        <v>1052293</v>
      </c>
      <c r="AP107" s="24"/>
      <c r="AQ107" s="25">
        <f t="shared" si="63"/>
        <v>1.1231927580590138E-2</v>
      </c>
      <c r="AR107" s="25"/>
      <c r="AS107" s="25"/>
      <c r="AT107" s="24"/>
      <c r="AU107" s="342">
        <f t="shared" si="64"/>
        <v>0.41997393853405252</v>
      </c>
      <c r="AV107" s="342"/>
      <c r="AW107" s="24">
        <f t="shared" si="65"/>
        <v>10737.683673469388</v>
      </c>
      <c r="AX107" s="352"/>
      <c r="AY107" s="10"/>
      <c r="AZ107" s="66">
        <f t="shared" si="66"/>
        <v>672688</v>
      </c>
      <c r="BA107" s="67"/>
      <c r="BB107" s="67">
        <v>30732552</v>
      </c>
      <c r="BC107" s="67"/>
      <c r="BD107" s="67">
        <f t="shared" si="67"/>
        <v>40212</v>
      </c>
      <c r="BE107" s="67"/>
      <c r="BF107" s="157">
        <f t="shared" si="68"/>
        <v>5.9778084342221059E-2</v>
      </c>
      <c r="BG107" s="67"/>
      <c r="BH107" s="184"/>
      <c r="BI107" s="67"/>
      <c r="BJ107" s="67"/>
      <c r="BK107" s="67"/>
      <c r="BL107" s="157"/>
      <c r="BM107" s="66">
        <f t="shared" si="69"/>
        <v>313597.46938775509</v>
      </c>
      <c r="BN107" s="67"/>
      <c r="BO107" s="67">
        <f t="shared" si="70"/>
        <v>2232237</v>
      </c>
      <c r="BP107" s="67"/>
      <c r="BQ107" s="479">
        <f t="shared" si="71"/>
        <v>7.2634286928075484E-2</v>
      </c>
      <c r="BR107" s="67"/>
      <c r="BS107" s="86"/>
      <c r="BT107" s="184"/>
      <c r="BU107" s="1"/>
      <c r="BV107">
        <f t="shared" si="53"/>
        <v>98</v>
      </c>
    </row>
    <row r="108" spans="2:74" x14ac:dyDescent="0.3">
      <c r="B108" s="172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6"/>
        <v>2552956</v>
      </c>
      <c r="I108" s="16"/>
      <c r="J108" s="38">
        <f t="shared" si="57"/>
        <v>1.8893964156504493E-2</v>
      </c>
      <c r="K108" s="16"/>
      <c r="L108" s="16"/>
      <c r="M108" s="16"/>
      <c r="N108" s="16">
        <f t="shared" si="58"/>
        <v>25787.434343434343</v>
      </c>
      <c r="O108" s="41"/>
      <c r="P108" s="17"/>
      <c r="Q108" s="16"/>
      <c r="R108" s="60"/>
      <c r="S108" s="16"/>
      <c r="T108" s="41"/>
      <c r="U108" s="10"/>
      <c r="V108" s="34">
        <v>663</v>
      </c>
      <c r="W108" s="33"/>
      <c r="X108" s="33"/>
      <c r="Y108" s="33"/>
      <c r="Z108" s="33">
        <f t="shared" si="59"/>
        <v>127640</v>
      </c>
      <c r="AA108" s="33"/>
      <c r="AB108" s="46">
        <f t="shared" si="60"/>
        <v>4.9996944718201174E-2</v>
      </c>
      <c r="AC108" s="33"/>
      <c r="AD108" s="33">
        <f t="shared" si="61"/>
        <v>1289.2929292929293</v>
      </c>
      <c r="AE108" s="50"/>
      <c r="AF108" s="33"/>
      <c r="AG108" s="33"/>
      <c r="AH108" s="232"/>
      <c r="AI108" s="50"/>
      <c r="AJ108" s="10"/>
      <c r="AK108" s="23">
        <f t="shared" si="62"/>
        <v>16410</v>
      </c>
      <c r="AL108" s="24"/>
      <c r="AM108" s="24"/>
      <c r="AN108" s="24">
        <v>178263</v>
      </c>
      <c r="AO108" s="24">
        <v>1068703</v>
      </c>
      <c r="AP108" s="24"/>
      <c r="AQ108" s="25">
        <f t="shared" si="63"/>
        <v>1.55945159760637E-2</v>
      </c>
      <c r="AR108" s="25"/>
      <c r="AS108" s="25"/>
      <c r="AT108" s="24"/>
      <c r="AU108" s="342">
        <f t="shared" si="64"/>
        <v>0.41861395182682348</v>
      </c>
      <c r="AV108" s="342"/>
      <c r="AW108" s="24">
        <f t="shared" si="65"/>
        <v>10794.979797979799</v>
      </c>
      <c r="AX108" s="352"/>
      <c r="AY108" s="10"/>
      <c r="AZ108" s="66">
        <f t="shared" si="66"/>
        <v>619948</v>
      </c>
      <c r="BA108" s="67"/>
      <c r="BB108" s="67">
        <v>31352500</v>
      </c>
      <c r="BC108" s="67"/>
      <c r="BD108" s="67">
        <f t="shared" si="67"/>
        <v>47341</v>
      </c>
      <c r="BE108" s="67"/>
      <c r="BF108" s="157">
        <f t="shared" si="68"/>
        <v>7.6362856239555577E-2</v>
      </c>
      <c r="BG108" s="67"/>
      <c r="BH108" s="184"/>
      <c r="BI108" s="67"/>
      <c r="BJ108" s="67"/>
      <c r="BK108" s="67"/>
      <c r="BL108" s="157"/>
      <c r="BM108" s="66">
        <f t="shared" si="69"/>
        <v>316691.91919191921</v>
      </c>
      <c r="BN108" s="67"/>
      <c r="BO108" s="67">
        <f t="shared" si="70"/>
        <v>2279578</v>
      </c>
      <c r="BP108" s="67"/>
      <c r="BQ108" s="479">
        <f t="shared" si="71"/>
        <v>7.2708013715014758E-2</v>
      </c>
      <c r="BR108" s="67"/>
      <c r="BS108" s="86"/>
      <c r="BT108" s="184"/>
      <c r="BU108" s="1"/>
      <c r="BV108">
        <f t="shared" si="53"/>
        <v>99</v>
      </c>
    </row>
    <row r="109" spans="2:74" x14ac:dyDescent="0.3">
      <c r="B109" s="172">
        <f t="shared" si="52"/>
        <v>44009</v>
      </c>
      <c r="C109" s="61"/>
      <c r="D109" s="17">
        <v>43581</v>
      </c>
      <c r="E109" s="16"/>
      <c r="F109" s="16"/>
      <c r="G109" s="16"/>
      <c r="H109" s="16">
        <f t="shared" ref="H109" si="78">+H108+D109</f>
        <v>2596537</v>
      </c>
      <c r="I109" s="16"/>
      <c r="J109" s="38">
        <f t="shared" ref="J109" si="79">+D109/H108</f>
        <v>1.7070799496740251E-2</v>
      </c>
      <c r="K109" s="16"/>
      <c r="L109" s="16"/>
      <c r="M109" s="16"/>
      <c r="N109" s="16">
        <f t="shared" ref="N109" si="80">+H109/BV109</f>
        <v>25965.37</v>
      </c>
      <c r="O109" s="41"/>
      <c r="P109" s="17"/>
      <c r="Q109" s="16"/>
      <c r="R109" s="60"/>
      <c r="S109" s="16"/>
      <c r="T109" s="41"/>
      <c r="U109" s="10"/>
      <c r="V109" s="34">
        <v>512</v>
      </c>
      <c r="W109" s="33"/>
      <c r="X109" s="33"/>
      <c r="Y109" s="33"/>
      <c r="Z109" s="33">
        <f t="shared" ref="Z109" si="81">+Z108+V109</f>
        <v>128152</v>
      </c>
      <c r="AA109" s="33"/>
      <c r="AB109" s="46">
        <f t="shared" ref="AB109" si="82">+Z109/H109</f>
        <v>4.9354967789790788E-2</v>
      </c>
      <c r="AC109" s="33"/>
      <c r="AD109" s="33">
        <f t="shared" ref="AD109" si="83">+Z109/BV109</f>
        <v>1281.52</v>
      </c>
      <c r="AE109" s="50"/>
      <c r="AF109" s="33"/>
      <c r="AG109" s="33"/>
      <c r="AH109" s="232"/>
      <c r="AI109" s="50"/>
      <c r="AJ109" s="10"/>
      <c r="AK109" s="23">
        <f t="shared" ref="AK109" si="84">+AO109-AO108</f>
        <v>12734</v>
      </c>
      <c r="AL109" s="24"/>
      <c r="AM109" s="24"/>
      <c r="AN109" s="24">
        <v>178263</v>
      </c>
      <c r="AO109" s="24">
        <v>1081437</v>
      </c>
      <c r="AP109" s="24"/>
      <c r="AQ109" s="505">
        <f t="shared" ref="AQ109" si="85">+AK109/AO108</f>
        <v>1.1915377799070462E-2</v>
      </c>
      <c r="AR109" s="25"/>
      <c r="AS109" s="25"/>
      <c r="AT109" s="24"/>
      <c r="AU109" s="342">
        <f t="shared" ref="AU109" si="86">+AO109/H109</f>
        <v>0.41649204305580856</v>
      </c>
      <c r="AV109" s="342"/>
      <c r="AW109" s="24">
        <f t="shared" ref="AW109" si="87">+AO109/BV109</f>
        <v>10814.37</v>
      </c>
      <c r="AX109" s="352"/>
      <c r="AY109" s="10"/>
      <c r="AZ109" s="66">
        <f t="shared" ref="AZ109" si="88">+BB109-BB108</f>
        <v>645524</v>
      </c>
      <c r="BA109" s="67"/>
      <c r="BB109" s="67">
        <v>31998024</v>
      </c>
      <c r="BC109" s="67"/>
      <c r="BD109" s="67">
        <f t="shared" ref="BD109" si="89">+D109</f>
        <v>43581</v>
      </c>
      <c r="BE109" s="67"/>
      <c r="BF109" s="157">
        <f t="shared" ref="BF109" si="90">+BD109/AZ109</f>
        <v>6.7512594419417399E-2</v>
      </c>
      <c r="BG109" s="67"/>
      <c r="BH109" s="184"/>
      <c r="BI109" s="67"/>
      <c r="BJ109" s="67"/>
      <c r="BK109" s="67"/>
      <c r="BL109" s="157"/>
      <c r="BM109" s="66">
        <f t="shared" ref="BM109" si="91">+BB109/BV109</f>
        <v>319980.24</v>
      </c>
      <c r="BN109" s="67"/>
      <c r="BO109" s="67">
        <f t="shared" ref="BO109" si="92">+BO108+BD109</f>
        <v>2323159</v>
      </c>
      <c r="BP109" s="67"/>
      <c r="BQ109" s="479">
        <f t="shared" ref="BQ109" si="93">+BO109/BB109</f>
        <v>7.2603201997723354E-2</v>
      </c>
      <c r="BR109" s="67"/>
      <c r="BS109" s="86"/>
      <c r="BT109" s="184"/>
      <c r="BU109" s="1"/>
      <c r="BV109">
        <f t="shared" si="53"/>
        <v>100</v>
      </c>
    </row>
    <row r="110" spans="2:74" x14ac:dyDescent="0.3">
      <c r="B110" s="391">
        <f t="shared" si="52"/>
        <v>44010</v>
      </c>
      <c r="C110" s="61"/>
      <c r="D110" s="17">
        <v>40540</v>
      </c>
      <c r="E110" s="16"/>
      <c r="F110" s="16"/>
      <c r="G110" s="16"/>
      <c r="H110" s="16">
        <f t="shared" ref="H110" si="94">+H109+D110</f>
        <v>2637077</v>
      </c>
      <c r="I110" s="16"/>
      <c r="J110" s="38">
        <f t="shared" ref="J110" si="95">+D110/H109</f>
        <v>1.5613103144688483E-2</v>
      </c>
      <c r="K110" s="16"/>
      <c r="L110" s="16"/>
      <c r="M110" s="16"/>
      <c r="N110" s="16">
        <f t="shared" ref="N110" si="96">+H110/BV110</f>
        <v>26109.673267326732</v>
      </c>
      <c r="O110" s="41"/>
      <c r="P110" s="17">
        <f t="shared" ref="P110" si="97">SUM(D104:D110)</f>
        <v>277620</v>
      </c>
      <c r="Q110" s="16"/>
      <c r="R110" s="60">
        <f t="shared" ref="R110" si="98">+(P110-P103)/P103</f>
        <v>0.43869158975368844</v>
      </c>
      <c r="S110" s="16"/>
      <c r="T110" s="41"/>
      <c r="U110" s="392"/>
      <c r="V110" s="34">
        <v>285</v>
      </c>
      <c r="W110" s="33"/>
      <c r="X110" s="33"/>
      <c r="Y110" s="33"/>
      <c r="Z110" s="33">
        <f t="shared" ref="Z110" si="99">+Z109+V110</f>
        <v>128437</v>
      </c>
      <c r="AA110" s="33"/>
      <c r="AB110" s="46">
        <f t="shared" ref="AB110" si="100">+Z110/H110</f>
        <v>4.8704304045729417E-2</v>
      </c>
      <c r="AC110" s="33"/>
      <c r="AD110" s="33">
        <f t="shared" ref="AD110" si="101">+Z110/BV110</f>
        <v>1271.6534653465346</v>
      </c>
      <c r="AE110" s="50"/>
      <c r="AF110" s="33">
        <f t="shared" ref="AF110" si="102">SUM(V104:V110)</f>
        <v>4166</v>
      </c>
      <c r="AG110" s="33"/>
      <c r="AH110" s="232">
        <f t="shared" ref="AH110" si="103">+(AF110-AF103)/AF103</f>
        <v>-5.0159598723210214E-2</v>
      </c>
      <c r="AI110" s="50"/>
      <c r="AJ110" s="392"/>
      <c r="AK110" s="23">
        <f t="shared" ref="AK110" si="104">+AO110-AO109</f>
        <v>12019</v>
      </c>
      <c r="AL110" s="24"/>
      <c r="AM110" s="24"/>
      <c r="AN110" s="24">
        <v>178263</v>
      </c>
      <c r="AO110" s="24">
        <f>1093456</f>
        <v>1093456</v>
      </c>
      <c r="AP110" s="24"/>
      <c r="AQ110" s="505">
        <f t="shared" ref="AQ110" si="105">+AK110/AO109</f>
        <v>1.1113916020997988E-2</v>
      </c>
      <c r="AR110" s="25"/>
      <c r="AS110" s="25"/>
      <c r="AT110" s="24"/>
      <c r="AU110" s="342">
        <f t="shared" ref="AU110" si="106">+AO110/H110</f>
        <v>0.41464697466171824</v>
      </c>
      <c r="AV110" s="342"/>
      <c r="AW110" s="24">
        <f t="shared" ref="AW110" si="107">+AO110/BV110</f>
        <v>10826.29702970297</v>
      </c>
      <c r="AX110" s="352"/>
      <c r="AY110" s="392"/>
      <c r="AZ110" s="66">
        <f t="shared" ref="AZ110" si="108">+BB110-BB109</f>
        <v>594344</v>
      </c>
      <c r="BA110" s="67"/>
      <c r="BB110" s="67">
        <f>32592368</f>
        <v>32592368</v>
      </c>
      <c r="BC110" s="67"/>
      <c r="BD110" s="67">
        <f t="shared" ref="BD110" si="109">+D110</f>
        <v>40540</v>
      </c>
      <c r="BE110" s="67"/>
      <c r="BF110" s="157">
        <f t="shared" ref="BF110" si="110">+BD110/AZ110</f>
        <v>6.8209656360626175E-2</v>
      </c>
      <c r="BG110" s="67"/>
      <c r="BH110" s="184"/>
      <c r="BI110" s="67"/>
      <c r="BJ110" s="67">
        <f t="shared" ref="BJ110" si="111">SUM(AZ104:AZ110)</f>
        <v>4100378</v>
      </c>
      <c r="BK110" s="67"/>
      <c r="BL110" s="157">
        <f t="shared" ref="BL110" si="112">+P110/BJ110</f>
        <v>6.7705952963360932E-2</v>
      </c>
      <c r="BM110" s="66">
        <f t="shared" ref="BM110" si="113">+BB110/BV110</f>
        <v>322696.71287128713</v>
      </c>
      <c r="BN110" s="67"/>
      <c r="BO110" s="67">
        <f t="shared" ref="BO110" si="114">+BO109+BD110</f>
        <v>2363699</v>
      </c>
      <c r="BP110" s="67"/>
      <c r="BQ110" s="479">
        <f t="shared" ref="BQ110" si="115">+BO110/BB110</f>
        <v>7.2523082704515365E-2</v>
      </c>
      <c r="BR110" s="67"/>
      <c r="BS110" s="86"/>
      <c r="BT110" s="184"/>
      <c r="BU110" s="1"/>
      <c r="BV110">
        <f t="shared" si="53"/>
        <v>101</v>
      </c>
    </row>
    <row r="111" spans="2:74" x14ac:dyDescent="0.3">
      <c r="B111" s="172">
        <f t="shared" si="52"/>
        <v>44011</v>
      </c>
      <c r="C111" s="61"/>
      <c r="D111" s="17">
        <v>44734</v>
      </c>
      <c r="E111" s="16"/>
      <c r="F111" s="16"/>
      <c r="G111" s="16"/>
      <c r="H111" s="16">
        <f t="shared" ref="H111" si="116">+H110+D111</f>
        <v>2681811</v>
      </c>
      <c r="I111" s="16"/>
      <c r="J111" s="38">
        <f t="shared" ref="J111" si="117">+D111/H110</f>
        <v>1.696347888211076E-2</v>
      </c>
      <c r="K111" s="16"/>
      <c r="L111" s="16"/>
      <c r="M111" s="16"/>
      <c r="N111" s="16">
        <f t="shared" ref="N111" si="118">+H111/BV111</f>
        <v>26292.264705882353</v>
      </c>
      <c r="O111" s="41"/>
      <c r="P111" s="17"/>
      <c r="Q111" s="16"/>
      <c r="R111" s="60"/>
      <c r="S111" s="16"/>
      <c r="T111" s="41"/>
      <c r="U111" s="10"/>
      <c r="V111" s="34">
        <v>346</v>
      </c>
      <c r="W111" s="33"/>
      <c r="X111" s="33"/>
      <c r="Y111" s="33"/>
      <c r="Z111" s="33">
        <f t="shared" ref="Z111" si="119">+Z110+V111</f>
        <v>128783</v>
      </c>
      <c r="AA111" s="33"/>
      <c r="AB111" s="46">
        <f t="shared" ref="AB111" si="120">+Z111/H111</f>
        <v>4.8020908259381441E-2</v>
      </c>
      <c r="AC111" s="33"/>
      <c r="AD111" s="33">
        <f t="shared" ref="AD111" si="121">+Z111/BV111</f>
        <v>1262.5784313725489</v>
      </c>
      <c r="AE111" s="50"/>
      <c r="AF111" s="33"/>
      <c r="AG111" s="33"/>
      <c r="AH111" s="232"/>
      <c r="AI111" s="50"/>
      <c r="AJ111" s="10"/>
      <c r="AK111" s="23">
        <f t="shared" ref="AK111" si="122">+AO111-AO110</f>
        <v>23721</v>
      </c>
      <c r="AL111" s="24"/>
      <c r="AM111" s="24"/>
      <c r="AN111" s="24">
        <v>178263</v>
      </c>
      <c r="AO111" s="24">
        <v>1117177</v>
      </c>
      <c r="AP111" s="24"/>
      <c r="AQ111" s="505">
        <f t="shared" ref="AQ111" si="123">+AK111/AO110</f>
        <v>2.1693602668968848E-2</v>
      </c>
      <c r="AR111" s="25"/>
      <c r="AS111" s="25"/>
      <c r="AT111" s="24"/>
      <c r="AU111" s="342">
        <f t="shared" ref="AU111" si="124">+AO111/H111</f>
        <v>0.41657559015158041</v>
      </c>
      <c r="AV111" s="342"/>
      <c r="AW111" s="24">
        <f t="shared" ref="AW111" si="125">+AO111/BV111</f>
        <v>10952.715686274511</v>
      </c>
      <c r="AX111" s="352"/>
      <c r="AY111" s="10"/>
      <c r="AZ111" s="66">
        <f t="shared" ref="AZ111" si="126">+BB111-BB110</f>
        <v>597145</v>
      </c>
      <c r="BA111" s="67"/>
      <c r="BB111" s="67">
        <v>33189513</v>
      </c>
      <c r="BC111" s="67"/>
      <c r="BD111" s="67">
        <f t="shared" ref="BD111" si="127">+D111</f>
        <v>44734</v>
      </c>
      <c r="BE111" s="67"/>
      <c r="BF111" s="157">
        <f t="shared" ref="BF111" si="128">+BD111/AZ111</f>
        <v>7.4913128302171159E-2</v>
      </c>
      <c r="BG111" s="67"/>
      <c r="BH111" s="184"/>
      <c r="BI111" s="67"/>
      <c r="BJ111" s="67"/>
      <c r="BK111" s="67"/>
      <c r="BL111" s="157"/>
      <c r="BM111" s="66">
        <f t="shared" ref="BM111" si="129">+BB111/BV111</f>
        <v>325387.3823529412</v>
      </c>
      <c r="BN111" s="67"/>
      <c r="BO111" s="67">
        <f t="shared" ref="BO111" si="130">+BO110+BD111</f>
        <v>2408433</v>
      </c>
      <c r="BP111" s="67"/>
      <c r="BQ111" s="479">
        <f t="shared" ref="BQ111" si="131">+BO111/BB111</f>
        <v>7.2566084353211213E-2</v>
      </c>
      <c r="BR111" s="67"/>
      <c r="BS111" s="86"/>
      <c r="BT111" s="184"/>
      <c r="BU111" s="1"/>
      <c r="BV111">
        <f t="shared" si="53"/>
        <v>102</v>
      </c>
    </row>
    <row r="112" spans="2:74" x14ac:dyDescent="0.3">
      <c r="B112" s="172">
        <f t="shared" si="52"/>
        <v>44012</v>
      </c>
      <c r="C112" s="61"/>
      <c r="D112" s="17">
        <v>46042</v>
      </c>
      <c r="E112" s="16"/>
      <c r="F112" s="16"/>
      <c r="G112" s="16"/>
      <c r="H112" s="16">
        <f t="shared" ref="H112" si="132">+H111+D112</f>
        <v>2727853</v>
      </c>
      <c r="I112" s="16"/>
      <c r="J112" s="38">
        <f t="shared" ref="J112" si="133">+D112/H111</f>
        <v>1.7168249365820336E-2</v>
      </c>
      <c r="K112" s="16"/>
      <c r="L112" s="16"/>
      <c r="M112" s="16"/>
      <c r="N112" s="16">
        <f t="shared" ref="N112" si="134">+H112/BV112</f>
        <v>26484.009708737864</v>
      </c>
      <c r="O112" s="41"/>
      <c r="P112" s="17"/>
      <c r="Q112" s="16"/>
      <c r="R112" s="60"/>
      <c r="S112" s="16"/>
      <c r="T112" s="41"/>
      <c r="U112" s="10"/>
      <c r="V112" s="34">
        <v>764</v>
      </c>
      <c r="W112" s="33"/>
      <c r="X112" s="33"/>
      <c r="Y112" s="33"/>
      <c r="Z112" s="33">
        <f t="shared" ref="Z112" si="135">+Z111+V112</f>
        <v>129547</v>
      </c>
      <c r="AA112" s="33"/>
      <c r="AB112" s="46">
        <f t="shared" ref="AB112" si="136">+Z112/H112</f>
        <v>4.7490462279309038E-2</v>
      </c>
      <c r="AC112" s="33"/>
      <c r="AD112" s="33">
        <f t="shared" ref="AD112" si="137">+Z112/BV112</f>
        <v>1257.7378640776699</v>
      </c>
      <c r="AE112" s="50"/>
      <c r="AF112" s="33"/>
      <c r="AG112" s="33"/>
      <c r="AH112" s="232"/>
      <c r="AI112" s="50"/>
      <c r="AJ112" s="10"/>
      <c r="AK112" s="23">
        <f t="shared" ref="AK112" si="138">+AO112-AO111</f>
        <v>26157</v>
      </c>
      <c r="AL112" s="24"/>
      <c r="AM112" s="24"/>
      <c r="AN112" s="24">
        <v>178263</v>
      </c>
      <c r="AO112" s="24">
        <v>1143334</v>
      </c>
      <c r="AP112" s="24"/>
      <c r="AQ112" s="505">
        <f t="shared" ref="AQ112" si="139">+AK112/AO111</f>
        <v>2.3413478795213293E-2</v>
      </c>
      <c r="AR112" s="25"/>
      <c r="AS112" s="25"/>
      <c r="AT112" s="24"/>
      <c r="AU112" s="342">
        <f t="shared" ref="AU112" si="140">+AO112/H112</f>
        <v>0.41913328907386138</v>
      </c>
      <c r="AV112" s="342"/>
      <c r="AW112" s="24">
        <f t="shared" ref="AW112" si="141">+AO112/BV112</f>
        <v>11100.330097087379</v>
      </c>
      <c r="AX112" s="352"/>
      <c r="AY112" s="10"/>
      <c r="AZ112" s="66">
        <f t="shared" ref="AZ112" si="142">+BB112-BB111</f>
        <v>1008514</v>
      </c>
      <c r="BA112" s="67"/>
      <c r="BB112" s="67">
        <v>34198027</v>
      </c>
      <c r="BC112" s="67"/>
      <c r="BD112" s="67">
        <f t="shared" ref="BD112" si="143">+D112</f>
        <v>46042</v>
      </c>
      <c r="BE112" s="67"/>
      <c r="BF112" s="157">
        <f t="shared" ref="BF112" si="144">+BD112/AZ112</f>
        <v>4.5653307737919355E-2</v>
      </c>
      <c r="BG112" s="67"/>
      <c r="BH112" s="184"/>
      <c r="BI112" s="67"/>
      <c r="BJ112" s="67"/>
      <c r="BK112" s="67"/>
      <c r="BL112" s="157"/>
      <c r="BM112" s="66">
        <f t="shared" ref="BM112" si="145">+BB112/BV112</f>
        <v>332019.67961165047</v>
      </c>
      <c r="BN112" s="67"/>
      <c r="BO112" s="67">
        <f t="shared" ref="BO112" si="146">+BO111+BD112</f>
        <v>2454475</v>
      </c>
      <c r="BP112" s="67"/>
      <c r="BQ112" s="479">
        <f t="shared" ref="BQ112" si="147">+BO112/BB112</f>
        <v>7.1772415408643306E-2</v>
      </c>
      <c r="BR112" s="67"/>
      <c r="BS112" s="86"/>
      <c r="BT112" s="184"/>
      <c r="BU112" s="1"/>
      <c r="BV112">
        <f t="shared" si="53"/>
        <v>103</v>
      </c>
    </row>
    <row r="113" spans="2:74" x14ac:dyDescent="0.3">
      <c r="B113" s="172">
        <f t="shared" si="52"/>
        <v>44013</v>
      </c>
      <c r="C113" s="61"/>
      <c r="D113" s="17">
        <v>51097</v>
      </c>
      <c r="E113" s="16"/>
      <c r="F113" s="16"/>
      <c r="G113" s="16"/>
      <c r="H113" s="16">
        <f t="shared" ref="H113" si="148">+H112+D113</f>
        <v>2778950</v>
      </c>
      <c r="I113" s="16"/>
      <c r="J113" s="38">
        <f t="shared" ref="J113" si="149">+D113/H112</f>
        <v>1.8731581210571096E-2</v>
      </c>
      <c r="K113" s="16"/>
      <c r="L113" s="16"/>
      <c r="M113" s="16"/>
      <c r="N113" s="16">
        <f t="shared" ref="N113" si="150">+H113/BV113</f>
        <v>26720.673076923078</v>
      </c>
      <c r="O113" s="41"/>
      <c r="P113" s="17"/>
      <c r="Q113" s="16"/>
      <c r="R113" s="60"/>
      <c r="S113" s="16"/>
      <c r="T113" s="41"/>
      <c r="U113" s="10"/>
      <c r="V113" s="34">
        <v>676</v>
      </c>
      <c r="W113" s="33"/>
      <c r="X113" s="33"/>
      <c r="Y113" s="33"/>
      <c r="Z113" s="33">
        <f t="shared" ref="Z113" si="151">+Z112+V113</f>
        <v>130223</v>
      </c>
      <c r="AA113" s="33"/>
      <c r="AB113" s="46">
        <f t="shared" ref="AB113" si="152">+Z113/H113</f>
        <v>4.6860504866946151E-2</v>
      </c>
      <c r="AC113" s="33"/>
      <c r="AD113" s="33">
        <f t="shared" ref="AD113" si="153">+Z113/BV113</f>
        <v>1252.1442307692307</v>
      </c>
      <c r="AE113" s="50"/>
      <c r="AF113" s="33"/>
      <c r="AG113" s="33">
        <f>SUM(D83:D112)</f>
        <v>869627</v>
      </c>
      <c r="AH113" s="232"/>
      <c r="AI113" s="50"/>
      <c r="AJ113" s="10"/>
      <c r="AK113" s="23">
        <f t="shared" ref="AK113" si="154">+AO113-AO112</f>
        <v>20966</v>
      </c>
      <c r="AL113" s="24"/>
      <c r="AM113" s="24"/>
      <c r="AN113" s="24">
        <v>178263</v>
      </c>
      <c r="AO113" s="24">
        <v>1164300</v>
      </c>
      <c r="AP113" s="24"/>
      <c r="AQ113" s="505">
        <f t="shared" ref="AQ113" si="155">+AK113/AO112</f>
        <v>1.8337598636968724E-2</v>
      </c>
      <c r="AR113" s="25"/>
      <c r="AS113" s="25"/>
      <c r="AT113" s="24"/>
      <c r="AU113" s="342">
        <f t="shared" ref="AU113" si="156">+AO113/H113</f>
        <v>0.41897119415606615</v>
      </c>
      <c r="AV113" s="342"/>
      <c r="AW113" s="24">
        <f t="shared" ref="AW113" si="157">+AO113/BV113</f>
        <v>11195.192307692309</v>
      </c>
      <c r="AX113" s="352"/>
      <c r="AY113" s="10"/>
      <c r="AZ113" s="66">
        <f t="shared" ref="AZ113" si="158">+BB113-BB112</f>
        <v>657615</v>
      </c>
      <c r="BA113" s="67"/>
      <c r="BB113" s="67">
        <v>34855642</v>
      </c>
      <c r="BC113" s="67"/>
      <c r="BD113" s="67">
        <f t="shared" ref="BD113" si="159">+D113</f>
        <v>51097</v>
      </c>
      <c r="BE113" s="67"/>
      <c r="BF113" s="157">
        <f t="shared" ref="BF113" si="160">+BD113/AZ113</f>
        <v>7.7700478243349066E-2</v>
      </c>
      <c r="BG113" s="67"/>
      <c r="BH113" s="184"/>
      <c r="BI113" s="67"/>
      <c r="BJ113" s="67"/>
      <c r="BK113" s="67"/>
      <c r="BL113" s="157"/>
      <c r="BM113" s="66">
        <f t="shared" ref="BM113" si="161">+BB113/BV113</f>
        <v>335150.40384615387</v>
      </c>
      <c r="BN113" s="67"/>
      <c r="BO113" s="67">
        <f t="shared" ref="BO113" si="162">+BO112+BD113</f>
        <v>2505572</v>
      </c>
      <c r="BP113" s="67"/>
      <c r="BQ113" s="479">
        <f t="shared" ref="BQ113" si="163">+BO113/BB113</f>
        <v>7.1884259082073423E-2</v>
      </c>
      <c r="BR113" s="67"/>
      <c r="BS113" s="86"/>
      <c r="BT113" s="184"/>
      <c r="BU113" s="1"/>
      <c r="BV113">
        <f t="shared" si="53"/>
        <v>104</v>
      </c>
    </row>
    <row r="114" spans="2:74" x14ac:dyDescent="0.3">
      <c r="B114" s="172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 t="shared" ref="H114" si="164">+H113+D114</f>
        <v>2838825</v>
      </c>
      <c r="I114" s="506" t="s">
        <v>150</v>
      </c>
      <c r="J114" s="38">
        <f t="shared" ref="J114" si="165">+D114/H113</f>
        <v>2.1545907626981414E-2</v>
      </c>
      <c r="K114" s="16"/>
      <c r="L114" s="16"/>
      <c r="M114" s="16"/>
      <c r="N114" s="16">
        <f t="shared" ref="N114" si="166">+H114/BV114</f>
        <v>27036.428571428572</v>
      </c>
      <c r="O114" s="41"/>
      <c r="P114" s="17"/>
      <c r="Q114" s="16"/>
      <c r="R114" s="60"/>
      <c r="S114" s="16"/>
      <c r="T114" s="41"/>
      <c r="U114" s="10"/>
      <c r="V114" s="34">
        <v>604</v>
      </c>
      <c r="W114" s="33"/>
      <c r="X114" s="33"/>
      <c r="Y114" s="33"/>
      <c r="Z114" s="33">
        <f t="shared" ref="Z114" si="167">+Z113+V114</f>
        <v>130827</v>
      </c>
      <c r="AA114" s="33"/>
      <c r="AB114" s="46">
        <f t="shared" ref="AB114" si="168">+Z114/H114</f>
        <v>4.6084911891363503E-2</v>
      </c>
      <c r="AC114" s="33"/>
      <c r="AD114" s="33">
        <f t="shared" ref="AD114" si="169">+Z114/BV114</f>
        <v>1245.9714285714285</v>
      </c>
      <c r="AE114" s="50"/>
      <c r="AF114" s="33"/>
      <c r="AG114" s="33">
        <f>SUM(V83:V112)</f>
        <v>21252</v>
      </c>
      <c r="AH114" s="232"/>
      <c r="AI114" s="50"/>
      <c r="AJ114" s="10"/>
      <c r="AK114" s="23">
        <f t="shared" ref="AK114" si="170">+AO114-AO113</f>
        <v>20879</v>
      </c>
      <c r="AL114" s="24"/>
      <c r="AM114" s="24"/>
      <c r="AN114" s="24">
        <v>178263</v>
      </c>
      <c r="AO114" s="24">
        <v>1185179</v>
      </c>
      <c r="AP114" s="24"/>
      <c r="AQ114" s="505">
        <f t="shared" ref="AQ114" si="171">+AK114/AO113</f>
        <v>1.7932663402903032E-2</v>
      </c>
      <c r="AR114" s="25"/>
      <c r="AS114" s="25"/>
      <c r="AT114" s="24"/>
      <c r="AU114" s="342">
        <f t="shared" ref="AU114" si="172">+AO114/H114</f>
        <v>0.41748927813443942</v>
      </c>
      <c r="AV114" s="342"/>
      <c r="AW114" s="24">
        <f t="shared" ref="AW114" si="173">+AO114/BV114</f>
        <v>11287.419047619047</v>
      </c>
      <c r="AX114" s="352"/>
      <c r="AY114" s="10"/>
      <c r="AZ114" s="66">
        <f t="shared" ref="AZ114" si="174">+BB114-BB113</f>
        <v>682358</v>
      </c>
      <c r="BA114" s="67"/>
      <c r="BB114" s="67">
        <v>35538000</v>
      </c>
      <c r="BC114" s="67"/>
      <c r="BD114" s="67">
        <f t="shared" ref="BD114" si="175">+D114</f>
        <v>59875</v>
      </c>
      <c r="BE114" s="67"/>
      <c r="BF114" s="157">
        <f t="shared" ref="BF114" si="176">+BD114/AZ114</f>
        <v>8.7747194288042341E-2</v>
      </c>
      <c r="BG114" s="67"/>
      <c r="BH114" s="184"/>
      <c r="BI114" s="67"/>
      <c r="BJ114" s="67"/>
      <c r="BK114" s="67"/>
      <c r="BL114" s="157"/>
      <c r="BM114" s="66">
        <f t="shared" ref="BM114" si="177">+BB114/BV114</f>
        <v>338457.14285714284</v>
      </c>
      <c r="BN114" s="67"/>
      <c r="BO114" s="67">
        <f t="shared" ref="BO114" si="178">+BO113+BD114</f>
        <v>2565447</v>
      </c>
      <c r="BP114" s="67"/>
      <c r="BQ114" s="479">
        <f t="shared" ref="BQ114" si="179">+BO114/BB114</f>
        <v>7.2188840114806682E-2</v>
      </c>
      <c r="BR114" s="67"/>
      <c r="BS114" s="86"/>
      <c r="BT114" s="184"/>
      <c r="BU114" s="1"/>
      <c r="BV114">
        <f t="shared" si="53"/>
        <v>105</v>
      </c>
    </row>
    <row r="115" spans="2:74" x14ac:dyDescent="0.3">
      <c r="B115" s="172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" si="180">+H114+D115</f>
        <v>2896916</v>
      </c>
      <c r="I115" s="506" t="s">
        <v>150</v>
      </c>
      <c r="J115" s="38">
        <f t="shared" ref="J115" si="181">+D115/H114</f>
        <v>2.046304368885014E-2</v>
      </c>
      <c r="K115" s="16"/>
      <c r="L115" s="16"/>
      <c r="M115" s="16"/>
      <c r="N115" s="16">
        <f t="shared" ref="N115" si="182">+H115/BV115</f>
        <v>27329.396226415094</v>
      </c>
      <c r="O115" s="41"/>
      <c r="P115" s="17"/>
      <c r="Q115" s="16"/>
      <c r="R115" s="60"/>
      <c r="S115" s="16"/>
      <c r="T115" s="41"/>
      <c r="U115" s="10"/>
      <c r="V115" s="34">
        <v>616</v>
      </c>
      <c r="W115" s="33"/>
      <c r="X115" s="33"/>
      <c r="Y115" s="33"/>
      <c r="Z115" s="33">
        <f t="shared" ref="Z115" si="183">+Z114+V115</f>
        <v>131443</v>
      </c>
      <c r="AA115" s="33"/>
      <c r="AB115" s="46">
        <f t="shared" ref="AB115" si="184">+Z115/H115</f>
        <v>4.5373424704064601E-2</v>
      </c>
      <c r="AC115" s="33"/>
      <c r="AD115" s="33">
        <f t="shared" ref="AD115" si="185">+Z115/BV115</f>
        <v>1240.0283018867924</v>
      </c>
      <c r="AE115" s="50"/>
      <c r="AF115" s="33"/>
      <c r="AG115" s="232">
        <f>+AG114/AG113</f>
        <v>2.4438063675575852E-2</v>
      </c>
      <c r="AH115" s="232"/>
      <c r="AI115" s="50"/>
      <c r="AJ115" s="10"/>
      <c r="AK115" s="23">
        <f t="shared" ref="AK115" si="186">+AO115-AO114</f>
        <v>50309</v>
      </c>
      <c r="AL115" s="24"/>
      <c r="AM115" s="24"/>
      <c r="AN115" s="24">
        <v>178263</v>
      </c>
      <c r="AO115" s="24">
        <v>1235488</v>
      </c>
      <c r="AP115" s="24"/>
      <c r="AQ115" s="505">
        <f t="shared" ref="AQ115" si="187">+AK115/AO114</f>
        <v>4.2448440277797699E-2</v>
      </c>
      <c r="AR115" s="25"/>
      <c r="AS115" s="25"/>
      <c r="AT115" s="24"/>
      <c r="AU115" s="342">
        <f t="shared" ref="AU115" si="188">+AO115/H115</f>
        <v>0.42648388838337048</v>
      </c>
      <c r="AV115" s="342"/>
      <c r="AW115" s="24">
        <f t="shared" ref="AW115" si="189">+AO115/BV115</f>
        <v>11655.547169811322</v>
      </c>
      <c r="AX115" s="352"/>
      <c r="AY115" s="10"/>
      <c r="AZ115" s="66">
        <f t="shared" ref="AZ115" si="190">+BB115-BB114</f>
        <v>759195</v>
      </c>
      <c r="BA115" s="67"/>
      <c r="BB115" s="67">
        <v>36297195</v>
      </c>
      <c r="BC115" s="67"/>
      <c r="BD115" s="67">
        <f t="shared" ref="BD115" si="191">+D115</f>
        <v>58091</v>
      </c>
      <c r="BE115" s="67"/>
      <c r="BF115" s="157">
        <f t="shared" ref="BF115" si="192">+BD115/AZ115</f>
        <v>7.6516573475852709E-2</v>
      </c>
      <c r="BG115" s="67"/>
      <c r="BH115" s="184"/>
      <c r="BI115" s="67"/>
      <c r="BJ115" s="67"/>
      <c r="BK115" s="67"/>
      <c r="BL115" s="157"/>
      <c r="BM115" s="66">
        <f t="shared" ref="BM115" si="193">+BB115/BV115</f>
        <v>342426.36792452831</v>
      </c>
      <c r="BN115" s="67"/>
      <c r="BO115" s="67">
        <f t="shared" ref="BO115" si="194">+BO114+BD115</f>
        <v>2623538</v>
      </c>
      <c r="BP115" s="67"/>
      <c r="BQ115" s="479">
        <f t="shared" ref="BQ115" si="195">+BO115/BB115</f>
        <v>7.2279359327903983E-2</v>
      </c>
      <c r="BR115" s="67"/>
      <c r="BS115" s="86"/>
      <c r="BT115" s="184"/>
      <c r="BU115" s="1"/>
      <c r="BV115">
        <f t="shared" si="53"/>
        <v>106</v>
      </c>
    </row>
    <row r="116" spans="2:74" x14ac:dyDescent="0.3">
      <c r="B116" s="172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 t="shared" ref="H116" si="196">+H115+D116</f>
        <v>2943500</v>
      </c>
      <c r="I116" s="506" t="s">
        <v>150</v>
      </c>
      <c r="J116" s="38">
        <f t="shared" ref="J116" si="197">+D116/H115</f>
        <v>1.6080549108085977E-2</v>
      </c>
      <c r="K116" s="16"/>
      <c r="L116" s="16"/>
      <c r="M116" s="16"/>
      <c r="N116" s="16">
        <f t="shared" ref="N116" si="198">+H116/BV116</f>
        <v>27509.345794392524</v>
      </c>
      <c r="O116" s="41"/>
      <c r="P116" s="17"/>
      <c r="Q116" s="16"/>
      <c r="R116" s="60"/>
      <c r="S116" s="16"/>
      <c r="T116" s="41"/>
      <c r="U116" s="10"/>
      <c r="V116" s="34">
        <v>254</v>
      </c>
      <c r="W116" s="33"/>
      <c r="X116" s="33"/>
      <c r="Y116" s="33"/>
      <c r="Z116" s="33">
        <f t="shared" ref="Z116" si="199">+Z115+V116</f>
        <v>131697</v>
      </c>
      <c r="AA116" s="33"/>
      <c r="AB116" s="46">
        <f t="shared" ref="AB116" si="200">+Z116/H116</f>
        <v>4.4741634109053845E-2</v>
      </c>
      <c r="AC116" s="33"/>
      <c r="AD116" s="33">
        <f t="shared" ref="AD116" si="201">+Z116/BV116</f>
        <v>1230.8130841121495</v>
      </c>
      <c r="AE116" s="50"/>
      <c r="AF116" s="33"/>
      <c r="AG116" s="33"/>
      <c r="AH116" s="232"/>
      <c r="AI116" s="50"/>
      <c r="AJ116" s="10"/>
      <c r="AK116" s="23">
        <f t="shared" ref="AK116" si="202">+AO116-AO115</f>
        <v>24917</v>
      </c>
      <c r="AL116" s="24"/>
      <c r="AM116" s="24"/>
      <c r="AN116" s="24">
        <v>178263</v>
      </c>
      <c r="AO116" s="24">
        <v>1260405</v>
      </c>
      <c r="AP116" s="24"/>
      <c r="AQ116" s="505">
        <f t="shared" ref="AQ116" si="203">+AK116/AO115</f>
        <v>2.0167739387189517E-2</v>
      </c>
      <c r="AR116" s="25"/>
      <c r="AS116" s="25"/>
      <c r="AT116" s="24"/>
      <c r="AU116" s="342">
        <f t="shared" ref="AU116" si="204">+AO116/H116</f>
        <v>0.42819942245625958</v>
      </c>
      <c r="AV116" s="342"/>
      <c r="AW116" s="24">
        <f t="shared" ref="AW116" si="205">+AO116/BV116</f>
        <v>11779.485981308411</v>
      </c>
      <c r="AX116" s="352"/>
      <c r="AY116" s="10"/>
      <c r="AZ116" s="66">
        <f t="shared" ref="AZ116" si="206">+BB116-BB115</f>
        <v>656438</v>
      </c>
      <c r="BA116" s="67"/>
      <c r="BB116" s="67">
        <v>36953633</v>
      </c>
      <c r="BC116" s="67"/>
      <c r="BD116" s="67">
        <f t="shared" ref="BD116" si="207">+D116</f>
        <v>46584</v>
      </c>
      <c r="BE116" s="67"/>
      <c r="BF116" s="157">
        <f t="shared" ref="BF116" si="208">+BD116/AZ116</f>
        <v>7.0964813127820145E-2</v>
      </c>
      <c r="BG116" s="67"/>
      <c r="BH116" s="184"/>
      <c r="BI116" s="67"/>
      <c r="BJ116" s="67"/>
      <c r="BK116" s="67"/>
      <c r="BL116" s="157"/>
      <c r="BM116" s="66">
        <f t="shared" ref="BM116" si="209">+BB116/BV116</f>
        <v>345361.05607476638</v>
      </c>
      <c r="BN116" s="67"/>
      <c r="BO116" s="67">
        <f t="shared" ref="BO116" si="210">+BO115+BD116</f>
        <v>2670122</v>
      </c>
      <c r="BP116" s="67"/>
      <c r="BQ116" s="479">
        <f t="shared" ref="BQ116" si="211">+BO116/BB116</f>
        <v>7.2256007954617077E-2</v>
      </c>
      <c r="BR116" s="67"/>
      <c r="BS116" s="86"/>
      <c r="BT116" s="184"/>
      <c r="BU116" s="1"/>
      <c r="BV116">
        <f t="shared" si="53"/>
        <v>107</v>
      </c>
    </row>
    <row r="117" spans="2:74" x14ac:dyDescent="0.3">
      <c r="B117" s="391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ref="H117" si="212">+H116+D117</f>
        <v>2988030</v>
      </c>
      <c r="I117" s="16"/>
      <c r="J117" s="38">
        <f t="shared" ref="J117" si="213">+D117/H116</f>
        <v>1.5128248683540003E-2</v>
      </c>
      <c r="K117" s="16"/>
      <c r="L117" s="16"/>
      <c r="M117" s="16"/>
      <c r="N117" s="16">
        <f t="shared" ref="N117" si="214">+H117/BV117</f>
        <v>27666.944444444445</v>
      </c>
      <c r="O117" s="41"/>
      <c r="P117" s="17">
        <f t="shared" ref="P117" si="215">SUM(D111:D117)</f>
        <v>350953</v>
      </c>
      <c r="Q117" s="16"/>
      <c r="R117" s="60">
        <f t="shared" ref="R117" si="216">+(P117-P110)/P110</f>
        <v>0.26414883653915422</v>
      </c>
      <c r="S117" s="16"/>
      <c r="T117" s="41"/>
      <c r="U117" s="392"/>
      <c r="V117" s="34">
        <v>251</v>
      </c>
      <c r="W117" s="33"/>
      <c r="X117" s="33"/>
      <c r="Y117" s="33"/>
      <c r="Z117" s="33">
        <f t="shared" ref="Z117" si="217">+Z116+V117</f>
        <v>131948</v>
      </c>
      <c r="AA117" s="33"/>
      <c r="AB117" s="46">
        <f t="shared" ref="AB117" si="218">+Z117/H117</f>
        <v>4.4158860520142035E-2</v>
      </c>
      <c r="AC117" s="33"/>
      <c r="AD117" s="33">
        <f t="shared" ref="AD117" si="219">+Z117/BV117</f>
        <v>1221.7407407407406</v>
      </c>
      <c r="AE117" s="50"/>
      <c r="AF117" s="33">
        <f t="shared" ref="AF117" si="220">SUM(V111:V117)</f>
        <v>3511</v>
      </c>
      <c r="AG117" s="33"/>
      <c r="AH117" s="232">
        <f t="shared" ref="AH117" si="221">+(AF117-AF110)/AF110</f>
        <v>-0.15722515602496401</v>
      </c>
      <c r="AI117" s="50"/>
      <c r="AJ117" s="392"/>
      <c r="AK117" s="23">
        <f t="shared" ref="AK117" si="222">+AO117-AO116</f>
        <v>25154</v>
      </c>
      <c r="AL117" s="24"/>
      <c r="AM117" s="24"/>
      <c r="AN117" s="24">
        <v>178263</v>
      </c>
      <c r="AO117" s="24">
        <v>1285559</v>
      </c>
      <c r="AP117" s="24"/>
      <c r="AQ117" s="505">
        <f t="shared" ref="AQ117" si="223">+AK117/AO116</f>
        <v>1.9957077288649282E-2</v>
      </c>
      <c r="AR117" s="25"/>
      <c r="AS117" s="25"/>
      <c r="AT117" s="24"/>
      <c r="AU117" s="342">
        <f t="shared" ref="AU117" si="224">+AO117/H117</f>
        <v>0.43023630954173819</v>
      </c>
      <c r="AV117" s="342"/>
      <c r="AW117" s="24">
        <f t="shared" ref="AW117" si="225">+AO117/BV117</f>
        <v>11903.324074074075</v>
      </c>
      <c r="AX117" s="352"/>
      <c r="AY117" s="392"/>
      <c r="AZ117" s="66">
        <f t="shared" ref="AZ117" si="226">+BB117-BB116</f>
        <v>633176</v>
      </c>
      <c r="BA117" s="67"/>
      <c r="BB117" s="67">
        <v>37586809</v>
      </c>
      <c r="BC117" s="67"/>
      <c r="BD117" s="67">
        <f t="shared" ref="BD117" si="227">+D117</f>
        <v>44530</v>
      </c>
      <c r="BE117" s="67"/>
      <c r="BF117" s="157">
        <f t="shared" ref="BF117" si="228">+BD117/AZ117</f>
        <v>7.0327997270900985E-2</v>
      </c>
      <c r="BG117" s="67"/>
      <c r="BH117" s="184"/>
      <c r="BI117" s="67"/>
      <c r="BJ117" s="67">
        <f t="shared" ref="BJ117" si="229">SUM(AZ111:AZ117)</f>
        <v>4994441</v>
      </c>
      <c r="BK117" s="67"/>
      <c r="BL117" s="157">
        <f t="shared" ref="BL117" si="230">+P117/BJ117</f>
        <v>7.0268724768197288E-2</v>
      </c>
      <c r="BM117" s="66">
        <f t="shared" ref="BM117" si="231">+BB117/BV117</f>
        <v>348026.00925925927</v>
      </c>
      <c r="BN117" s="67"/>
      <c r="BO117" s="67">
        <f t="shared" ref="BO117" si="232">+BO116+BD117</f>
        <v>2714652</v>
      </c>
      <c r="BP117" s="67"/>
      <c r="BQ117" s="479">
        <f t="shared" ref="BQ117" si="233">+BO117/BB117</f>
        <v>7.2223529270601286E-2</v>
      </c>
      <c r="BR117" s="67"/>
      <c r="BS117" s="86"/>
      <c r="BT117" s="184"/>
      <c r="BU117" s="1"/>
      <c r="BV117" s="473">
        <f t="shared" si="53"/>
        <v>108</v>
      </c>
    </row>
    <row r="118" spans="2:74" x14ac:dyDescent="0.3">
      <c r="B118" s="172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ref="H118" si="234">+H117+D118</f>
        <v>3041642</v>
      </c>
      <c r="I118" s="16"/>
      <c r="J118" s="38">
        <f t="shared" ref="J118" si="235">+D118/H117</f>
        <v>1.7942256269180699E-2</v>
      </c>
      <c r="K118" s="16"/>
      <c r="L118" s="16"/>
      <c r="M118" s="16"/>
      <c r="N118" s="16">
        <f t="shared" ref="N118" si="236">+H118/BV118</f>
        <v>27904.972477064221</v>
      </c>
      <c r="O118" s="41"/>
      <c r="P118" s="17">
        <f t="shared" ref="P118" si="237">SUM(D112:D118)</f>
        <v>359831</v>
      </c>
      <c r="Q118" s="16"/>
      <c r="R118" s="60"/>
      <c r="S118" s="16"/>
      <c r="T118" s="41"/>
      <c r="U118" s="10"/>
      <c r="V118" s="34">
        <v>378</v>
      </c>
      <c r="W118" s="33"/>
      <c r="X118" s="33"/>
      <c r="Y118" s="33"/>
      <c r="Z118" s="33">
        <f t="shared" ref="Z118" si="238">+Z117+V118</f>
        <v>132326</v>
      </c>
      <c r="AA118" s="33"/>
      <c r="AB118" s="46">
        <f t="shared" ref="AB118" si="239">+Z118/H118</f>
        <v>4.350479116214203E-2</v>
      </c>
      <c r="AC118" s="33"/>
      <c r="AD118" s="33">
        <f t="shared" ref="AD118" si="240">+Z118/BV118</f>
        <v>1214</v>
      </c>
      <c r="AE118" s="50"/>
      <c r="AF118" s="33"/>
      <c r="AG118" s="33"/>
      <c r="AH118" s="232"/>
      <c r="AI118" s="50"/>
      <c r="AJ118" s="10"/>
      <c r="AK118" s="23">
        <f t="shared" ref="AK118" si="241">+AO118-AO117</f>
        <v>39388</v>
      </c>
      <c r="AL118" s="24"/>
      <c r="AM118" s="24"/>
      <c r="AN118" s="24">
        <v>178263</v>
      </c>
      <c r="AO118" s="24">
        <v>1324947</v>
      </c>
      <c r="AP118" s="24"/>
      <c r="AQ118" s="505">
        <f t="shared" ref="AQ118" si="242">+AK118/AO117</f>
        <v>3.0638811598689752E-2</v>
      </c>
      <c r="AR118" s="25"/>
      <c r="AS118" s="25"/>
      <c r="AT118" s="24"/>
      <c r="AU118" s="342">
        <f t="shared" ref="AU118" si="243">+AO118/H118</f>
        <v>0.43560254625626554</v>
      </c>
      <c r="AV118" s="342"/>
      <c r="AW118" s="24">
        <f t="shared" ref="AW118" si="244">+AO118/BV118</f>
        <v>12155.477064220184</v>
      </c>
      <c r="AX118" s="352"/>
      <c r="AY118" s="10"/>
      <c r="AZ118" s="66">
        <f t="shared" ref="AZ118" si="245">+BB118-BB117</f>
        <v>630831</v>
      </c>
      <c r="BA118" s="67"/>
      <c r="BB118" s="67">
        <v>38217640</v>
      </c>
      <c r="BC118" s="67"/>
      <c r="BD118" s="67">
        <f t="shared" ref="BD118" si="246">+D118</f>
        <v>53612</v>
      </c>
      <c r="BE118" s="67"/>
      <c r="BF118" s="157">
        <f t="shared" ref="BF118" si="247">+BD118/AZ118</f>
        <v>8.4986311706304857E-2</v>
      </c>
      <c r="BG118" s="67"/>
      <c r="BH118" s="184"/>
      <c r="BI118" s="67"/>
      <c r="BJ118" s="67">
        <f t="shared" ref="BJ118" si="248">SUM(AZ112:AZ118)</f>
        <v>5028127</v>
      </c>
      <c r="BK118" s="67"/>
      <c r="BL118" s="157">
        <f t="shared" ref="BL118" si="249">+P118/BJ118</f>
        <v>7.1563625978420989E-2</v>
      </c>
      <c r="BM118" s="66">
        <f t="shared" ref="BM118" si="250">+BB118/BV118</f>
        <v>350620.55045871559</v>
      </c>
      <c r="BN118" s="67"/>
      <c r="BO118" s="67">
        <f t="shared" ref="BO118" si="251">+BO117+BD118</f>
        <v>2768264</v>
      </c>
      <c r="BP118" s="67"/>
      <c r="BQ118" s="479">
        <f t="shared" ref="BQ118" si="252">+BO118/BB118</f>
        <v>7.2434195308763175E-2</v>
      </c>
      <c r="BR118" s="67"/>
      <c r="BS118" s="86"/>
      <c r="BT118" s="184"/>
      <c r="BU118" s="1"/>
      <c r="BV118">
        <f t="shared" si="53"/>
        <v>109</v>
      </c>
    </row>
    <row r="119" spans="2:74" x14ac:dyDescent="0.3">
      <c r="B119" s="172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ref="H119" si="253">+H118+D119</f>
        <v>3097084</v>
      </c>
      <c r="I119" s="16"/>
      <c r="J119" s="38">
        <f t="shared" ref="J119" si="254">+D119/H118</f>
        <v>1.822765466810361E-2</v>
      </c>
      <c r="K119" s="16"/>
      <c r="L119" s="16"/>
      <c r="M119" s="16"/>
      <c r="N119" s="16">
        <f t="shared" ref="N119" si="255">+H119/BV119</f>
        <v>28155.30909090909</v>
      </c>
      <c r="O119" s="41"/>
      <c r="P119" s="17">
        <f t="shared" ref="P119" si="256">SUM(D113:D119)</f>
        <v>369231</v>
      </c>
      <c r="Q119" s="16"/>
      <c r="R119" s="60"/>
      <c r="S119" s="16"/>
      <c r="T119" s="41"/>
      <c r="U119" s="10"/>
      <c r="V119" s="34">
        <v>993</v>
      </c>
      <c r="W119" s="33"/>
      <c r="X119" s="33"/>
      <c r="Y119" s="33"/>
      <c r="Z119" s="33">
        <f t="shared" ref="Z119" si="257">+Z118+V119</f>
        <v>133319</v>
      </c>
      <c r="AA119" s="33"/>
      <c r="AB119" s="46">
        <f t="shared" ref="AB119" si="258">+Z119/H119</f>
        <v>4.3046620627661375E-2</v>
      </c>
      <c r="AC119" s="33"/>
      <c r="AD119" s="33">
        <f t="shared" ref="AD119" si="259">+Z119/BV119</f>
        <v>1211.9909090909091</v>
      </c>
      <c r="AE119" s="50"/>
      <c r="AF119" s="33"/>
      <c r="AG119" s="33"/>
      <c r="AH119" s="232"/>
      <c r="AI119" s="50"/>
      <c r="AJ119" s="10"/>
      <c r="AK119" s="23">
        <f t="shared" ref="AK119" si="260">+AO119-AO118</f>
        <v>29916</v>
      </c>
      <c r="AL119" s="24"/>
      <c r="AM119" s="24"/>
      <c r="AN119" s="24">
        <v>178263</v>
      </c>
      <c r="AO119" s="24">
        <v>1354863</v>
      </c>
      <c r="AP119" s="24"/>
      <c r="AQ119" s="505">
        <f t="shared" ref="AQ119" si="261">+AK119/AO118</f>
        <v>2.2579016368201896E-2</v>
      </c>
      <c r="AR119" s="25"/>
      <c r="AS119" s="25"/>
      <c r="AT119" s="24"/>
      <c r="AU119" s="342">
        <f t="shared" ref="AU119" si="262">+AO119/H119</f>
        <v>0.43746407911441859</v>
      </c>
      <c r="AV119" s="342"/>
      <c r="AW119" s="24">
        <f t="shared" ref="AW119" si="263">+AO119/BV119</f>
        <v>12316.936363636363</v>
      </c>
      <c r="AX119" s="352"/>
      <c r="AY119" s="10"/>
      <c r="AZ119" s="66">
        <f t="shared" ref="AZ119" si="264">+BB119-BB118</f>
        <v>583951</v>
      </c>
      <c r="BA119" s="67"/>
      <c r="BB119" s="67">
        <v>38801591</v>
      </c>
      <c r="BC119" s="67"/>
      <c r="BD119" s="67">
        <f t="shared" ref="BD119" si="265">+D119</f>
        <v>55442</v>
      </c>
      <c r="BE119" s="67"/>
      <c r="BF119" s="157">
        <f t="shared" ref="BF119" si="266">+BD119/AZ119</f>
        <v>9.4942897606134766E-2</v>
      </c>
      <c r="BG119" s="67"/>
      <c r="BH119" s="184"/>
      <c r="BI119" s="67"/>
      <c r="BJ119" s="67">
        <f t="shared" ref="BJ119" si="267">SUM(AZ113:AZ119)</f>
        <v>4603564</v>
      </c>
      <c r="BK119" s="67"/>
      <c r="BL119" s="157">
        <f t="shared" ref="BL119" si="268">+P119/BJ119</f>
        <v>8.0205466894779781E-2</v>
      </c>
      <c r="BM119" s="66">
        <f t="shared" ref="BM119" si="269">+BB119/BV119</f>
        <v>352741.73636363639</v>
      </c>
      <c r="BN119" s="67"/>
      <c r="BO119" s="67">
        <f t="shared" ref="BO119" si="270">+BO118+BD119</f>
        <v>2823706</v>
      </c>
      <c r="BP119" s="67"/>
      <c r="BQ119" s="479">
        <f t="shared" ref="BQ119" si="271">+BO119/BB119</f>
        <v>7.2772943769238735E-2</v>
      </c>
      <c r="BR119" s="67"/>
      <c r="BS119" s="86"/>
      <c r="BT119" s="184"/>
      <c r="BU119" s="1"/>
      <c r="BV119">
        <f t="shared" si="53"/>
        <v>110</v>
      </c>
    </row>
    <row r="120" spans="2:74" x14ac:dyDescent="0.3">
      <c r="B120" s="172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ref="H120" si="272">+H119+D120</f>
        <v>3158932</v>
      </c>
      <c r="I120" s="16"/>
      <c r="J120" s="38">
        <f t="shared" ref="J120" si="273">+D120/H119</f>
        <v>1.9969752192707722E-2</v>
      </c>
      <c r="K120" s="16"/>
      <c r="L120" s="16"/>
      <c r="M120" s="16"/>
      <c r="N120" s="16">
        <f t="shared" ref="N120" si="274">+H120/BV120</f>
        <v>28458.846846846845</v>
      </c>
      <c r="O120" s="41"/>
      <c r="P120" s="17">
        <f t="shared" ref="P120" si="275">SUM(D114:D120)</f>
        <v>379982</v>
      </c>
      <c r="Q120" s="16"/>
      <c r="R120" s="60"/>
      <c r="S120" s="16"/>
      <c r="T120" s="41"/>
      <c r="U120" s="10"/>
      <c r="V120" s="34">
        <v>890</v>
      </c>
      <c r="W120" s="33"/>
      <c r="X120" s="33"/>
      <c r="Y120" s="33"/>
      <c r="Z120" s="33">
        <f t="shared" ref="Z120" si="276">+Z119+V120</f>
        <v>134209</v>
      </c>
      <c r="AA120" s="33"/>
      <c r="AB120" s="46">
        <f t="shared" ref="AB120" si="277">+Z120/H120</f>
        <v>4.2485561575874381E-2</v>
      </c>
      <c r="AC120" s="33"/>
      <c r="AD120" s="33">
        <f t="shared" ref="AD120" si="278">+Z120/BV120</f>
        <v>1209.0900900900901</v>
      </c>
      <c r="AE120" s="50"/>
      <c r="AF120" s="33"/>
      <c r="AG120" s="33"/>
      <c r="AH120" s="232"/>
      <c r="AI120" s="50"/>
      <c r="AJ120" s="10"/>
      <c r="AK120" s="23">
        <f t="shared" ref="AK120" si="279">+AO120-AO119</f>
        <v>37816</v>
      </c>
      <c r="AL120" s="24"/>
      <c r="AM120" s="24"/>
      <c r="AN120" s="24">
        <v>178263</v>
      </c>
      <c r="AO120" s="24">
        <v>1392679</v>
      </c>
      <c r="AP120" s="24"/>
      <c r="AQ120" s="505">
        <f t="shared" ref="AQ120" si="280">+AK120/AO119</f>
        <v>2.7911309113910411E-2</v>
      </c>
      <c r="AR120" s="25"/>
      <c r="AS120" s="25"/>
      <c r="AT120" s="24"/>
      <c r="AU120" s="342">
        <f t="shared" ref="AU120" si="281">+AO120/H120</f>
        <v>0.44087020549983347</v>
      </c>
      <c r="AV120" s="342"/>
      <c r="AW120" s="24">
        <f t="shared" ref="AW120" si="282">+AO120/BV120</f>
        <v>12546.657657657657</v>
      </c>
      <c r="AX120" s="352"/>
      <c r="AY120" s="10"/>
      <c r="AZ120" s="66">
        <f t="shared" ref="AZ120" si="283">+BB120-BB119</f>
        <v>677846</v>
      </c>
      <c r="BA120" s="67"/>
      <c r="BB120" s="67">
        <v>39479437</v>
      </c>
      <c r="BC120" s="67"/>
      <c r="BD120" s="67">
        <f t="shared" ref="BD120" si="284">+D120</f>
        <v>61848</v>
      </c>
      <c r="BE120" s="67"/>
      <c r="BF120" s="157">
        <f t="shared" ref="BF120" si="285">+BD120/AZ120</f>
        <v>9.1241963513836483E-2</v>
      </c>
      <c r="BG120" s="67"/>
      <c r="BH120" s="184"/>
      <c r="BI120" s="67"/>
      <c r="BJ120" s="67">
        <f t="shared" ref="BJ120" si="286">SUM(AZ114:AZ120)</f>
        <v>4623795</v>
      </c>
      <c r="BK120" s="67"/>
      <c r="BL120" s="157">
        <f t="shared" ref="BL120" si="287">+P120/BJ120</f>
        <v>8.2179681408885985E-2</v>
      </c>
      <c r="BM120" s="66">
        <f t="shared" ref="BM120" si="288">+BB120/BV120</f>
        <v>355670.60360360361</v>
      </c>
      <c r="BN120" s="67"/>
      <c r="BO120" s="67">
        <f t="shared" ref="BO120" si="289">+BO119+BD120</f>
        <v>2885554</v>
      </c>
      <c r="BP120" s="67"/>
      <c r="BQ120" s="479">
        <f t="shared" ref="BQ120" si="290">+BO120/BB120</f>
        <v>7.3090049384442843E-2</v>
      </c>
      <c r="BR120" s="67"/>
      <c r="BS120" s="86"/>
      <c r="BT120" s="184"/>
      <c r="BU120" s="1"/>
      <c r="BV120">
        <f t="shared" si="53"/>
        <v>111</v>
      </c>
    </row>
    <row r="121" spans="2:74" x14ac:dyDescent="0.3">
      <c r="B121" s="172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ref="H121" si="291">+H120+D121</f>
        <v>3219999</v>
      </c>
      <c r="I121" s="16"/>
      <c r="J121" s="38">
        <f t="shared" ref="J121" si="292">+D121/H120</f>
        <v>1.9331533568940389E-2</v>
      </c>
      <c r="K121" s="16"/>
      <c r="L121" s="16"/>
      <c r="M121" s="16"/>
      <c r="N121" s="16">
        <f t="shared" ref="N121" si="293">+H121/BV121</f>
        <v>28749.991071428572</v>
      </c>
      <c r="O121" s="41"/>
      <c r="P121" s="17">
        <f t="shared" ref="P121" si="294">SUM(D115:D121)</f>
        <v>381174</v>
      </c>
      <c r="Q121" s="16"/>
      <c r="R121" s="60"/>
      <c r="S121" s="16"/>
      <c r="T121" s="41"/>
      <c r="U121" s="10"/>
      <c r="V121" s="34">
        <v>960</v>
      </c>
      <c r="W121" s="33"/>
      <c r="X121" s="33"/>
      <c r="Y121" s="33"/>
      <c r="Z121" s="33">
        <f t="shared" ref="Z121" si="295">+Z120+V121</f>
        <v>135169</v>
      </c>
      <c r="AA121" s="33"/>
      <c r="AB121" s="46">
        <f t="shared" ref="AB121" si="296">+Z121/H121</f>
        <v>4.1977963347193586E-2</v>
      </c>
      <c r="AC121" s="33"/>
      <c r="AD121" s="33">
        <f t="shared" ref="AD121" si="297">+Z121/BV121</f>
        <v>1206.8660714285713</v>
      </c>
      <c r="AE121" s="50"/>
      <c r="AF121" s="33"/>
      <c r="AG121" s="33"/>
      <c r="AH121" s="232"/>
      <c r="AI121" s="50"/>
      <c r="AJ121" s="10"/>
      <c r="AK121" s="23">
        <f t="shared" ref="AK121" si="298">+AO121-AO120</f>
        <v>33749</v>
      </c>
      <c r="AL121" s="24"/>
      <c r="AM121" s="24"/>
      <c r="AN121" s="24">
        <v>178263</v>
      </c>
      <c r="AO121" s="24">
        <v>1426428</v>
      </c>
      <c r="AP121" s="24"/>
      <c r="AQ121" s="505">
        <f t="shared" ref="AQ121" si="299">+AK121/AO120</f>
        <v>2.423315063988184E-2</v>
      </c>
      <c r="AR121" s="25"/>
      <c r="AS121" s="25"/>
      <c r="AT121" s="24"/>
      <c r="AU121" s="342">
        <f t="shared" ref="AU121" si="300">+AO121/H121</f>
        <v>0.44299019968639741</v>
      </c>
      <c r="AV121" s="342"/>
      <c r="AW121" s="24">
        <f t="shared" ref="AW121" si="301">+AO121/BV121</f>
        <v>12735.964285714286</v>
      </c>
      <c r="AX121" s="352"/>
      <c r="AY121" s="10"/>
      <c r="AZ121" s="66">
        <f t="shared" ref="AZ121" si="302">+BB121-BB120</f>
        <v>681700</v>
      </c>
      <c r="BA121" s="67"/>
      <c r="BB121" s="67">
        <v>40161137</v>
      </c>
      <c r="BC121" s="67"/>
      <c r="BD121" s="67">
        <f t="shared" ref="BD121" si="303">+D121</f>
        <v>61067</v>
      </c>
      <c r="BE121" s="67"/>
      <c r="BF121" s="157">
        <f t="shared" ref="BF121" si="304">+BD121/AZ121</f>
        <v>8.9580460613172944E-2</v>
      </c>
      <c r="BG121" s="67"/>
      <c r="BH121" s="184"/>
      <c r="BI121" s="67"/>
      <c r="BJ121" s="67">
        <f t="shared" ref="BJ121" si="305">SUM(AZ115:AZ121)</f>
        <v>4623137</v>
      </c>
      <c r="BK121" s="67"/>
      <c r="BL121" s="157">
        <f t="shared" ref="BL121" si="306">+P121/BJ121</f>
        <v>8.2449211433708328E-2</v>
      </c>
      <c r="BM121" s="66">
        <f t="shared" ref="BM121" si="307">+BB121/BV121</f>
        <v>358581.58035714284</v>
      </c>
      <c r="BN121" s="67"/>
      <c r="BO121" s="67">
        <f t="shared" ref="BO121" si="308">+BO120+BD121</f>
        <v>2946621</v>
      </c>
      <c r="BP121" s="67"/>
      <c r="BQ121" s="479">
        <f t="shared" ref="BQ121" si="309">+BO121/BB121</f>
        <v>7.336995962041612E-2</v>
      </c>
      <c r="BR121" s="67"/>
      <c r="BS121" s="86"/>
      <c r="BT121" s="184"/>
      <c r="BU121" s="1"/>
      <c r="BV121">
        <f t="shared" si="53"/>
        <v>112</v>
      </c>
    </row>
    <row r="122" spans="2:74" x14ac:dyDescent="0.3">
      <c r="B122" s="172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ref="H122" si="310">+H121+D122</f>
        <v>3291786</v>
      </c>
      <c r="I122" s="16"/>
      <c r="J122" s="38">
        <f t="shared" ref="J122" si="311">+D122/H121</f>
        <v>2.2294106302517484E-2</v>
      </c>
      <c r="K122" s="16"/>
      <c r="L122" s="16"/>
      <c r="M122" s="16"/>
      <c r="N122" s="16">
        <f t="shared" ref="N122" si="312">+H122/BV122</f>
        <v>29130.849557522124</v>
      </c>
      <c r="O122" s="41"/>
      <c r="P122" s="17">
        <f t="shared" ref="P122" si="313">SUM(D116:D122)</f>
        <v>394870</v>
      </c>
      <c r="Q122" s="16"/>
      <c r="R122" s="60"/>
      <c r="S122" s="16"/>
      <c r="T122" s="41"/>
      <c r="U122" s="10"/>
      <c r="V122" s="34">
        <v>849</v>
      </c>
      <c r="W122" s="33"/>
      <c r="X122" s="33"/>
      <c r="Y122" s="33"/>
      <c r="Z122" s="33">
        <f t="shared" ref="Z122" si="314">+Z121+V122</f>
        <v>136018</v>
      </c>
      <c r="AA122" s="33"/>
      <c r="AB122" s="46">
        <f t="shared" ref="AB122" si="315">+Z122/H122</f>
        <v>4.1320426054427595E-2</v>
      </c>
      <c r="AC122" s="33"/>
      <c r="AD122" s="33">
        <f t="shared" ref="AD122" si="316">+Z122/BV122</f>
        <v>1203.6991150442477</v>
      </c>
      <c r="AE122" s="50"/>
      <c r="AF122" s="33"/>
      <c r="AG122" s="33"/>
      <c r="AH122" s="232"/>
      <c r="AI122" s="50"/>
      <c r="AJ122" s="10"/>
      <c r="AK122" s="23">
        <f t="shared" ref="AK122" si="317">+AO122-AO121</f>
        <v>34067</v>
      </c>
      <c r="AL122" s="24"/>
      <c r="AM122" s="24"/>
      <c r="AN122" s="24">
        <v>178263</v>
      </c>
      <c r="AO122" s="24">
        <v>1460495</v>
      </c>
      <c r="AP122" s="24"/>
      <c r="AQ122" s="505">
        <f t="shared" ref="AQ122" si="318">+AK122/AO121</f>
        <v>2.3882733653573823E-2</v>
      </c>
      <c r="AR122" s="25"/>
      <c r="AS122" s="25"/>
      <c r="AT122" s="24"/>
      <c r="AU122" s="342">
        <f t="shared" ref="AU122" si="319">+AO122/H122</f>
        <v>0.44367859879105143</v>
      </c>
      <c r="AV122" s="342"/>
      <c r="AW122" s="24">
        <f t="shared" ref="AW122" si="320">+AO122/BV122</f>
        <v>12924.734513274336</v>
      </c>
      <c r="AX122" s="352"/>
      <c r="AY122" s="10"/>
      <c r="AZ122" s="66">
        <f t="shared" ref="AZ122" si="321">+BB122-BB121</f>
        <v>849076</v>
      </c>
      <c r="BA122" s="67"/>
      <c r="BB122" s="67">
        <v>41010213</v>
      </c>
      <c r="BC122" s="67"/>
      <c r="BD122" s="67">
        <f t="shared" ref="BD122" si="322">+D122</f>
        <v>71787</v>
      </c>
      <c r="BE122" s="67"/>
      <c r="BF122" s="157">
        <f t="shared" ref="BF122" si="323">+BD122/AZ122</f>
        <v>8.4547201899476607E-2</v>
      </c>
      <c r="BG122" s="67"/>
      <c r="BH122" s="184"/>
      <c r="BI122" s="67"/>
      <c r="BJ122" s="67">
        <f t="shared" ref="BJ122" si="324">SUM(AZ116:AZ122)</f>
        <v>4713018</v>
      </c>
      <c r="BK122" s="67"/>
      <c r="BL122" s="157">
        <f t="shared" ref="BL122" si="325">+P122/BJ122</f>
        <v>8.3782832995757714E-2</v>
      </c>
      <c r="BM122" s="66">
        <f t="shared" ref="BM122" si="326">+BB122/BV122</f>
        <v>362922.23893805308</v>
      </c>
      <c r="BN122" s="67"/>
      <c r="BO122" s="67">
        <f t="shared" ref="BO122" si="327">+BO121+BD122</f>
        <v>3018408</v>
      </c>
      <c r="BP122" s="67"/>
      <c r="BQ122" s="479">
        <f t="shared" ref="BQ122" si="328">+BO122/BB122</f>
        <v>7.3601373394476158E-2</v>
      </c>
      <c r="BR122" s="67"/>
      <c r="BS122" s="86"/>
      <c r="BT122" s="184"/>
      <c r="BU122" s="1"/>
      <c r="BV122">
        <f t="shared" si="53"/>
        <v>113</v>
      </c>
    </row>
    <row r="123" spans="2:74" x14ac:dyDescent="0.3">
      <c r="B123" s="172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ref="H123" si="329">+H122+D123</f>
        <v>3353505</v>
      </c>
      <c r="I123" s="16"/>
      <c r="J123" s="38">
        <f t="shared" ref="J123" si="330">+D123/H122</f>
        <v>1.8749396224420421E-2</v>
      </c>
      <c r="K123" s="16"/>
      <c r="L123" s="16"/>
      <c r="M123" s="16"/>
      <c r="N123" s="16">
        <f t="shared" ref="N123" si="331">+H123/BV123</f>
        <v>29416.71052631579</v>
      </c>
      <c r="O123" s="41"/>
      <c r="P123" s="17">
        <f t="shared" ref="P123" si="332">SUM(D117:D123)</f>
        <v>410005</v>
      </c>
      <c r="Q123" s="16"/>
      <c r="R123" s="60"/>
      <c r="S123" s="16"/>
      <c r="T123" s="41"/>
      <c r="U123" s="10"/>
      <c r="V123" s="34">
        <v>732</v>
      </c>
      <c r="W123" s="33"/>
      <c r="X123" s="33"/>
      <c r="Y123" s="33"/>
      <c r="Z123" s="33">
        <f t="shared" ref="Z123" si="333">+Z122+V123</f>
        <v>136750</v>
      </c>
      <c r="AA123" s="33"/>
      <c r="AB123" s="46">
        <f t="shared" ref="AB123" si="334">+Z123/H123</f>
        <v>4.0778230537899897E-2</v>
      </c>
      <c r="AC123" s="33"/>
      <c r="AD123" s="33">
        <f t="shared" ref="AD123" si="335">+Z123/BV123</f>
        <v>1199.5614035087719</v>
      </c>
      <c r="AE123" s="50"/>
      <c r="AF123" s="33"/>
      <c r="AG123" s="33"/>
      <c r="AH123" s="232"/>
      <c r="AI123" s="50"/>
      <c r="AJ123" s="10"/>
      <c r="AK123" s="23">
        <f t="shared" ref="AK123" si="336">+AO123-AO122</f>
        <v>29951</v>
      </c>
      <c r="AL123" s="24"/>
      <c r="AM123" s="24"/>
      <c r="AN123" s="24">
        <v>178263</v>
      </c>
      <c r="AO123" s="24">
        <v>1490446</v>
      </c>
      <c r="AP123" s="24"/>
      <c r="AQ123" s="505">
        <f t="shared" ref="AQ123" si="337">+AK123/AO122</f>
        <v>2.0507430699865457E-2</v>
      </c>
      <c r="AR123" s="25"/>
      <c r="AS123" s="25"/>
      <c r="AT123" s="24"/>
      <c r="AU123" s="342">
        <f t="shared" ref="AU123" si="338">+AO123/H123</f>
        <v>0.44444424564746438</v>
      </c>
      <c r="AV123" s="342"/>
      <c r="AW123" s="24">
        <f t="shared" ref="AW123" si="339">+AO123/BV123</f>
        <v>13074.087719298246</v>
      </c>
      <c r="AX123" s="352"/>
      <c r="AY123" s="10"/>
      <c r="AZ123" s="66">
        <f t="shared" ref="AZ123" si="340">+BB123-BB122</f>
        <v>760123</v>
      </c>
      <c r="BA123" s="67"/>
      <c r="BB123" s="67">
        <v>41770336</v>
      </c>
      <c r="BC123" s="67"/>
      <c r="BD123" s="67">
        <f t="shared" ref="BD123" si="341">+D123</f>
        <v>61719</v>
      </c>
      <c r="BE123" s="67"/>
      <c r="BF123" s="157">
        <f t="shared" ref="BF123" si="342">+BD123/AZ123</f>
        <v>8.1196069583475305E-2</v>
      </c>
      <c r="BG123" s="67"/>
      <c r="BH123" s="184"/>
      <c r="BI123" s="67"/>
      <c r="BJ123" s="67">
        <f t="shared" ref="BJ123" si="343">SUM(AZ117:AZ123)</f>
        <v>4816703</v>
      </c>
      <c r="BK123" s="67"/>
      <c r="BL123" s="157">
        <f t="shared" ref="BL123" si="344">+P123/BJ123</f>
        <v>8.5121503235719542E-2</v>
      </c>
      <c r="BM123" s="66">
        <f t="shared" ref="BM123" si="345">+BB123/BV123</f>
        <v>366406.4561403509</v>
      </c>
      <c r="BN123" s="67"/>
      <c r="BO123" s="67">
        <f t="shared" ref="BO123" si="346">+BO122+BD123</f>
        <v>3080127</v>
      </c>
      <c r="BP123" s="67"/>
      <c r="BQ123" s="479">
        <f t="shared" ref="BQ123" si="347">+BO123/BB123</f>
        <v>7.3739579207598424E-2</v>
      </c>
      <c r="BR123" s="67"/>
      <c r="BS123" s="86"/>
      <c r="BT123" s="184"/>
      <c r="BU123" s="1"/>
      <c r="BV123">
        <f t="shared" si="53"/>
        <v>114</v>
      </c>
    </row>
    <row r="124" spans="2:74" x14ac:dyDescent="0.3">
      <c r="B124" s="391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ref="H124" si="348">+H123+D124</f>
        <v>3411854</v>
      </c>
      <c r="I124" s="16"/>
      <c r="J124" s="38">
        <f t="shared" ref="J124" si="349">+D124/H123</f>
        <v>1.7399407485600885E-2</v>
      </c>
      <c r="K124" s="16"/>
      <c r="L124" s="16"/>
      <c r="M124" s="16"/>
      <c r="N124" s="16">
        <f t="shared" ref="N124" si="350">+H124/BV124</f>
        <v>29668.295652173914</v>
      </c>
      <c r="O124" s="41"/>
      <c r="P124" s="17">
        <f t="shared" ref="P124" si="351">SUM(D118:D124)</f>
        <v>423824</v>
      </c>
      <c r="Q124" s="16"/>
      <c r="R124" s="60">
        <f t="shared" ref="R124" si="352">+(P124-P117)/P117</f>
        <v>0.20763748992030273</v>
      </c>
      <c r="S124" s="16"/>
      <c r="T124" s="41"/>
      <c r="U124" s="10"/>
      <c r="V124" s="34">
        <v>380</v>
      </c>
      <c r="W124" s="33"/>
      <c r="X124" s="33"/>
      <c r="Y124" s="33"/>
      <c r="Z124" s="33">
        <f t="shared" ref="Z124" si="353">+Z123+V124</f>
        <v>137130</v>
      </c>
      <c r="AA124" s="33"/>
      <c r="AB124" s="46">
        <f t="shared" ref="AB124" si="354">+Z124/H124</f>
        <v>4.0192223934552886E-2</v>
      </c>
      <c r="AC124" s="33"/>
      <c r="AD124" s="33">
        <f t="shared" ref="AD124" si="355">+Z124/BV124</f>
        <v>1192.4347826086957</v>
      </c>
      <c r="AE124" s="50"/>
      <c r="AF124" s="33">
        <f t="shared" ref="AF124" si="356">SUM(V118:V124)</f>
        <v>5182</v>
      </c>
      <c r="AG124" s="33">
        <f>SUM(D95:D125)</f>
        <v>1290670</v>
      </c>
      <c r="AH124" s="232">
        <f>+(AF124-AF117)/AF117</f>
        <v>0.47593278268299632</v>
      </c>
      <c r="AI124" s="50"/>
      <c r="AJ124" s="10"/>
      <c r="AK124" s="23">
        <f t="shared" ref="AK124" si="357">+AO124-AO123</f>
        <v>26638</v>
      </c>
      <c r="AL124" s="24"/>
      <c r="AM124" s="24"/>
      <c r="AN124" s="24">
        <v>178263</v>
      </c>
      <c r="AO124" s="24">
        <v>1517084</v>
      </c>
      <c r="AP124" s="24"/>
      <c r="AQ124" s="505">
        <f t="shared" ref="AQ124" si="358">+AK124/AO123</f>
        <v>1.7872502593183518E-2</v>
      </c>
      <c r="AR124" s="25"/>
      <c r="AS124" s="25"/>
      <c r="AT124" s="24"/>
      <c r="AU124" s="342">
        <f t="shared" ref="AU124" si="359">+AO124/H124</f>
        <v>0.44465091413641966</v>
      </c>
      <c r="AV124" s="342"/>
      <c r="AW124" s="24">
        <f t="shared" ref="AW124" si="360">+AO124/BV124</f>
        <v>13192.034782608696</v>
      </c>
      <c r="AX124" s="352"/>
      <c r="AY124" s="10"/>
      <c r="AZ124" s="66">
        <f t="shared" ref="AZ124" si="361">+BB124-BB123</f>
        <v>699271</v>
      </c>
      <c r="BA124" s="67"/>
      <c r="BB124" s="67">
        <v>42469607</v>
      </c>
      <c r="BC124" s="67"/>
      <c r="BD124" s="67">
        <f t="shared" ref="BD124" si="362">+D124</f>
        <v>58349</v>
      </c>
      <c r="BE124" s="67"/>
      <c r="BF124" s="157">
        <f t="shared" ref="BF124" si="363">+BD124/AZ124</f>
        <v>8.3442613807808416E-2</v>
      </c>
      <c r="BG124" s="67"/>
      <c r="BH124" s="184"/>
      <c r="BI124" s="67"/>
      <c r="BJ124" s="67">
        <f t="shared" ref="BJ124" si="364">SUM(AZ118:AZ124)</f>
        <v>4882798</v>
      </c>
      <c r="BK124" s="67"/>
      <c r="BL124" s="157">
        <f t="shared" ref="BL124" si="365">+P124/BJ124</f>
        <v>8.679941295953672E-2</v>
      </c>
      <c r="BM124" s="66">
        <f t="shared" ref="BM124" si="366">+BB124/BV124</f>
        <v>369300.93043478258</v>
      </c>
      <c r="BN124" s="67"/>
      <c r="BO124" s="67">
        <f t="shared" ref="BO124" si="367">+BO123+BD124</f>
        <v>3138476</v>
      </c>
      <c r="BP124" s="67"/>
      <c r="BQ124" s="479">
        <f t="shared" ref="BQ124" si="368">+BO124/BB124</f>
        <v>7.3899341710414221E-2</v>
      </c>
      <c r="BR124" s="67"/>
      <c r="BS124" s="86"/>
      <c r="BT124" s="184"/>
      <c r="BU124" s="1"/>
      <c r="BV124" s="473">
        <f t="shared" si="53"/>
        <v>115</v>
      </c>
    </row>
    <row r="125" spans="2:74" x14ac:dyDescent="0.3">
      <c r="B125" s="172">
        <f t="shared" si="52"/>
        <v>44025</v>
      </c>
      <c r="C125" s="61"/>
      <c r="D125" s="17"/>
      <c r="E125" s="16"/>
      <c r="F125" s="16"/>
      <c r="G125" s="16"/>
      <c r="H125" s="16"/>
      <c r="I125" s="16"/>
      <c r="J125" s="38"/>
      <c r="K125" s="16"/>
      <c r="L125" s="16"/>
      <c r="M125" s="16"/>
      <c r="N125" s="16"/>
      <c r="O125" s="41"/>
      <c r="P125" s="17"/>
      <c r="Q125" s="16"/>
      <c r="R125" s="60"/>
      <c r="S125" s="16"/>
      <c r="T125" s="41"/>
      <c r="U125" s="10"/>
      <c r="V125" s="34"/>
      <c r="W125" s="33"/>
      <c r="X125" s="33"/>
      <c r="Y125" s="33"/>
      <c r="Z125" s="33"/>
      <c r="AA125" s="33"/>
      <c r="AB125" s="46"/>
      <c r="AC125" s="33"/>
      <c r="AD125" s="33"/>
      <c r="AE125" s="50"/>
      <c r="AF125" s="33">
        <f>SUM(V96:V124)</f>
        <v>17576</v>
      </c>
      <c r="AG125" s="33">
        <f>SUM(V95:V124)</f>
        <v>18278</v>
      </c>
      <c r="AH125" s="232"/>
      <c r="AI125" s="50"/>
      <c r="AJ125" s="10"/>
      <c r="AK125" s="23"/>
      <c r="AL125" s="24"/>
      <c r="AM125" s="24"/>
      <c r="AN125" s="24"/>
      <c r="AO125" s="24"/>
      <c r="AP125" s="24"/>
      <c r="AQ125" s="505"/>
      <c r="AR125" s="25"/>
      <c r="AS125" s="25"/>
      <c r="AT125" s="24"/>
      <c r="AU125" s="342"/>
      <c r="AV125" s="342"/>
      <c r="AW125" s="24"/>
      <c r="AX125" s="352"/>
      <c r="AY125" s="10"/>
      <c r="AZ125" s="66"/>
      <c r="BA125" s="67"/>
      <c r="BB125" s="67"/>
      <c r="BC125" s="67"/>
      <c r="BD125" s="67"/>
      <c r="BE125" s="67"/>
      <c r="BF125" s="157"/>
      <c r="BG125" s="67"/>
      <c r="BH125" s="184"/>
      <c r="BI125" s="67"/>
      <c r="BJ125" s="67"/>
      <c r="BK125" s="67"/>
      <c r="BL125" s="157"/>
      <c r="BM125" s="66"/>
      <c r="BN125" s="67"/>
      <c r="BO125" s="67"/>
      <c r="BP125" s="67"/>
      <c r="BQ125" s="479"/>
      <c r="BR125" s="67"/>
      <c r="BS125" s="86"/>
      <c r="BT125" s="184"/>
      <c r="BU125" s="1"/>
      <c r="BV125">
        <f t="shared" si="53"/>
        <v>116</v>
      </c>
    </row>
    <row r="126" spans="2:74" x14ac:dyDescent="0.3">
      <c r="B126" s="172">
        <f t="shared" si="52"/>
        <v>44026</v>
      </c>
      <c r="C126" s="61"/>
      <c r="D126" s="17"/>
      <c r="E126" s="16"/>
      <c r="F126" s="16"/>
      <c r="G126" s="16"/>
      <c r="H126" s="16"/>
      <c r="I126" s="16"/>
      <c r="J126" s="38"/>
      <c r="K126" s="16"/>
      <c r="L126" s="16"/>
      <c r="M126" s="16"/>
      <c r="N126" s="16"/>
      <c r="O126" s="41"/>
      <c r="P126" s="17"/>
      <c r="Q126" s="16"/>
      <c r="R126" s="60"/>
      <c r="S126" s="16"/>
      <c r="T126" s="41"/>
      <c r="U126" s="10"/>
      <c r="V126" s="34"/>
      <c r="W126" s="33"/>
      <c r="X126" s="33"/>
      <c r="Y126" s="33"/>
      <c r="Z126" s="33">
        <f>SUM(V111:V124)</f>
        <v>8693</v>
      </c>
      <c r="AA126" s="33"/>
      <c r="AB126" s="46"/>
      <c r="AC126" s="33"/>
      <c r="AD126" s="33"/>
      <c r="AE126" s="50"/>
      <c r="AF126" s="33"/>
      <c r="AG126" s="232">
        <f>+AG125/AG124</f>
        <v>1.4161636979243339E-2</v>
      </c>
      <c r="AH126" s="232"/>
      <c r="AI126" s="50"/>
      <c r="AJ126" s="10"/>
      <c r="AK126" s="23"/>
      <c r="AL126" s="24"/>
      <c r="AM126" s="24"/>
      <c r="AN126" s="24"/>
      <c r="AO126" s="24"/>
      <c r="AP126" s="24"/>
      <c r="AQ126" s="505"/>
      <c r="AR126" s="25"/>
      <c r="AS126" s="25"/>
      <c r="AT126" s="24"/>
      <c r="AU126" s="342"/>
      <c r="AV126" s="342"/>
      <c r="AW126" s="24"/>
      <c r="AX126" s="352"/>
      <c r="AY126" s="10"/>
      <c r="AZ126" s="66"/>
      <c r="BA126" s="67"/>
      <c r="BB126" s="67"/>
      <c r="BC126" s="67"/>
      <c r="BD126" s="67"/>
      <c r="BE126" s="67"/>
      <c r="BF126" s="157"/>
      <c r="BG126" s="67"/>
      <c r="BH126" s="184"/>
      <c r="BI126" s="67"/>
      <c r="BJ126" s="67"/>
      <c r="BK126" s="67"/>
      <c r="BL126" s="157"/>
      <c r="BM126" s="66"/>
      <c r="BN126" s="67"/>
      <c r="BO126" s="67"/>
      <c r="BP126" s="67"/>
      <c r="BQ126" s="479"/>
      <c r="BR126" s="67"/>
      <c r="BS126" s="86"/>
      <c r="BT126" s="184"/>
      <c r="BU126" s="1"/>
      <c r="BV126">
        <f t="shared" si="53"/>
        <v>117</v>
      </c>
    </row>
    <row r="127" spans="2:74" x14ac:dyDescent="0.3">
      <c r="B127" s="172">
        <f t="shared" si="52"/>
        <v>44027</v>
      </c>
      <c r="C127" s="61"/>
      <c r="D127" s="17"/>
      <c r="E127" s="16"/>
      <c r="F127" s="16"/>
      <c r="G127" s="16"/>
      <c r="H127" s="16"/>
      <c r="I127" s="16"/>
      <c r="J127" s="38"/>
      <c r="K127" s="16"/>
      <c r="L127" s="16"/>
      <c r="M127" s="16"/>
      <c r="N127" s="16"/>
      <c r="O127" s="41"/>
      <c r="P127" s="17"/>
      <c r="Q127" s="16"/>
      <c r="R127" s="60"/>
      <c r="S127" s="16"/>
      <c r="T127" s="41"/>
      <c r="U127" s="10"/>
      <c r="V127" s="34"/>
      <c r="W127" s="33"/>
      <c r="X127" s="33"/>
      <c r="Y127" s="33"/>
      <c r="Z127" s="33">
        <f>SUM(D111:D125)</f>
        <v>774777</v>
      </c>
      <c r="AA127" s="33"/>
      <c r="AB127" s="46"/>
      <c r="AC127" s="33"/>
      <c r="AD127" s="33"/>
      <c r="AE127" s="50"/>
      <c r="AF127" s="33"/>
      <c r="AG127" s="33"/>
      <c r="AH127" s="232"/>
      <c r="AI127" s="50"/>
      <c r="AJ127" s="10"/>
      <c r="AK127" s="23"/>
      <c r="AL127" s="24"/>
      <c r="AM127" s="24"/>
      <c r="AN127" s="24"/>
      <c r="AO127" s="24"/>
      <c r="AP127" s="24"/>
      <c r="AQ127" s="505"/>
      <c r="AR127" s="25"/>
      <c r="AS127" s="25"/>
      <c r="AT127" s="24"/>
      <c r="AU127" s="342"/>
      <c r="AV127" s="342"/>
      <c r="AW127" s="24"/>
      <c r="AX127" s="352"/>
      <c r="AY127" s="10"/>
      <c r="AZ127" s="66"/>
      <c r="BA127" s="67"/>
      <c r="BB127" s="67"/>
      <c r="BC127" s="67"/>
      <c r="BD127" s="67"/>
      <c r="BE127" s="67"/>
      <c r="BF127" s="157"/>
      <c r="BG127" s="67"/>
      <c r="BH127" s="184"/>
      <c r="BI127" s="67"/>
      <c r="BJ127" s="67"/>
      <c r="BK127" s="67"/>
      <c r="BL127" s="157"/>
      <c r="BM127" s="66"/>
      <c r="BN127" s="67"/>
      <c r="BO127" s="67"/>
      <c r="BP127" s="67"/>
      <c r="BQ127" s="479"/>
      <c r="BR127" s="67"/>
      <c r="BS127" s="86"/>
      <c r="BT127" s="184"/>
      <c r="BU127" s="1"/>
      <c r="BV127">
        <f t="shared" si="53"/>
        <v>118</v>
      </c>
    </row>
    <row r="128" spans="2:74" x14ac:dyDescent="0.3">
      <c r="B128" s="172">
        <f t="shared" si="52"/>
        <v>44028</v>
      </c>
      <c r="C128" s="61"/>
      <c r="D128" s="17"/>
      <c r="E128" s="16"/>
      <c r="F128" s="16"/>
      <c r="G128" s="16"/>
      <c r="H128" s="16"/>
      <c r="I128" s="16"/>
      <c r="J128" s="38"/>
      <c r="K128" s="16"/>
      <c r="L128" s="16"/>
      <c r="M128" s="16"/>
      <c r="N128" s="16"/>
      <c r="O128" s="41"/>
      <c r="P128" s="17"/>
      <c r="Q128" s="16"/>
      <c r="R128" s="60"/>
      <c r="S128" s="16"/>
      <c r="T128" s="41"/>
      <c r="U128" s="10"/>
      <c r="V128" s="34"/>
      <c r="W128" s="33"/>
      <c r="X128" s="33"/>
      <c r="Y128" s="33"/>
      <c r="Z128" s="232">
        <f>+Z126/Z127</f>
        <v>1.1220002658829572E-2</v>
      </c>
      <c r="AA128" s="33"/>
      <c r="AB128" s="46"/>
      <c r="AC128" s="33"/>
      <c r="AD128" s="33"/>
      <c r="AE128" s="50"/>
      <c r="AF128" s="33">
        <f>+AG51-AG125</f>
        <v>37409</v>
      </c>
      <c r="AG128" s="33">
        <f>+AF84-AG125</f>
        <v>24061</v>
      </c>
      <c r="AH128" s="232"/>
      <c r="AI128" s="50"/>
      <c r="AJ128" s="10"/>
      <c r="AK128" s="23"/>
      <c r="AL128" s="24"/>
      <c r="AM128" s="24"/>
      <c r="AN128" s="24"/>
      <c r="AO128" s="24"/>
      <c r="AP128" s="24"/>
      <c r="AQ128" s="505"/>
      <c r="AR128" s="25"/>
      <c r="AS128" s="25"/>
      <c r="AT128" s="24"/>
      <c r="AU128" s="342"/>
      <c r="AV128" s="342"/>
      <c r="AW128" s="24"/>
      <c r="AX128" s="352"/>
      <c r="AY128" s="10"/>
      <c r="AZ128" s="66"/>
      <c r="BA128" s="67"/>
      <c r="BB128" s="67"/>
      <c r="BC128" s="67"/>
      <c r="BD128" s="67"/>
      <c r="BE128" s="67"/>
      <c r="BF128" s="157"/>
      <c r="BG128" s="67"/>
      <c r="BH128" s="184"/>
      <c r="BI128" s="67"/>
      <c r="BJ128" s="67"/>
      <c r="BK128" s="67"/>
      <c r="BL128" s="157"/>
      <c r="BM128" s="66"/>
      <c r="BN128" s="67"/>
      <c r="BO128" s="67"/>
      <c r="BP128" s="67"/>
      <c r="BQ128" s="479"/>
      <c r="BR128" s="67"/>
      <c r="BS128" s="86"/>
      <c r="BT128" s="184"/>
      <c r="BU128" s="1"/>
      <c r="BV128">
        <f t="shared" si="53"/>
        <v>119</v>
      </c>
    </row>
    <row r="129" spans="2:84" x14ac:dyDescent="0.3">
      <c r="B129" s="172">
        <f t="shared" si="52"/>
        <v>44029</v>
      </c>
      <c r="C129" s="61"/>
      <c r="D129" s="17"/>
      <c r="E129" s="16"/>
      <c r="F129" s="16"/>
      <c r="G129" s="16"/>
      <c r="H129" s="16"/>
      <c r="I129" s="16"/>
      <c r="J129" s="480"/>
      <c r="K129" s="16"/>
      <c r="L129" s="16"/>
      <c r="M129" s="16"/>
      <c r="N129" s="16"/>
      <c r="O129" s="41"/>
      <c r="P129" s="17"/>
      <c r="Q129" s="16"/>
      <c r="R129" s="60"/>
      <c r="S129" s="16"/>
      <c r="T129" s="41"/>
      <c r="U129" s="10"/>
      <c r="V129" s="34"/>
      <c r="W129" s="33"/>
      <c r="X129" s="33"/>
      <c r="Y129" s="33"/>
      <c r="Z129" s="33"/>
      <c r="AA129" s="33"/>
      <c r="AB129" s="46"/>
      <c r="AC129" s="33"/>
      <c r="AD129" s="33"/>
      <c r="AE129" s="50"/>
      <c r="AF129" s="232">
        <f>+AF128/AG51</f>
        <v>0.6717725860613788</v>
      </c>
      <c r="AG129" s="232">
        <f>+AG128/AF84</f>
        <v>0.56829400788870776</v>
      </c>
      <c r="AH129" s="232"/>
      <c r="AI129" s="50"/>
      <c r="AJ129" s="10"/>
      <c r="AK129" s="23"/>
      <c r="AL129" s="24"/>
      <c r="AM129" s="24"/>
      <c r="AN129" s="24"/>
      <c r="AO129" s="24"/>
      <c r="AP129" s="24"/>
      <c r="AQ129" s="505"/>
      <c r="AR129" s="25"/>
      <c r="AS129" s="25"/>
      <c r="AT129" s="24"/>
      <c r="AU129" s="342"/>
      <c r="AV129" s="342"/>
      <c r="AW129" s="24"/>
      <c r="AX129" s="352"/>
      <c r="AY129" s="10"/>
      <c r="AZ129" s="66"/>
      <c r="BA129" s="67"/>
      <c r="BB129" s="67"/>
      <c r="BC129" s="67"/>
      <c r="BD129" s="67"/>
      <c r="BE129" s="67"/>
      <c r="BF129" s="157"/>
      <c r="BG129" s="67"/>
      <c r="BH129" s="184"/>
      <c r="BI129" s="67"/>
      <c r="BJ129" s="67"/>
      <c r="BK129" s="67"/>
      <c r="BL129" s="157"/>
      <c r="BM129" s="66"/>
      <c r="BN129" s="67"/>
      <c r="BO129" s="67"/>
      <c r="BP129" s="67"/>
      <c r="BQ129" s="479"/>
      <c r="BR129" s="67"/>
      <c r="BS129" s="86"/>
      <c r="BT129" s="184"/>
      <c r="BU129" s="1"/>
      <c r="BV129">
        <f t="shared" si="53"/>
        <v>120</v>
      </c>
    </row>
    <row r="130" spans="2:84" x14ac:dyDescent="0.3">
      <c r="B130" s="172">
        <f t="shared" si="52"/>
        <v>44030</v>
      </c>
      <c r="C130" s="61"/>
      <c r="D130" s="17"/>
      <c r="E130" s="16"/>
      <c r="F130" s="16"/>
      <c r="G130" s="16"/>
      <c r="H130" s="16"/>
      <c r="I130" s="16"/>
      <c r="J130" s="38"/>
      <c r="K130" s="16"/>
      <c r="L130" s="16"/>
      <c r="M130" s="16"/>
      <c r="N130" s="16"/>
      <c r="O130" s="41"/>
      <c r="P130" s="454"/>
      <c r="Q130" s="16"/>
      <c r="R130" s="60"/>
      <c r="S130" s="16"/>
      <c r="T130" s="41"/>
      <c r="U130" s="10"/>
      <c r="V130" s="34"/>
      <c r="W130" s="33"/>
      <c r="X130" s="33"/>
      <c r="Y130" s="33"/>
      <c r="Z130" s="33"/>
      <c r="AA130" s="33"/>
      <c r="AB130" s="46"/>
      <c r="AC130" s="33"/>
      <c r="AD130" s="33"/>
      <c r="AE130" s="50"/>
      <c r="AF130" s="232"/>
      <c r="AG130" s="33"/>
      <c r="AH130" s="232"/>
      <c r="AI130" s="50"/>
      <c r="AJ130" s="10"/>
      <c r="AK130" s="23"/>
      <c r="AL130" s="24"/>
      <c r="AM130" s="24"/>
      <c r="AN130" s="24"/>
      <c r="AO130" s="24"/>
      <c r="AP130" s="24"/>
      <c r="AQ130" s="25"/>
      <c r="AR130" s="25"/>
      <c r="AS130" s="25"/>
      <c r="AT130" s="24"/>
      <c r="AU130" s="342"/>
      <c r="AV130" s="342"/>
      <c r="AW130" s="24"/>
      <c r="AX130" s="352"/>
      <c r="AY130" s="10"/>
      <c r="AZ130" s="66"/>
      <c r="BA130" s="67"/>
      <c r="BB130" s="67"/>
      <c r="BC130" s="67"/>
      <c r="BD130" s="67"/>
      <c r="BE130" s="67"/>
      <c r="BF130" s="157"/>
      <c r="BG130" s="67"/>
      <c r="BH130" s="184"/>
      <c r="BI130" s="67"/>
      <c r="BJ130" s="67"/>
      <c r="BK130" s="67"/>
      <c r="BL130" s="157"/>
      <c r="BM130" s="66"/>
      <c r="BN130" s="67"/>
      <c r="BO130" s="67"/>
      <c r="BP130" s="67"/>
      <c r="BQ130" s="479"/>
      <c r="BR130" s="67"/>
      <c r="BS130" s="86"/>
      <c r="BT130" s="184"/>
      <c r="BU130" s="1"/>
      <c r="BV130">
        <f t="shared" si="53"/>
        <v>121</v>
      </c>
    </row>
    <row r="131" spans="2:84" x14ac:dyDescent="0.3">
      <c r="B131" s="172">
        <f t="shared" si="52"/>
        <v>44031</v>
      </c>
      <c r="D131" s="18"/>
      <c r="E131" s="19"/>
      <c r="F131" s="19"/>
      <c r="G131" s="19"/>
      <c r="H131" s="19"/>
      <c r="I131" s="19"/>
      <c r="J131" s="39"/>
      <c r="K131" s="19"/>
      <c r="L131" s="19"/>
      <c r="M131" s="19"/>
      <c r="N131" s="19"/>
      <c r="O131" s="43"/>
      <c r="P131" s="18"/>
      <c r="Q131" s="19"/>
      <c r="R131" s="19"/>
      <c r="S131" s="19"/>
      <c r="T131" s="43"/>
      <c r="U131" s="1"/>
      <c r="V131" s="35"/>
      <c r="W131" s="36"/>
      <c r="X131" s="36"/>
      <c r="Y131" s="36"/>
      <c r="Z131" s="36"/>
      <c r="AA131" s="36"/>
      <c r="AB131" s="47"/>
      <c r="AC131" s="36"/>
      <c r="AD131" s="36"/>
      <c r="AE131" s="51"/>
      <c r="AF131" s="36"/>
      <c r="AG131" s="36"/>
      <c r="AH131" s="36"/>
      <c r="AI131" s="51"/>
      <c r="AJ131" s="1"/>
      <c r="AK131" s="26"/>
      <c r="AL131" s="27"/>
      <c r="AM131" s="27"/>
      <c r="AN131" s="27"/>
      <c r="AO131" s="27"/>
      <c r="AP131" s="27"/>
      <c r="AQ131" s="27"/>
      <c r="AR131" s="27"/>
      <c r="AS131" s="27"/>
      <c r="AT131" s="27"/>
      <c r="AU131" s="344"/>
      <c r="AV131" s="344"/>
      <c r="AW131" s="27"/>
      <c r="AX131" s="351"/>
      <c r="AY131" s="1"/>
      <c r="AZ131" s="68"/>
      <c r="BA131" s="69"/>
      <c r="BB131" s="69"/>
      <c r="BC131" s="69"/>
      <c r="BD131" s="69"/>
      <c r="BE131" s="69"/>
      <c r="BF131" s="69"/>
      <c r="BG131" s="69"/>
      <c r="BH131" s="185"/>
      <c r="BI131" s="69"/>
      <c r="BJ131" s="69"/>
      <c r="BK131" s="69"/>
      <c r="BL131" s="69"/>
      <c r="BM131" s="68"/>
      <c r="BN131" s="69"/>
      <c r="BO131" s="69"/>
      <c r="BP131" s="69"/>
      <c r="BQ131" s="71"/>
      <c r="BR131" s="69"/>
      <c r="BS131" s="69"/>
      <c r="BT131" s="185"/>
      <c r="BU131" s="1"/>
      <c r="BV131">
        <f t="shared" si="53"/>
        <v>122</v>
      </c>
    </row>
    <row r="132" spans="2:84" x14ac:dyDescent="0.3">
      <c r="B132" s="56"/>
      <c r="D132" s="1"/>
      <c r="E132" s="1"/>
      <c r="F132" s="1"/>
      <c r="G132" s="1"/>
      <c r="H132" s="59"/>
      <c r="I132" s="1"/>
      <c r="J132" s="5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59"/>
      <c r="W132" s="1"/>
      <c r="X132" s="1"/>
      <c r="Y132" s="1"/>
      <c r="Z132" s="1"/>
      <c r="AA132" s="1"/>
      <c r="AB132" s="59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59"/>
      <c r="BC132" s="1"/>
      <c r="BD132" s="59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2:84" x14ac:dyDescent="0.3">
      <c r="B133" s="180" t="s">
        <v>82</v>
      </c>
      <c r="D133" s="56">
        <f>+D124</f>
        <v>58349</v>
      </c>
      <c r="E133" s="56">
        <f>+E120</f>
        <v>0</v>
      </c>
      <c r="F133" s="56">
        <f>+F120</f>
        <v>0</v>
      </c>
      <c r="G133" s="56">
        <f>+G120</f>
        <v>0</v>
      </c>
      <c r="H133" s="56">
        <f t="shared" ref="H133:BO133" si="369">+H124</f>
        <v>3411854</v>
      </c>
      <c r="I133" s="56">
        <f t="shared" si="369"/>
        <v>0</v>
      </c>
      <c r="J133" s="56">
        <f t="shared" si="369"/>
        <v>1.7399407485600885E-2</v>
      </c>
      <c r="K133" s="56">
        <f t="shared" si="369"/>
        <v>0</v>
      </c>
      <c r="L133" s="56">
        <f t="shared" si="369"/>
        <v>0</v>
      </c>
      <c r="M133" s="56">
        <f t="shared" si="369"/>
        <v>0</v>
      </c>
      <c r="N133" s="56">
        <f t="shared" si="369"/>
        <v>29668.295652173914</v>
      </c>
      <c r="O133" s="56">
        <f t="shared" si="369"/>
        <v>0</v>
      </c>
      <c r="P133" s="56">
        <f t="shared" si="369"/>
        <v>423824</v>
      </c>
      <c r="Q133" s="56">
        <f t="shared" si="369"/>
        <v>0</v>
      </c>
      <c r="R133" s="56">
        <f t="shared" si="369"/>
        <v>0.20763748992030273</v>
      </c>
      <c r="S133" s="56">
        <f t="shared" si="369"/>
        <v>0</v>
      </c>
      <c r="T133" s="56">
        <f t="shared" si="369"/>
        <v>0</v>
      </c>
      <c r="U133" s="56">
        <f t="shared" si="369"/>
        <v>0</v>
      </c>
      <c r="V133" s="56">
        <f t="shared" si="369"/>
        <v>380</v>
      </c>
      <c r="W133" s="56">
        <f t="shared" si="369"/>
        <v>0</v>
      </c>
      <c r="X133" s="56">
        <f t="shared" si="369"/>
        <v>0</v>
      </c>
      <c r="Y133" s="56">
        <f t="shared" si="369"/>
        <v>0</v>
      </c>
      <c r="Z133" s="56">
        <f t="shared" si="369"/>
        <v>137130</v>
      </c>
      <c r="AA133" s="56">
        <f t="shared" si="369"/>
        <v>0</v>
      </c>
      <c r="AB133" s="56">
        <f t="shared" si="369"/>
        <v>4.0192223934552886E-2</v>
      </c>
      <c r="AC133" s="56">
        <f t="shared" si="369"/>
        <v>0</v>
      </c>
      <c r="AD133" s="56">
        <f t="shared" si="369"/>
        <v>1192.4347826086957</v>
      </c>
      <c r="AE133" s="56">
        <f t="shared" si="369"/>
        <v>0</v>
      </c>
      <c r="AF133" s="56">
        <f t="shared" si="369"/>
        <v>5182</v>
      </c>
      <c r="AG133" s="56">
        <f t="shared" si="369"/>
        <v>1290670</v>
      </c>
      <c r="AH133" s="56">
        <f t="shared" si="369"/>
        <v>0.47593278268299632</v>
      </c>
      <c r="AI133" s="56">
        <f t="shared" si="369"/>
        <v>0</v>
      </c>
      <c r="AJ133" s="56">
        <f t="shared" si="369"/>
        <v>0</v>
      </c>
      <c r="AK133" s="56">
        <f t="shared" si="369"/>
        <v>26638</v>
      </c>
      <c r="AL133" s="56">
        <f t="shared" si="369"/>
        <v>0</v>
      </c>
      <c r="AM133" s="56">
        <f t="shared" si="369"/>
        <v>0</v>
      </c>
      <c r="AN133" s="56">
        <f t="shared" si="369"/>
        <v>178263</v>
      </c>
      <c r="AO133" s="56">
        <f t="shared" si="369"/>
        <v>1517084</v>
      </c>
      <c r="AP133" s="56">
        <f t="shared" si="369"/>
        <v>0</v>
      </c>
      <c r="AQ133" s="56">
        <f t="shared" si="369"/>
        <v>1.7872502593183518E-2</v>
      </c>
      <c r="AR133" s="56">
        <f t="shared" si="369"/>
        <v>0</v>
      </c>
      <c r="AS133" s="56">
        <f t="shared" si="369"/>
        <v>0</v>
      </c>
      <c r="AT133" s="56">
        <f t="shared" si="369"/>
        <v>0</v>
      </c>
      <c r="AU133" s="56">
        <f t="shared" si="369"/>
        <v>0.44465091413641966</v>
      </c>
      <c r="AV133" s="56">
        <f t="shared" si="369"/>
        <v>0</v>
      </c>
      <c r="AW133" s="56">
        <f t="shared" si="369"/>
        <v>13192.034782608696</v>
      </c>
      <c r="AX133" s="56">
        <f t="shared" si="369"/>
        <v>0</v>
      </c>
      <c r="AY133" s="56">
        <f t="shared" si="369"/>
        <v>0</v>
      </c>
      <c r="AZ133" s="56">
        <f t="shared" si="369"/>
        <v>699271</v>
      </c>
      <c r="BA133" s="56">
        <f t="shared" si="369"/>
        <v>0</v>
      </c>
      <c r="BB133" s="56">
        <f t="shared" si="369"/>
        <v>42469607</v>
      </c>
      <c r="BC133" s="56">
        <f t="shared" si="369"/>
        <v>0</v>
      </c>
      <c r="BD133" s="56">
        <f t="shared" si="369"/>
        <v>58349</v>
      </c>
      <c r="BE133" s="56">
        <f t="shared" si="369"/>
        <v>0</v>
      </c>
      <c r="BF133" s="56">
        <f t="shared" si="369"/>
        <v>8.3442613807808416E-2</v>
      </c>
      <c r="BG133" s="56">
        <f t="shared" si="369"/>
        <v>0</v>
      </c>
      <c r="BH133" s="56">
        <f t="shared" si="369"/>
        <v>0</v>
      </c>
      <c r="BI133" s="56">
        <f t="shared" si="369"/>
        <v>0</v>
      </c>
      <c r="BJ133" s="56">
        <f t="shared" si="369"/>
        <v>4882798</v>
      </c>
      <c r="BK133" s="56">
        <f t="shared" si="369"/>
        <v>0</v>
      </c>
      <c r="BL133" s="56">
        <f t="shared" si="369"/>
        <v>8.679941295953672E-2</v>
      </c>
      <c r="BM133" s="56">
        <f t="shared" si="369"/>
        <v>369300.93043478258</v>
      </c>
      <c r="BN133" s="56">
        <f t="shared" si="369"/>
        <v>0</v>
      </c>
      <c r="BO133" s="56">
        <f t="shared" si="369"/>
        <v>3138476</v>
      </c>
      <c r="BP133" s="10"/>
      <c r="BQ133" s="62"/>
      <c r="BR133" s="10"/>
      <c r="BS133" s="10"/>
      <c r="BT133" s="10"/>
      <c r="BU133" s="10"/>
      <c r="BV133" s="161"/>
      <c r="BW133" s="10"/>
      <c r="BX133" s="62"/>
      <c r="BY133" s="10"/>
      <c r="BZ133" s="161"/>
      <c r="CA133" s="61"/>
      <c r="CB133" s="61"/>
      <c r="CC133" s="61"/>
      <c r="CD133" s="61"/>
      <c r="CE133" s="61"/>
      <c r="CF133" s="158"/>
    </row>
    <row r="134" spans="2:84" x14ac:dyDescent="0.3">
      <c r="B134" t="s">
        <v>118</v>
      </c>
      <c r="D134" s="56">
        <f>+D123-D133</f>
        <v>3370</v>
      </c>
      <c r="E134" s="56">
        <f>+E119-E120</f>
        <v>0</v>
      </c>
      <c r="F134" s="56">
        <f>+F119-F120</f>
        <v>0</v>
      </c>
      <c r="G134" s="56">
        <f>+G119-G120</f>
        <v>0</v>
      </c>
      <c r="H134" s="56">
        <f t="shared" ref="H134:BO134" si="370">+H123-H133</f>
        <v>-58349</v>
      </c>
      <c r="I134" s="56">
        <f t="shared" si="370"/>
        <v>0</v>
      </c>
      <c r="J134" s="56">
        <f t="shared" si="370"/>
        <v>1.3499887388195367E-3</v>
      </c>
      <c r="K134" s="56">
        <f t="shared" si="370"/>
        <v>0</v>
      </c>
      <c r="L134" s="56">
        <f t="shared" si="370"/>
        <v>0</v>
      </c>
      <c r="M134" s="56">
        <f t="shared" si="370"/>
        <v>0</v>
      </c>
      <c r="N134" s="56">
        <f t="shared" si="370"/>
        <v>-251.58512585812423</v>
      </c>
      <c r="O134" s="56">
        <f t="shared" si="370"/>
        <v>0</v>
      </c>
      <c r="P134" s="56">
        <f t="shared" si="370"/>
        <v>-13819</v>
      </c>
      <c r="Q134" s="56">
        <f t="shared" si="370"/>
        <v>0</v>
      </c>
      <c r="R134" s="56">
        <f t="shared" si="370"/>
        <v>-0.20763748992030273</v>
      </c>
      <c r="S134" s="56">
        <f t="shared" si="370"/>
        <v>0</v>
      </c>
      <c r="T134" s="56">
        <f t="shared" si="370"/>
        <v>0</v>
      </c>
      <c r="U134" s="56">
        <f t="shared" si="370"/>
        <v>0</v>
      </c>
      <c r="V134" s="56">
        <f t="shared" si="370"/>
        <v>352</v>
      </c>
      <c r="W134" s="56">
        <f t="shared" si="370"/>
        <v>0</v>
      </c>
      <c r="X134" s="56">
        <f t="shared" si="370"/>
        <v>0</v>
      </c>
      <c r="Y134" s="56">
        <f t="shared" si="370"/>
        <v>0</v>
      </c>
      <c r="Z134" s="56">
        <f t="shared" si="370"/>
        <v>-380</v>
      </c>
      <c r="AA134" s="56">
        <f t="shared" si="370"/>
        <v>0</v>
      </c>
      <c r="AB134" s="56">
        <f t="shared" si="370"/>
        <v>5.8600660334701127E-4</v>
      </c>
      <c r="AC134" s="56">
        <f t="shared" si="370"/>
        <v>0</v>
      </c>
      <c r="AD134" s="56">
        <f t="shared" si="370"/>
        <v>7.1266209000762046</v>
      </c>
      <c r="AE134" s="56">
        <f t="shared" si="370"/>
        <v>0</v>
      </c>
      <c r="AF134" s="56">
        <f t="shared" si="370"/>
        <v>-5182</v>
      </c>
      <c r="AG134" s="56">
        <f t="shared" si="370"/>
        <v>-1290670</v>
      </c>
      <c r="AH134" s="56">
        <f t="shared" si="370"/>
        <v>-0.47593278268299632</v>
      </c>
      <c r="AI134" s="56">
        <f t="shared" si="370"/>
        <v>0</v>
      </c>
      <c r="AJ134" s="56">
        <f t="shared" si="370"/>
        <v>0</v>
      </c>
      <c r="AK134" s="56">
        <f t="shared" si="370"/>
        <v>3313</v>
      </c>
      <c r="AL134" s="56">
        <f t="shared" si="370"/>
        <v>0</v>
      </c>
      <c r="AM134" s="56">
        <f t="shared" si="370"/>
        <v>0</v>
      </c>
      <c r="AN134" s="56">
        <f t="shared" si="370"/>
        <v>0</v>
      </c>
      <c r="AO134" s="56">
        <f t="shared" si="370"/>
        <v>-26638</v>
      </c>
      <c r="AP134" s="56">
        <f t="shared" si="370"/>
        <v>0</v>
      </c>
      <c r="AQ134" s="56">
        <f t="shared" si="370"/>
        <v>2.6349281066819392E-3</v>
      </c>
      <c r="AR134" s="56">
        <f t="shared" si="370"/>
        <v>0</v>
      </c>
      <c r="AS134" s="56">
        <f t="shared" si="370"/>
        <v>0</v>
      </c>
      <c r="AT134" s="56">
        <f t="shared" si="370"/>
        <v>0</v>
      </c>
      <c r="AU134" s="56">
        <f t="shared" si="370"/>
        <v>-2.0666848895528611E-4</v>
      </c>
      <c r="AV134" s="56">
        <f t="shared" si="370"/>
        <v>0</v>
      </c>
      <c r="AW134" s="56">
        <f t="shared" si="370"/>
        <v>-117.94706331045018</v>
      </c>
      <c r="AX134" s="56">
        <f t="shared" si="370"/>
        <v>0</v>
      </c>
      <c r="AY134" s="56">
        <f t="shared" si="370"/>
        <v>0</v>
      </c>
      <c r="AZ134" s="56">
        <f t="shared" si="370"/>
        <v>60852</v>
      </c>
      <c r="BA134" s="56">
        <f t="shared" si="370"/>
        <v>0</v>
      </c>
      <c r="BB134" s="56">
        <f t="shared" si="370"/>
        <v>-699271</v>
      </c>
      <c r="BC134" s="56">
        <f t="shared" si="370"/>
        <v>0</v>
      </c>
      <c r="BD134" s="56">
        <f t="shared" si="370"/>
        <v>3370</v>
      </c>
      <c r="BE134" s="56">
        <f t="shared" si="370"/>
        <v>0</v>
      </c>
      <c r="BF134" s="56">
        <f t="shared" si="370"/>
        <v>-2.2465442243331107E-3</v>
      </c>
      <c r="BG134" s="56">
        <f t="shared" si="370"/>
        <v>0</v>
      </c>
      <c r="BH134" s="56">
        <f t="shared" si="370"/>
        <v>0</v>
      </c>
      <c r="BI134" s="56">
        <f t="shared" si="370"/>
        <v>0</v>
      </c>
      <c r="BJ134" s="56">
        <f t="shared" si="370"/>
        <v>-66095</v>
      </c>
      <c r="BK134" s="56">
        <f t="shared" si="370"/>
        <v>0</v>
      </c>
      <c r="BL134" s="56">
        <f t="shared" si="370"/>
        <v>-1.6779097238171781E-3</v>
      </c>
      <c r="BM134" s="56">
        <f t="shared" si="370"/>
        <v>-2894.4742944316822</v>
      </c>
      <c r="BN134" s="56">
        <f t="shared" si="370"/>
        <v>0</v>
      </c>
      <c r="BO134" s="56">
        <f t="shared" si="370"/>
        <v>-58349</v>
      </c>
      <c r="BP134" s="10"/>
      <c r="BQ134" s="10"/>
      <c r="BR134" s="10"/>
      <c r="BS134" s="10"/>
      <c r="BT134" s="10"/>
      <c r="BU134" s="10"/>
      <c r="BV134" s="62"/>
      <c r="BW134" s="10"/>
      <c r="BX134" s="10"/>
      <c r="BY134" s="10"/>
      <c r="BZ134" s="62"/>
      <c r="CA134" s="61"/>
      <c r="CB134" s="61"/>
      <c r="CC134" s="61"/>
      <c r="CD134" s="61"/>
      <c r="CE134" s="61"/>
      <c r="CF134" s="117"/>
    </row>
    <row r="135" spans="2:84" x14ac:dyDescent="0.3">
      <c r="N135" s="59"/>
      <c r="Z135" s="56"/>
      <c r="AB135" s="59"/>
      <c r="AD135" s="274"/>
      <c r="AZ135" s="59"/>
      <c r="BF135" s="59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61"/>
      <c r="CB135" s="117"/>
      <c r="CC135" s="117"/>
      <c r="CD135" s="117"/>
      <c r="CE135" s="117"/>
    </row>
    <row r="136" spans="2:84" x14ac:dyDescent="0.3">
      <c r="D136" s="56"/>
      <c r="H136" s="1"/>
      <c r="N136" s="59"/>
      <c r="V136" s="56"/>
      <c r="Z136" s="55"/>
      <c r="AZ136" s="59"/>
      <c r="BB136" s="56"/>
      <c r="BD136" s="59"/>
      <c r="BI136" s="61"/>
      <c r="BJ136" s="62">
        <f>+BJ134/BJ82</f>
        <v>-2.261350460224763E-2</v>
      </c>
      <c r="BK136" s="61"/>
      <c r="BL136" s="61"/>
      <c r="BM136" s="61"/>
      <c r="BN136" s="61"/>
      <c r="BO136" s="61"/>
      <c r="BP136" s="61"/>
      <c r="BQ136" s="61"/>
      <c r="BR136" s="10"/>
      <c r="BS136" s="10"/>
    </row>
    <row r="137" spans="2:84" x14ac:dyDescent="0.3">
      <c r="H137" s="56"/>
      <c r="V137" s="56"/>
      <c r="Z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BG137" s="108"/>
      <c r="BH137" s="108"/>
      <c r="BI137" s="108"/>
      <c r="BJ137" s="108"/>
      <c r="BK137" s="108"/>
      <c r="BL137" s="108"/>
      <c r="BM137" s="108"/>
      <c r="BN137" s="108"/>
      <c r="BO137" s="108"/>
      <c r="BP137" s="108"/>
      <c r="BQ137" s="90"/>
      <c r="BR137" s="1"/>
      <c r="BS137" s="1"/>
    </row>
    <row r="138" spans="2:84" x14ac:dyDescent="0.3">
      <c r="D138" s="1"/>
      <c r="E138" s="123" t="s">
        <v>28</v>
      </c>
      <c r="F138" s="124"/>
      <c r="H138" s="124" t="s">
        <v>67</v>
      </c>
      <c r="I138" s="116"/>
      <c r="J138" s="116"/>
      <c r="K138" s="61"/>
      <c r="L138" s="10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BG138" s="108"/>
      <c r="BH138" s="108"/>
      <c r="BI138" s="108"/>
      <c r="BJ138" s="108"/>
      <c r="BK138" s="108"/>
      <c r="BL138" s="108"/>
      <c r="BM138" s="108"/>
      <c r="BN138" s="108"/>
      <c r="BO138" s="108"/>
      <c r="BP138" s="108"/>
      <c r="BQ138" s="90"/>
      <c r="BR138" s="1"/>
      <c r="BS138" s="1"/>
    </row>
    <row r="139" spans="2:84" x14ac:dyDescent="0.3">
      <c r="D139" s="1"/>
      <c r="E139" s="123" t="s">
        <v>40</v>
      </c>
      <c r="F139" s="124"/>
      <c r="H139" s="124" t="s">
        <v>42</v>
      </c>
      <c r="I139" s="10"/>
      <c r="J139" s="10"/>
      <c r="K139" s="61"/>
      <c r="L139" s="10"/>
      <c r="AC139" s="1"/>
      <c r="AD139" s="1"/>
      <c r="AE139" s="1"/>
      <c r="AF139" s="1"/>
      <c r="AG139" s="1"/>
      <c r="AH139" s="1"/>
      <c r="AI139" s="1"/>
      <c r="AJ139" s="1"/>
      <c r="AK139" s="1" t="s">
        <v>17</v>
      </c>
      <c r="AL139" s="1"/>
      <c r="AM139" s="1"/>
      <c r="AN139" s="1"/>
      <c r="BG139" s="109"/>
      <c r="BH139" s="109"/>
      <c r="BI139" s="109"/>
      <c r="BJ139" s="109"/>
      <c r="BK139" s="109"/>
      <c r="BL139" s="109"/>
      <c r="BM139" s="109"/>
      <c r="BN139" s="109"/>
      <c r="BO139" s="109"/>
      <c r="BP139" s="109"/>
      <c r="BQ139" s="90"/>
      <c r="BR139" s="1"/>
      <c r="BS139" s="1"/>
    </row>
    <row r="140" spans="2:84" x14ac:dyDescent="0.3">
      <c r="D140" s="1"/>
      <c r="E140" s="123" t="s">
        <v>47</v>
      </c>
      <c r="F140" s="124"/>
      <c r="H140" s="124" t="s">
        <v>57</v>
      </c>
      <c r="I140" s="10"/>
      <c r="J140" s="10"/>
      <c r="K140" s="61"/>
      <c r="L140" s="10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90"/>
      <c r="BR140" s="1"/>
      <c r="BS140" s="1"/>
    </row>
    <row r="141" spans="2:84" x14ac:dyDescent="0.3">
      <c r="D141" s="1"/>
      <c r="E141" s="123" t="s">
        <v>68</v>
      </c>
      <c r="F141" s="61"/>
      <c r="H141" s="93" t="s">
        <v>149</v>
      </c>
      <c r="I141" s="61"/>
      <c r="J141" s="61"/>
      <c r="K141" s="61"/>
      <c r="L141" s="6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90"/>
      <c r="BR141" s="1"/>
      <c r="BS141" s="1"/>
    </row>
    <row r="142" spans="2:84" x14ac:dyDescent="0.3">
      <c r="E142" s="123" t="s">
        <v>150</v>
      </c>
      <c r="H142" s="93" t="s">
        <v>151</v>
      </c>
      <c r="AC142" s="1"/>
      <c r="AD142" s="1"/>
      <c r="AE142" s="1"/>
      <c r="AF142" s="1"/>
      <c r="AG142" s="1"/>
      <c r="AH142" s="1"/>
      <c r="BC142" s="90"/>
      <c r="BD142" s="90"/>
      <c r="BE142" s="90"/>
      <c r="BF142" s="90"/>
      <c r="BG142" s="90"/>
      <c r="BH142" s="90"/>
      <c r="BI142" s="90"/>
      <c r="BJ142" s="90"/>
      <c r="BK142" s="90"/>
      <c r="BL142" s="90"/>
      <c r="BM142" s="90"/>
      <c r="BN142" s="90"/>
      <c r="BO142" s="90"/>
      <c r="BP142" s="90"/>
      <c r="BQ142" s="90"/>
      <c r="BR142" s="1"/>
      <c r="BS142" s="1"/>
    </row>
    <row r="143" spans="2:84" x14ac:dyDescent="0.3">
      <c r="AC143" s="1"/>
      <c r="AD143" s="1"/>
      <c r="AE143" s="1"/>
      <c r="AF143" s="1"/>
      <c r="AG143" s="1"/>
      <c r="AH143" s="1"/>
    </row>
    <row r="144" spans="2:84" ht="15" thickBot="1" x14ac:dyDescent="0.35">
      <c r="D144" s="56"/>
      <c r="AC144" s="1"/>
      <c r="AD144" s="1"/>
      <c r="AE144" s="1"/>
      <c r="AF144" s="1"/>
      <c r="AG144" s="1"/>
      <c r="AH144" s="664"/>
      <c r="AI144" s="665"/>
      <c r="AJ144" s="665"/>
      <c r="AK144" s="665"/>
      <c r="AL144" s="665"/>
      <c r="AM144" s="665"/>
      <c r="AN144" s="665"/>
      <c r="AO144" s="665"/>
      <c r="AP144" s="665"/>
      <c r="AQ144" s="665"/>
      <c r="AR144" s="665"/>
      <c r="AS144" s="665"/>
      <c r="AT144" s="665"/>
      <c r="AU144" s="665"/>
      <c r="AV144" s="665"/>
      <c r="AW144" s="665"/>
      <c r="AY144" s="118"/>
      <c r="AZ144" s="118"/>
      <c r="BA144" s="118"/>
      <c r="BB144" s="118"/>
    </row>
    <row r="145" spans="2:86" x14ac:dyDescent="0.3">
      <c r="D145" s="1">
        <v>4900</v>
      </c>
      <c r="U145" s="118"/>
      <c r="Z145" s="56"/>
      <c r="AC145" s="1"/>
      <c r="AD145" s="1"/>
      <c r="AE145" s="1"/>
      <c r="AF145" s="1"/>
      <c r="AG145" s="1"/>
      <c r="AH145" s="664"/>
      <c r="AI145" s="638"/>
      <c r="AJ145" s="639"/>
      <c r="AK145" s="639"/>
      <c r="AL145" s="639"/>
      <c r="AM145" s="639"/>
      <c r="AN145" s="639"/>
      <c r="AO145" s="639"/>
      <c r="AP145" s="639"/>
      <c r="AQ145" s="639"/>
      <c r="AR145" s="639"/>
      <c r="AS145" s="639"/>
      <c r="AT145" s="639"/>
      <c r="AU145" s="639"/>
      <c r="AV145" s="640"/>
      <c r="AW145" s="665"/>
      <c r="AY145" s="118"/>
      <c r="AZ145" s="118"/>
      <c r="BA145" s="118"/>
      <c r="BB145" s="118"/>
    </row>
    <row r="146" spans="2:86" x14ac:dyDescent="0.3">
      <c r="D146" s="1">
        <v>1000000</v>
      </c>
      <c r="AC146" s="1"/>
      <c r="AD146" s="1"/>
      <c r="AE146" s="1"/>
      <c r="AF146" s="1"/>
      <c r="AG146" s="1"/>
      <c r="AH146" s="664"/>
      <c r="AI146" s="641"/>
      <c r="AJ146" s="649" t="s">
        <v>157</v>
      </c>
      <c r="AK146" s="649"/>
      <c r="AL146" s="649"/>
      <c r="AM146" s="649"/>
      <c r="AN146" s="649"/>
      <c r="AO146" s="649"/>
      <c r="AP146" s="649"/>
      <c r="AQ146" s="649"/>
      <c r="AR146" s="649"/>
      <c r="AS146" s="649"/>
      <c r="AT146" s="649"/>
      <c r="AU146" s="649"/>
      <c r="AV146" s="642"/>
      <c r="AW146" s="665"/>
      <c r="AY146" s="118"/>
      <c r="AZ146" s="118"/>
      <c r="BA146" s="118"/>
      <c r="BB146" s="118"/>
    </row>
    <row r="147" spans="2:86" ht="15.6" x14ac:dyDescent="0.3">
      <c r="AC147" s="1"/>
      <c r="AD147" s="1"/>
      <c r="AE147" s="1"/>
      <c r="AF147" s="1"/>
      <c r="AG147" s="1"/>
      <c r="AH147" s="664"/>
      <c r="AI147" s="641"/>
      <c r="AJ147" s="649" t="s">
        <v>156</v>
      </c>
      <c r="AK147" s="649"/>
      <c r="AL147" s="649"/>
      <c r="AM147" s="649"/>
      <c r="AN147" s="650"/>
      <c r="AO147" s="651" t="s">
        <v>20</v>
      </c>
      <c r="AP147" s="650"/>
      <c r="AQ147" s="651" t="s">
        <v>4</v>
      </c>
      <c r="AR147" s="652"/>
      <c r="AS147" s="652"/>
      <c r="AT147" s="652"/>
      <c r="AU147" s="658" t="s">
        <v>10</v>
      </c>
      <c r="AV147" s="642"/>
      <c r="AW147" s="665"/>
      <c r="AY147" s="118"/>
      <c r="AZ147" s="118"/>
      <c r="BA147" s="118"/>
      <c r="BB147" s="118"/>
    </row>
    <row r="148" spans="2:86" x14ac:dyDescent="0.3">
      <c r="AC148" s="1"/>
      <c r="AD148" s="1"/>
      <c r="AE148" s="1"/>
      <c r="AF148" s="1"/>
      <c r="AG148" s="1"/>
      <c r="AH148" s="664"/>
      <c r="AI148" s="641"/>
      <c r="AJ148" s="653" t="s">
        <v>152</v>
      </c>
      <c r="AK148" s="653"/>
      <c r="AL148" s="653"/>
      <c r="AM148" s="653"/>
      <c r="AN148" s="650"/>
      <c r="AO148" s="654">
        <f>+AG50</f>
        <v>898992</v>
      </c>
      <c r="AP148" s="655"/>
      <c r="AQ148" s="654">
        <f>+AG51</f>
        <v>55687</v>
      </c>
      <c r="AR148" s="656"/>
      <c r="AS148" s="656"/>
      <c r="AT148" s="656"/>
      <c r="AU148" s="657">
        <f>+AQ148/AO148</f>
        <v>6.194382152455194E-2</v>
      </c>
      <c r="AV148" s="642"/>
      <c r="AW148" s="665"/>
      <c r="AY148" s="118"/>
      <c r="AZ148" s="118"/>
      <c r="BA148" s="118"/>
      <c r="BB148" s="118"/>
    </row>
    <row r="149" spans="2:86" x14ac:dyDescent="0.3">
      <c r="D149" s="278">
        <f>+D145/D146</f>
        <v>4.8999999999999998E-3</v>
      </c>
      <c r="AC149" s="1"/>
      <c r="AD149" s="1"/>
      <c r="AE149" s="1"/>
      <c r="AF149" s="1"/>
      <c r="AG149" s="1"/>
      <c r="AH149" s="664"/>
      <c r="AI149" s="641"/>
      <c r="AJ149" s="643" t="s">
        <v>153</v>
      </c>
      <c r="AK149" s="644"/>
      <c r="AL149" s="644"/>
      <c r="AM149" s="644"/>
      <c r="AN149" s="65"/>
      <c r="AO149" s="645">
        <f>+AF83</f>
        <v>742147</v>
      </c>
      <c r="AP149" s="65"/>
      <c r="AQ149" s="645">
        <f>+AF84</f>
        <v>42339</v>
      </c>
      <c r="AR149" s="65"/>
      <c r="AS149" s="65"/>
      <c r="AT149" s="65"/>
      <c r="AU149" s="157">
        <f>+AQ149/AO149</f>
        <v>5.7049344671608188E-2</v>
      </c>
      <c r="AV149" s="642"/>
      <c r="AW149" s="665"/>
      <c r="AY149" s="118"/>
      <c r="AZ149" s="118"/>
      <c r="BA149" s="118"/>
      <c r="BB149" s="118"/>
    </row>
    <row r="150" spans="2:86" x14ac:dyDescent="0.3">
      <c r="AC150" s="1"/>
      <c r="AD150" s="1"/>
      <c r="AE150" s="1"/>
      <c r="AF150" s="1"/>
      <c r="AG150" s="1"/>
      <c r="AH150" s="664"/>
      <c r="AI150" s="641"/>
      <c r="AJ150" s="644" t="s">
        <v>154</v>
      </c>
      <c r="AK150" s="644"/>
      <c r="AL150" s="644"/>
      <c r="AM150" s="644"/>
      <c r="AN150" s="65"/>
      <c r="AO150" s="645">
        <f>+AG113</f>
        <v>869627</v>
      </c>
      <c r="AP150" s="65"/>
      <c r="AQ150" s="645">
        <f>+AG114</f>
        <v>21252</v>
      </c>
      <c r="AR150" s="65"/>
      <c r="AS150" s="65"/>
      <c r="AT150" s="65"/>
      <c r="AU150" s="157">
        <f>+AQ150/AO150</f>
        <v>2.4438063675575852E-2</v>
      </c>
      <c r="AV150" s="642"/>
      <c r="AW150" s="665"/>
      <c r="AY150" s="118"/>
      <c r="AZ150" s="118"/>
      <c r="BA150" s="118"/>
      <c r="BB150" s="118"/>
    </row>
    <row r="151" spans="2:86" x14ac:dyDescent="0.3">
      <c r="D151" s="472">
        <v>32000</v>
      </c>
      <c r="AC151" s="1"/>
      <c r="AD151" s="1"/>
      <c r="AE151" s="1"/>
      <c r="AF151" s="1"/>
      <c r="AG151" s="1"/>
      <c r="AH151" s="664"/>
      <c r="AI151" s="641"/>
      <c r="AJ151" s="644" t="s">
        <v>158</v>
      </c>
      <c r="AK151" s="644"/>
      <c r="AL151" s="644"/>
      <c r="AM151" s="644"/>
      <c r="AN151" s="65"/>
      <c r="AO151" s="645">
        <f>+AG124</f>
        <v>1290670</v>
      </c>
      <c r="AP151" s="65"/>
      <c r="AQ151" s="645">
        <f>+AF125</f>
        <v>17576</v>
      </c>
      <c r="AR151" s="65"/>
      <c r="AS151" s="65"/>
      <c r="AT151" s="65"/>
      <c r="AU151" s="157">
        <f>+AQ151/AO151</f>
        <v>1.3617733425275245E-2</v>
      </c>
      <c r="AV151" s="642"/>
      <c r="AW151" s="665"/>
    </row>
    <row r="152" spans="2:86" x14ac:dyDescent="0.3">
      <c r="B152" s="471"/>
      <c r="D152" s="278">
        <f>+D151/D163</f>
        <v>9.6676737160120849E-5</v>
      </c>
      <c r="AC152" s="1"/>
      <c r="AD152" s="1"/>
      <c r="AE152" s="1"/>
      <c r="AF152" s="1"/>
      <c r="AG152" s="1"/>
      <c r="AH152" s="664"/>
      <c r="AI152" s="641"/>
      <c r="AJ152" s="644" t="s">
        <v>155</v>
      </c>
      <c r="AK152" s="644"/>
      <c r="AL152" s="644"/>
      <c r="AM152" s="644"/>
      <c r="AN152" s="65"/>
      <c r="AO152" s="645">
        <f>+Z127</f>
        <v>774777</v>
      </c>
      <c r="AP152" s="65"/>
      <c r="AQ152" s="645">
        <f>+Z126</f>
        <v>8693</v>
      </c>
      <c r="AR152" s="65"/>
      <c r="AS152" s="65"/>
      <c r="AT152" s="65"/>
      <c r="AU152" s="663">
        <f>+AQ152/AO152</f>
        <v>1.1220002658829572E-2</v>
      </c>
      <c r="AV152" s="642"/>
      <c r="AW152" s="665"/>
    </row>
    <row r="153" spans="2:86" ht="15" thickBot="1" x14ac:dyDescent="0.35">
      <c r="B153" s="471"/>
      <c r="D153" s="278"/>
      <c r="AC153" s="1"/>
      <c r="AD153" s="1"/>
      <c r="AE153" s="1"/>
      <c r="AF153" s="1"/>
      <c r="AG153" s="1"/>
      <c r="AH153" s="664"/>
      <c r="AI153" s="641"/>
      <c r="AJ153" s="659"/>
      <c r="AK153" s="659"/>
      <c r="AL153" s="659"/>
      <c r="AM153" s="659"/>
      <c r="AN153" s="660"/>
      <c r="AO153" s="661"/>
      <c r="AP153" s="660"/>
      <c r="AQ153" s="661"/>
      <c r="AR153" s="660"/>
      <c r="AS153" s="660"/>
      <c r="AT153" s="660"/>
      <c r="AU153" s="662"/>
      <c r="AV153" s="642"/>
      <c r="AW153" s="665"/>
    </row>
    <row r="154" spans="2:86" x14ac:dyDescent="0.3">
      <c r="B154" s="471"/>
      <c r="D154" s="278"/>
      <c r="AC154" s="1"/>
      <c r="AD154" s="1"/>
      <c r="AE154" s="1"/>
      <c r="AF154" s="1"/>
      <c r="AG154" s="1"/>
      <c r="AH154" s="664"/>
      <c r="AI154" s="641"/>
      <c r="AJ154" s="644" t="s">
        <v>152</v>
      </c>
      <c r="AK154" s="644"/>
      <c r="AL154" s="644"/>
      <c r="AM154" s="644"/>
      <c r="AN154" s="65"/>
      <c r="AO154" s="645"/>
      <c r="AP154" s="65"/>
      <c r="AQ154" s="645">
        <f>+AQ148</f>
        <v>55687</v>
      </c>
      <c r="AR154" s="65"/>
      <c r="AS154" s="65"/>
      <c r="AT154" s="65"/>
      <c r="AU154" s="157"/>
      <c r="AV154" s="642"/>
      <c r="AW154" s="665"/>
    </row>
    <row r="155" spans="2:86" x14ac:dyDescent="0.3">
      <c r="B155" s="471"/>
      <c r="D155" s="278"/>
      <c r="AC155" s="1"/>
      <c r="AD155" s="1"/>
      <c r="AE155" s="1"/>
      <c r="AF155" s="1"/>
      <c r="AG155" s="1"/>
      <c r="AH155" s="664"/>
      <c r="AI155" s="641"/>
      <c r="AJ155" s="644" t="s">
        <v>158</v>
      </c>
      <c r="AK155" s="644"/>
      <c r="AL155" s="644"/>
      <c r="AM155" s="64"/>
      <c r="AN155" s="65"/>
      <c r="AO155" s="645"/>
      <c r="AP155" s="65"/>
      <c r="AQ155" s="645">
        <f>+AF125</f>
        <v>17576</v>
      </c>
      <c r="AR155" s="65"/>
      <c r="AS155" s="65"/>
      <c r="AT155" s="65"/>
      <c r="AU155" s="157"/>
      <c r="AV155" s="642"/>
      <c r="AW155" s="665"/>
    </row>
    <row r="156" spans="2:86" x14ac:dyDescent="0.3">
      <c r="B156" s="471"/>
      <c r="D156" s="278"/>
      <c r="AC156" s="1"/>
      <c r="AD156" s="1"/>
      <c r="AE156" s="1"/>
      <c r="AF156" s="1"/>
      <c r="AG156" s="1"/>
      <c r="AH156" s="664"/>
      <c r="AI156" s="641"/>
      <c r="AJ156" s="64"/>
      <c r="AK156" s="64" t="s">
        <v>73</v>
      </c>
      <c r="AL156" s="64"/>
      <c r="AM156" s="64"/>
      <c r="AN156" s="65"/>
      <c r="AO156" s="645"/>
      <c r="AP156" s="65"/>
      <c r="AQ156" s="645">
        <f>+AQ154-AQ155</f>
        <v>38111</v>
      </c>
      <c r="AR156" s="65"/>
      <c r="AS156" s="65"/>
      <c r="AT156" s="65"/>
      <c r="AU156" s="663">
        <f>+AQ156/AQ154</f>
        <v>0.68437875985418495</v>
      </c>
      <c r="AV156" s="642"/>
      <c r="AW156" s="665"/>
    </row>
    <row r="157" spans="2:86" ht="15" thickBot="1" x14ac:dyDescent="0.35">
      <c r="D157" s="471"/>
      <c r="AC157" s="1"/>
      <c r="AD157" s="1"/>
      <c r="AE157" s="1"/>
      <c r="AF157" s="1"/>
      <c r="AG157" s="1"/>
      <c r="AH157" s="664"/>
      <c r="AI157" s="646"/>
      <c r="AJ157" s="647"/>
      <c r="AK157" s="647"/>
      <c r="AL157" s="647"/>
      <c r="AM157" s="647"/>
      <c r="AN157" s="647"/>
      <c r="AO157" s="647"/>
      <c r="AP157" s="647"/>
      <c r="AQ157" s="647"/>
      <c r="AR157" s="647"/>
      <c r="AS157" s="647"/>
      <c r="AT157" s="647"/>
      <c r="AU157" s="647"/>
      <c r="AV157" s="648"/>
      <c r="AW157" s="665"/>
      <c r="BC157" s="90"/>
      <c r="BD157" s="90"/>
      <c r="BE157" s="90"/>
      <c r="BF157" s="90"/>
      <c r="BG157" s="90"/>
      <c r="BH157" s="90"/>
      <c r="BI157" s="90"/>
      <c r="BJ157" s="90"/>
      <c r="BK157" s="90"/>
      <c r="BL157" s="90"/>
      <c r="BM157" s="90"/>
      <c r="BN157" s="90"/>
      <c r="BO157" s="90"/>
      <c r="BP157" s="90"/>
      <c r="BQ157" s="90"/>
      <c r="BR157" s="1"/>
      <c r="BS157" s="1"/>
      <c r="BT157" s="1"/>
      <c r="BU157" s="1"/>
      <c r="BV157" s="90"/>
      <c r="BW157" s="90"/>
      <c r="BX157" s="90"/>
      <c r="BY157" s="90"/>
      <c r="BZ157" s="90"/>
      <c r="CA157" s="90"/>
      <c r="CB157" s="90"/>
      <c r="CC157" s="90"/>
      <c r="CD157" s="90"/>
      <c r="CE157" s="90"/>
      <c r="CF157" s="90"/>
      <c r="CG157" s="90"/>
      <c r="CH157" s="90"/>
    </row>
    <row r="158" spans="2:86" x14ac:dyDescent="0.3">
      <c r="AC158" s="10"/>
      <c r="AD158" s="10"/>
      <c r="AE158" s="10"/>
      <c r="AF158" s="10"/>
      <c r="AG158" s="10"/>
      <c r="AH158" s="664"/>
      <c r="AI158" s="665"/>
      <c r="AJ158" s="665"/>
      <c r="AK158" s="665"/>
      <c r="AL158" s="665"/>
      <c r="AM158" s="665"/>
      <c r="AN158" s="665"/>
      <c r="AO158" s="665"/>
      <c r="AP158" s="665"/>
      <c r="AQ158" s="665"/>
      <c r="AR158" s="665"/>
      <c r="AS158" s="665"/>
      <c r="AT158" s="665"/>
      <c r="AU158" s="665"/>
      <c r="AV158" s="665"/>
      <c r="AW158" s="665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89"/>
      <c r="BW158" s="89"/>
      <c r="BX158" s="89"/>
      <c r="BY158" s="89"/>
      <c r="BZ158" s="121"/>
      <c r="CA158" s="1"/>
      <c r="CB158" s="1"/>
      <c r="CC158" s="1"/>
      <c r="CD158" s="1"/>
      <c r="CE158" s="1"/>
      <c r="CF158" s="1"/>
      <c r="CG158" s="1"/>
      <c r="CH158" s="1"/>
    </row>
    <row r="159" spans="2:86" x14ac:dyDescent="0.3">
      <c r="D159">
        <v>10</v>
      </c>
      <c r="AC159" s="10"/>
      <c r="AD159" s="10"/>
      <c r="AE159" s="10"/>
      <c r="AF159" s="10"/>
      <c r="AG159" s="10"/>
      <c r="AH159" s="10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89"/>
      <c r="BW159" s="89"/>
      <c r="BX159" s="89"/>
      <c r="BY159" s="89"/>
      <c r="BZ159" s="89"/>
      <c r="CA159" s="1"/>
      <c r="CB159" s="1"/>
      <c r="CC159" s="1"/>
      <c r="CD159" s="1"/>
      <c r="CE159" s="1"/>
      <c r="CF159" s="1"/>
      <c r="CG159" s="1"/>
      <c r="CH159" s="1"/>
    </row>
    <row r="160" spans="2:86" x14ac:dyDescent="0.3">
      <c r="D160" s="1">
        <v>1000000</v>
      </c>
      <c r="AC160" s="10"/>
      <c r="AD160" s="10"/>
      <c r="AE160" s="10"/>
      <c r="AF160" s="10"/>
      <c r="AG160" s="10"/>
      <c r="AH160" s="10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89"/>
      <c r="BW160" s="89"/>
      <c r="BX160" s="89"/>
      <c r="BY160" s="89"/>
      <c r="BZ160" s="89"/>
      <c r="CA160" s="1"/>
      <c r="CB160" s="1"/>
      <c r="CC160" s="1"/>
      <c r="CD160" s="1"/>
      <c r="CE160" s="1"/>
      <c r="CF160" s="1"/>
    </row>
    <row r="161" spans="2:84" x14ac:dyDescent="0.3">
      <c r="D161" s="57">
        <f>+D159/D160</f>
        <v>1.0000000000000001E-5</v>
      </c>
      <c r="AC161" s="10"/>
      <c r="AD161" s="10"/>
      <c r="AE161" s="10"/>
      <c r="AF161" s="10"/>
      <c r="AG161" s="10"/>
      <c r="AH161" s="10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89"/>
      <c r="BW161" s="89"/>
      <c r="BX161" s="89"/>
      <c r="BY161" s="89"/>
      <c r="BZ161" s="89"/>
      <c r="CA161" s="1"/>
      <c r="CB161" s="1"/>
      <c r="CC161" s="1"/>
      <c r="CD161" s="1"/>
      <c r="CE161" s="1"/>
      <c r="CF161" s="1"/>
    </row>
    <row r="162" spans="2:84" x14ac:dyDescent="0.3">
      <c r="AC162" s="10"/>
      <c r="AD162" s="10"/>
      <c r="AE162" s="10"/>
      <c r="AF162" s="10"/>
      <c r="AG162" s="10"/>
      <c r="AH162" s="10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89"/>
      <c r="BW162" s="89"/>
      <c r="BX162" s="122"/>
      <c r="BY162" s="89"/>
      <c r="BZ162" s="89"/>
    </row>
    <row r="163" spans="2:84" x14ac:dyDescent="0.3">
      <c r="D163" s="1">
        <v>331000000</v>
      </c>
      <c r="AC163" s="10"/>
      <c r="AD163" s="10"/>
      <c r="AE163" s="10"/>
      <c r="AF163" s="10"/>
      <c r="AG163" s="10"/>
      <c r="AH163" s="10"/>
      <c r="AI163" s="90"/>
      <c r="AJ163" s="90"/>
      <c r="AK163" s="155"/>
      <c r="AL163" s="155"/>
      <c r="AM163" s="155"/>
      <c r="AN163" s="155"/>
      <c r="AO163" s="155"/>
      <c r="AP163" s="155"/>
      <c r="AQ163" s="155"/>
      <c r="AR163" s="155"/>
      <c r="AS163" s="155"/>
      <c r="AT163" s="155"/>
      <c r="AU163" s="155"/>
      <c r="AV163" s="155"/>
      <c r="AW163" s="155"/>
      <c r="AX163" s="155"/>
      <c r="AY163" s="155"/>
      <c r="AZ163" s="155"/>
      <c r="BA163" s="90"/>
      <c r="BB163" s="90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89"/>
      <c r="BW163" s="89"/>
      <c r="BX163" s="89"/>
      <c r="BY163" s="89"/>
      <c r="BZ163" s="89"/>
    </row>
    <row r="164" spans="2:84" x14ac:dyDescent="0.3">
      <c r="AC164" s="10"/>
      <c r="AD164" s="10"/>
      <c r="AE164" s="10"/>
      <c r="AF164" s="10"/>
      <c r="AG164" s="10"/>
      <c r="AH164" s="10"/>
      <c r="AI164" s="90"/>
      <c r="AJ164" s="90"/>
      <c r="AK164" s="151"/>
      <c r="AL164" s="151"/>
      <c r="AM164" s="151"/>
      <c r="AN164" s="151"/>
      <c r="AO164" s="151"/>
      <c r="AP164" s="151"/>
      <c r="AQ164" s="151"/>
      <c r="AR164" s="90"/>
      <c r="AS164" s="90"/>
      <c r="AT164" s="90"/>
      <c r="AU164" s="110"/>
      <c r="AV164" s="110"/>
      <c r="AW164" s="110"/>
      <c r="AX164" s="110"/>
      <c r="AY164" s="90"/>
      <c r="AZ164" s="90"/>
      <c r="BA164" s="110"/>
      <c r="BB164" s="90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89"/>
      <c r="BW164" s="89"/>
      <c r="BX164" s="89"/>
      <c r="BY164" s="89"/>
      <c r="BZ164" s="89"/>
    </row>
    <row r="165" spans="2:84" x14ac:dyDescent="0.3">
      <c r="D165" s="469">
        <v>7.1999999999999995E-2</v>
      </c>
      <c r="AC165" s="10"/>
      <c r="AD165" s="10"/>
      <c r="AE165" s="10"/>
      <c r="AF165" s="10"/>
      <c r="AG165" s="10"/>
      <c r="AH165" s="10"/>
      <c r="AI165" s="90"/>
      <c r="AJ165" s="90"/>
      <c r="AK165" s="151"/>
      <c r="AL165" s="151"/>
      <c r="AM165" s="151"/>
      <c r="AN165" s="151"/>
      <c r="AO165" s="151"/>
      <c r="AP165" s="151"/>
      <c r="AQ165" s="151"/>
      <c r="AR165" s="151"/>
      <c r="AS165" s="110"/>
      <c r="AT165" s="90"/>
      <c r="AU165" s="110"/>
      <c r="AV165" s="110"/>
      <c r="AW165" s="110"/>
      <c r="AX165" s="110"/>
      <c r="AY165" s="90"/>
      <c r="AZ165" s="90"/>
      <c r="BA165" s="110"/>
      <c r="BB165" s="90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89"/>
      <c r="BW165" s="89"/>
      <c r="BX165" s="89"/>
      <c r="BY165" s="89"/>
      <c r="BZ165" s="89"/>
    </row>
    <row r="166" spans="2:84" x14ac:dyDescent="0.3">
      <c r="AC166" s="10"/>
      <c r="AD166" s="10"/>
      <c r="AE166" s="10"/>
      <c r="AF166" s="10"/>
      <c r="AG166" s="10"/>
      <c r="AH166" s="10"/>
      <c r="AI166" s="90"/>
      <c r="AJ166" s="90"/>
      <c r="AK166" s="90"/>
      <c r="AL166" s="90"/>
      <c r="AM166" s="152"/>
      <c r="AN166" s="152"/>
      <c r="AO166" s="152"/>
      <c r="AP166" s="152"/>
      <c r="AQ166" s="152"/>
      <c r="AR166" s="90"/>
      <c r="AS166" s="90"/>
      <c r="AT166" s="90"/>
      <c r="AU166" s="110"/>
      <c r="AV166" s="110"/>
      <c r="AW166" s="110"/>
      <c r="AX166" s="110"/>
      <c r="AY166" s="90"/>
      <c r="AZ166" s="90"/>
      <c r="BA166" s="110"/>
      <c r="BB166" s="90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89"/>
      <c r="BW166" s="89"/>
      <c r="BX166" s="89"/>
      <c r="BY166" s="89"/>
      <c r="BZ166" s="89"/>
    </row>
    <row r="167" spans="2:84" x14ac:dyDescent="0.3">
      <c r="D167" s="278">
        <v>4.2000000000000003E-2</v>
      </c>
      <c r="AC167" s="10"/>
      <c r="AD167" s="10"/>
      <c r="AE167" s="10"/>
      <c r="AF167" s="10"/>
      <c r="AG167" s="10"/>
      <c r="AH167" s="10"/>
      <c r="AI167" s="90"/>
      <c r="AJ167" s="90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110"/>
      <c r="AV167" s="110"/>
      <c r="AW167" s="110"/>
      <c r="AX167" s="110"/>
      <c r="AY167" s="90"/>
      <c r="AZ167" s="90"/>
      <c r="BA167" s="110"/>
      <c r="BB167" s="90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</row>
    <row r="168" spans="2:84" x14ac:dyDescent="0.3">
      <c r="D168" s="1">
        <f>+D163*D165*D167</f>
        <v>1000944.0000000001</v>
      </c>
      <c r="AC168" s="10"/>
      <c r="AD168" s="10"/>
      <c r="AE168" s="10"/>
      <c r="AF168" s="10"/>
      <c r="AG168" s="10"/>
      <c r="AH168" s="10"/>
      <c r="AI168" s="90"/>
      <c r="AJ168" s="90"/>
      <c r="AK168" s="90"/>
      <c r="AL168" s="90"/>
      <c r="AM168" s="152"/>
      <c r="AN168" s="152"/>
      <c r="AO168" s="152"/>
      <c r="AP168" s="152"/>
      <c r="AQ168" s="152"/>
      <c r="AR168" s="152"/>
      <c r="AS168" s="152"/>
      <c r="AT168" s="90"/>
      <c r="AU168" s="110"/>
      <c r="AV168" s="110"/>
      <c r="AW168" s="110"/>
      <c r="AX168" s="110"/>
      <c r="AY168" s="90"/>
      <c r="AZ168" s="90"/>
      <c r="BA168" s="110"/>
      <c r="BB168" s="90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</row>
    <row r="169" spans="2:84" x14ac:dyDescent="0.3">
      <c r="AC169" s="10"/>
      <c r="AD169" s="10"/>
      <c r="AE169" s="10"/>
      <c r="AF169" s="10"/>
      <c r="AG169" s="10"/>
      <c r="AH169" s="10"/>
      <c r="AI169" s="90"/>
      <c r="AJ169" s="90"/>
      <c r="AK169" s="90"/>
      <c r="AL169" s="90"/>
      <c r="AM169" s="152"/>
      <c r="AN169" s="152"/>
      <c r="AO169" s="152"/>
      <c r="AP169" s="152"/>
      <c r="AQ169" s="152"/>
      <c r="AR169" s="152"/>
      <c r="AS169" s="152"/>
      <c r="AT169" s="90"/>
      <c r="AU169" s="110"/>
      <c r="AV169" s="110"/>
      <c r="AW169" s="110"/>
      <c r="AX169" s="110"/>
      <c r="AY169" s="90"/>
      <c r="AZ169" s="90"/>
      <c r="BA169" s="110"/>
      <c r="BB169" s="90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</row>
    <row r="170" spans="2:84" x14ac:dyDescent="0.3">
      <c r="AC170" s="10"/>
      <c r="AD170" s="10"/>
      <c r="AE170" s="10"/>
      <c r="AF170" s="10"/>
      <c r="AG170" s="10"/>
      <c r="AH170" s="10"/>
      <c r="AI170" s="90"/>
      <c r="AJ170" s="90"/>
      <c r="AK170" s="90"/>
      <c r="AL170" s="90"/>
      <c r="AM170" s="152"/>
      <c r="AN170" s="152"/>
      <c r="AO170" s="152"/>
      <c r="AP170" s="152"/>
      <c r="AQ170" s="152"/>
      <c r="AR170" s="152"/>
      <c r="AS170" s="152"/>
      <c r="AT170" s="90"/>
      <c r="AU170" s="110"/>
      <c r="AV170" s="110"/>
      <c r="AW170" s="110"/>
      <c r="AX170" s="110"/>
      <c r="AY170" s="90"/>
      <c r="AZ170" s="90"/>
      <c r="BA170" s="110"/>
      <c r="BB170" s="90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</row>
    <row r="171" spans="2:84" x14ac:dyDescent="0.3">
      <c r="AC171" s="10"/>
      <c r="AD171" s="10"/>
      <c r="AE171" s="10"/>
      <c r="AF171" s="10"/>
      <c r="AG171" s="10"/>
      <c r="AH171" s="10"/>
      <c r="AI171" s="90"/>
      <c r="AJ171" s="90"/>
      <c r="AK171" s="90"/>
      <c r="AL171" s="90"/>
      <c r="AM171" s="152"/>
      <c r="AN171" s="152"/>
      <c r="AO171" s="152"/>
      <c r="AP171" s="152"/>
      <c r="AQ171" s="152"/>
      <c r="AR171" s="152"/>
      <c r="AS171" s="152"/>
      <c r="AT171" s="90"/>
      <c r="AU171" s="110"/>
      <c r="AV171" s="110"/>
      <c r="AW171" s="110"/>
      <c r="AX171" s="110"/>
      <c r="AY171" s="90"/>
      <c r="AZ171" s="90"/>
      <c r="BA171" s="110"/>
      <c r="BB171" s="90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</row>
    <row r="172" spans="2:84" x14ac:dyDescent="0.3">
      <c r="AC172" s="10"/>
      <c r="AD172" s="10"/>
      <c r="AE172" s="10"/>
      <c r="AF172" s="10"/>
      <c r="AG172" s="10"/>
      <c r="AH172" s="10"/>
      <c r="AI172" s="90"/>
      <c r="AJ172" s="90"/>
      <c r="AK172" s="90"/>
      <c r="AL172" s="90"/>
      <c r="AM172" s="152"/>
      <c r="AN172" s="152"/>
      <c r="AO172" s="152"/>
      <c r="AP172" s="152"/>
      <c r="AQ172" s="152"/>
      <c r="AR172" s="152"/>
      <c r="AS172" s="152"/>
      <c r="AT172" s="90"/>
      <c r="AU172" s="110"/>
      <c r="AV172" s="110"/>
      <c r="AW172" s="110"/>
      <c r="AX172" s="110"/>
      <c r="AY172" s="90"/>
      <c r="AZ172" s="90"/>
      <c r="BA172" s="110"/>
      <c r="BB172" s="90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</row>
    <row r="173" spans="2:84" x14ac:dyDescent="0.3">
      <c r="AC173" s="10"/>
      <c r="AD173" s="10"/>
      <c r="AE173" s="10"/>
      <c r="AF173" s="10"/>
      <c r="AG173" s="10"/>
      <c r="AH173" s="10"/>
      <c r="AI173" s="90"/>
      <c r="AJ173" s="90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90"/>
      <c r="AV173" s="90"/>
      <c r="AW173" s="90"/>
      <c r="AX173" s="90"/>
      <c r="AY173" s="90"/>
      <c r="AZ173" s="110"/>
      <c r="BA173" s="110"/>
      <c r="BB173" s="90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</row>
    <row r="174" spans="2:84" x14ac:dyDescent="0.3">
      <c r="AC174" s="10"/>
      <c r="AD174" s="10"/>
      <c r="AE174" s="10"/>
      <c r="AF174" s="10"/>
      <c r="AG174" s="10"/>
      <c r="AH174" s="10"/>
      <c r="AI174" s="90"/>
      <c r="AJ174" s="90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151"/>
      <c r="AV174" s="151"/>
      <c r="AW174" s="151"/>
      <c r="AX174" s="151"/>
      <c r="AY174" s="90"/>
      <c r="AZ174" s="90"/>
      <c r="BA174" s="110"/>
      <c r="BB174" s="90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</row>
    <row r="175" spans="2:84" x14ac:dyDescent="0.3">
      <c r="AI175" s="110"/>
      <c r="AJ175" s="110"/>
      <c r="AK175" s="110"/>
      <c r="AL175" s="110"/>
      <c r="AM175" s="110"/>
      <c r="AN175" s="110"/>
      <c r="AO175" s="110"/>
      <c r="AP175" s="110"/>
      <c r="AQ175" s="110"/>
      <c r="AR175" s="110"/>
      <c r="AS175" s="90"/>
      <c r="AT175" s="110"/>
      <c r="AU175" s="153"/>
      <c r="AV175" s="153"/>
      <c r="AW175" s="153"/>
      <c r="AX175" s="153"/>
      <c r="AY175" s="110"/>
      <c r="AZ175" s="110"/>
      <c r="BA175" s="110"/>
      <c r="BB175" s="110"/>
    </row>
    <row r="176" spans="2:84" x14ac:dyDescent="0.3">
      <c r="B176" s="125"/>
      <c r="D176" s="55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90"/>
      <c r="AV176" s="90"/>
      <c r="AW176" s="90"/>
      <c r="AX176" s="90"/>
      <c r="AY176" s="110"/>
      <c r="AZ176" s="154"/>
      <c r="BA176" s="110"/>
      <c r="BB176" s="110"/>
    </row>
    <row r="177" spans="2:54" x14ac:dyDescent="0.3">
      <c r="B177" s="1"/>
      <c r="D177" s="55"/>
      <c r="W177" s="61"/>
      <c r="X177" s="61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110"/>
    </row>
    <row r="178" spans="2:54" x14ac:dyDescent="0.3">
      <c r="B178" s="1"/>
      <c r="D178" s="55"/>
      <c r="W178" s="61"/>
      <c r="X178" s="61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110"/>
    </row>
    <row r="179" spans="2:54" x14ac:dyDescent="0.3">
      <c r="B179" s="1"/>
      <c r="D179" s="55"/>
      <c r="W179" s="61"/>
      <c r="X179" s="61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</row>
    <row r="180" spans="2:54" x14ac:dyDescent="0.3">
      <c r="B180" s="1"/>
      <c r="D180" s="55"/>
      <c r="W180" s="61"/>
      <c r="X180" s="61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</row>
    <row r="181" spans="2:54" x14ac:dyDescent="0.3">
      <c r="B181" s="55"/>
      <c r="D181" s="55"/>
      <c r="W181" s="61"/>
      <c r="X181" s="61"/>
      <c r="Y181" s="110"/>
      <c r="Z181" s="110"/>
      <c r="AA181" s="110"/>
      <c r="AB181" s="110"/>
      <c r="AC181" s="110"/>
      <c r="AD181" s="110"/>
      <c r="AE181" s="110"/>
      <c r="AF181" s="110"/>
      <c r="AG181" s="110"/>
      <c r="AH181" s="110"/>
      <c r="AI181" s="110"/>
      <c r="AJ181" s="110"/>
      <c r="AK181" s="110"/>
      <c r="AL181" s="110"/>
      <c r="AM181" s="110"/>
      <c r="AN181" s="110"/>
      <c r="AO181" s="110"/>
      <c r="AP181" s="110"/>
      <c r="AQ181" s="110"/>
    </row>
    <row r="182" spans="2:54" x14ac:dyDescent="0.3">
      <c r="B182" s="57"/>
      <c r="D182" s="55"/>
      <c r="W182" s="61"/>
      <c r="X182" s="61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110"/>
      <c r="AM182" s="110"/>
      <c r="AN182" s="110"/>
      <c r="AO182" s="110"/>
      <c r="AP182" s="110"/>
      <c r="AQ182" s="110"/>
    </row>
    <row r="183" spans="2:54" x14ac:dyDescent="0.3">
      <c r="B183" s="1"/>
      <c r="D183" s="55"/>
      <c r="W183" s="61"/>
      <c r="X183" s="61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  <c r="AO183" s="110"/>
      <c r="AP183" s="110"/>
      <c r="AQ183" s="110"/>
    </row>
    <row r="184" spans="2:54" x14ac:dyDescent="0.3">
      <c r="B184" s="1"/>
      <c r="D184" s="55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</row>
    <row r="185" spans="2:54" x14ac:dyDescent="0.3">
      <c r="B185" s="1"/>
      <c r="D185" s="55"/>
    </row>
    <row r="186" spans="2:54" x14ac:dyDescent="0.3">
      <c r="B186" s="1"/>
      <c r="D186" s="55"/>
    </row>
    <row r="187" spans="2:54" x14ac:dyDescent="0.3">
      <c r="B187" s="57" t="e">
        <f>+B186/B185</f>
        <v>#DIV/0!</v>
      </c>
      <c r="D187" s="55"/>
    </row>
    <row r="188" spans="2:54" x14ac:dyDescent="0.3">
      <c r="B188" s="1"/>
      <c r="D188" s="55"/>
    </row>
    <row r="189" spans="2:54" x14ac:dyDescent="0.3">
      <c r="B189" s="1"/>
      <c r="D189" s="55"/>
    </row>
    <row r="190" spans="2:54" x14ac:dyDescent="0.3">
      <c r="B190" s="1">
        <f>+B186*50</f>
        <v>0</v>
      </c>
      <c r="D190" s="55"/>
    </row>
    <row r="191" spans="2:54" x14ac:dyDescent="0.3">
      <c r="B191" s="1"/>
      <c r="D191" s="55"/>
    </row>
    <row r="192" spans="2:54" x14ac:dyDescent="0.3">
      <c r="B192" s="1"/>
      <c r="D192" s="55"/>
    </row>
    <row r="193" spans="2:4" x14ac:dyDescent="0.3">
      <c r="B193" s="1"/>
      <c r="D193" s="55"/>
    </row>
    <row r="194" spans="2:4" x14ac:dyDescent="0.3">
      <c r="B194" s="1"/>
      <c r="D194" s="55"/>
    </row>
    <row r="195" spans="2:4" x14ac:dyDescent="0.3">
      <c r="B195" s="1"/>
      <c r="D195" s="55"/>
    </row>
    <row r="196" spans="2:4" x14ac:dyDescent="0.3">
      <c r="B196" s="1"/>
      <c r="D196" s="55"/>
    </row>
    <row r="197" spans="2:4" x14ac:dyDescent="0.3">
      <c r="B197" s="1"/>
      <c r="D197" s="55"/>
    </row>
    <row r="198" spans="2:4" x14ac:dyDescent="0.3">
      <c r="B198" s="1"/>
      <c r="D198" s="55"/>
    </row>
    <row r="199" spans="2:4" x14ac:dyDescent="0.3">
      <c r="B199" s="1"/>
      <c r="D199" s="55"/>
    </row>
    <row r="200" spans="2:4" x14ac:dyDescent="0.3">
      <c r="B200" s="1"/>
    </row>
    <row r="201" spans="2:4" x14ac:dyDescent="0.3">
      <c r="B201" s="1"/>
    </row>
    <row r="202" spans="2:4" x14ac:dyDescent="0.3">
      <c r="B202" s="1"/>
    </row>
    <row r="203" spans="2:4" x14ac:dyDescent="0.3">
      <c r="B203" s="1"/>
    </row>
    <row r="204" spans="2:4" x14ac:dyDescent="0.3">
      <c r="B204" s="1"/>
    </row>
    <row r="205" spans="2:4" x14ac:dyDescent="0.3">
      <c r="B205" s="1"/>
    </row>
    <row r="206" spans="2:4" x14ac:dyDescent="0.3">
      <c r="B206" s="1"/>
    </row>
    <row r="207" spans="2:4" x14ac:dyDescent="0.3">
      <c r="B207" s="1"/>
    </row>
  </sheetData>
  <mergeCells count="28">
    <mergeCell ref="AJ154:AM154"/>
    <mergeCell ref="AJ155:AL155"/>
    <mergeCell ref="AJ152:AM152"/>
    <mergeCell ref="AJ147:AM147"/>
    <mergeCell ref="AJ146:AU146"/>
    <mergeCell ref="AJ148:AM148"/>
    <mergeCell ref="AJ149:AM149"/>
    <mergeCell ref="AJ150:AM150"/>
    <mergeCell ref="AJ151:AM151"/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42"/>
  <sheetViews>
    <sheetView topLeftCell="A91" workbookViewId="0">
      <selection activeCell="E126" sqref="E126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539" t="s">
        <v>7</v>
      </c>
      <c r="F7" s="540"/>
      <c r="G7" s="544">
        <v>0.7</v>
      </c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5"/>
    </row>
    <row r="8" spans="3:40" x14ac:dyDescent="0.3">
      <c r="E8" s="541" t="s">
        <v>123</v>
      </c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  <c r="U8" s="543"/>
    </row>
    <row r="9" spans="3:40" x14ac:dyDescent="0.3">
      <c r="E9" s="559" t="s">
        <v>37</v>
      </c>
      <c r="F9" s="560"/>
      <c r="G9" s="560"/>
      <c r="H9" s="560"/>
      <c r="I9" s="560"/>
      <c r="J9" s="560"/>
      <c r="K9" s="560"/>
      <c r="L9" s="560"/>
      <c r="M9" s="560"/>
      <c r="N9" s="560"/>
      <c r="O9" s="560"/>
      <c r="P9" s="561"/>
      <c r="Q9" s="557" t="s">
        <v>116</v>
      </c>
      <c r="R9" s="5"/>
      <c r="S9" s="554" t="s">
        <v>4</v>
      </c>
      <c r="T9" s="555"/>
      <c r="U9" s="556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79</v>
      </c>
      <c r="N10" s="119"/>
      <c r="O10" s="120" t="s">
        <v>15</v>
      </c>
      <c r="P10" s="372"/>
      <c r="Q10" s="558"/>
      <c r="R10" s="6"/>
      <c r="S10" s="4" t="s">
        <v>4</v>
      </c>
      <c r="T10" s="6"/>
      <c r="U10" s="284" t="s">
        <v>80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3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3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3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3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51" t="s">
        <v>48</v>
      </c>
      <c r="AE14" s="552"/>
      <c r="AF14" s="553"/>
      <c r="AG14" s="207"/>
      <c r="AH14" s="549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3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50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3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+K130</f>
        <v>623225</v>
      </c>
      <c r="AG16" s="201"/>
      <c r="AH16" s="215">
        <f>+AJ31</f>
        <v>1924.5863919316439</v>
      </c>
      <c r="AI16" s="215"/>
      <c r="AJ16" s="216">
        <f>+S130</f>
        <v>52216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3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111398</v>
      </c>
      <c r="AG17" s="202"/>
      <c r="AH17" s="163">
        <v>1616</v>
      </c>
      <c r="AI17" s="215"/>
      <c r="AJ17" s="162">
        <v>8310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4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90</v>
      </c>
      <c r="AE18" s="169"/>
      <c r="AF18" s="162">
        <v>99216</v>
      </c>
      <c r="AG18" s="202"/>
      <c r="AH18" s="163">
        <v>775</v>
      </c>
      <c r="AI18" s="215"/>
      <c r="AJ18" s="162">
        <v>6897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6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833839</v>
      </c>
      <c r="AG19" s="202"/>
      <c r="AH19" s="202"/>
      <c r="AI19" s="202"/>
      <c r="AJ19" s="220">
        <f>SUM(AJ16:AJ18)</f>
        <v>67423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6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6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Table'!H133</f>
        <v>0.24439468980794607</v>
      </c>
      <c r="AG21" s="202"/>
      <c r="AH21" s="202"/>
      <c r="AI21" s="202"/>
      <c r="AJ21" s="222">
        <f>+AJ19/'Main Table'!Z133</f>
        <v>0.49167213592941006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6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6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6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6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51" t="s">
        <v>133</v>
      </c>
      <c r="AB25" s="552"/>
      <c r="AC25" s="552"/>
      <c r="AD25" s="552"/>
      <c r="AE25" s="552"/>
      <c r="AF25" s="552"/>
      <c r="AG25" s="552"/>
      <c r="AH25" s="552"/>
      <c r="AI25" s="552"/>
      <c r="AJ25" s="552"/>
      <c r="AK25" s="553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6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6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+E130</f>
        <v>401029</v>
      </c>
      <c r="AE27" s="169"/>
      <c r="AF27" s="200">
        <v>2061</v>
      </c>
      <c r="AG27" s="169"/>
      <c r="AH27" s="191">
        <f>+AD27/AD$31</f>
        <v>0.54589769174120606</v>
      </c>
      <c r="AI27" s="191"/>
      <c r="AJ27" s="169">
        <f>+AF27*AH27</f>
        <v>1125.0951426786257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6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+G130</f>
        <v>174959</v>
      </c>
      <c r="AE28" s="169"/>
      <c r="AF28" s="200">
        <v>1970</v>
      </c>
      <c r="AG28" s="169"/>
      <c r="AH28" s="191">
        <f>+AD28/AD$31</f>
        <v>0.23816161486912335</v>
      </c>
      <c r="AI28" s="191"/>
      <c r="AJ28" s="169">
        <f>+AF28*AH28</f>
        <v>469.17838129217301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6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+I130</f>
        <v>47237</v>
      </c>
      <c r="AE29" s="169"/>
      <c r="AF29" s="200">
        <v>1326</v>
      </c>
      <c r="AG29" s="169"/>
      <c r="AH29" s="191">
        <f>+AD29/AD$31</f>
        <v>6.4301008816767244E-2</v>
      </c>
      <c r="AI29" s="191"/>
      <c r="AJ29" s="169">
        <f>+AF29*AH29</f>
        <v>85.263137691033364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6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105</v>
      </c>
      <c r="AC30" s="281"/>
      <c r="AD30" s="169">
        <f>+AF17</f>
        <v>111398</v>
      </c>
      <c r="AE30" s="281"/>
      <c r="AF30" s="169">
        <f>+AH17</f>
        <v>1616</v>
      </c>
      <c r="AG30" s="281"/>
      <c r="AH30" s="191">
        <f>+AD30/AD$31</f>
        <v>0.15163968457290339</v>
      </c>
      <c r="AI30" s="281"/>
      <c r="AJ30" s="169">
        <f>+AF30*AH30</f>
        <v>245.04973026981187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6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734623</v>
      </c>
      <c r="AE31" s="169"/>
      <c r="AF31" s="169"/>
      <c r="AG31" s="169"/>
      <c r="AH31" s="194">
        <f>SUM(AH27:AH30)</f>
        <v>1</v>
      </c>
      <c r="AI31" s="191"/>
      <c r="AJ31" s="193">
        <f>SUM(AJ27:AJ30)</f>
        <v>1924.5863919316439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6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6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6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6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6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46" t="s">
        <v>31</v>
      </c>
      <c r="AB36" s="547"/>
      <c r="AC36" s="547"/>
      <c r="AD36" s="547"/>
      <c r="AE36" s="547"/>
      <c r="AF36" s="547"/>
      <c r="AG36" s="547"/>
      <c r="AH36" s="547"/>
      <c r="AI36" s="548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6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6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6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3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6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6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6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6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6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6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5">
        <f t="shared" si="7"/>
        <v>3.2693995363489254E-3</v>
      </c>
      <c r="N46" s="29"/>
      <c r="O46" s="29"/>
      <c r="P46" s="29"/>
      <c r="Q46" s="376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6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6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6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Table'!Z133</f>
        <v>137130</v>
      </c>
      <c r="AJ49" s="56">
        <f>+AJ19</f>
        <v>67423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6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67423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6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69707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6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6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29276.94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6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6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40430.06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6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6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0.29483016116094213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6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6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6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6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6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6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6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6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6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6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6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6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6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6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6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6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6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6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6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6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6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6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6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6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6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6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6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6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6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6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6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6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6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6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5">
        <f t="shared" si="13"/>
        <v>1.8182158671680947E-3</v>
      </c>
      <c r="N92" s="29"/>
      <c r="O92" s="29"/>
      <c r="P92" s="29"/>
      <c r="Q92" s="376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5">
        <f t="shared" si="13"/>
        <v>2.3655084398690133E-3</v>
      </c>
      <c r="N93" s="29"/>
      <c r="O93" s="29"/>
      <c r="P93" s="29"/>
      <c r="Q93" s="376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5">
        <f t="shared" si="13"/>
        <v>2.237860876258161E-3</v>
      </c>
      <c r="N94" s="29"/>
      <c r="O94" s="29"/>
      <c r="P94" s="29"/>
      <c r="Q94" s="376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5">
        <f t="shared" si="13"/>
        <v>2.3648060030211325E-3</v>
      </c>
      <c r="N95" s="29"/>
      <c r="O95" s="29"/>
      <c r="P95" s="29"/>
      <c r="Q95" s="376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5">
        <f t="shared" si="13"/>
        <v>2.804746129973488E-3</v>
      </c>
      <c r="N96" s="29"/>
      <c r="O96" s="29"/>
      <c r="P96" s="29"/>
      <c r="Q96" s="376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5">
        <f t="shared" si="13"/>
        <v>1.7905554929160308E-3</v>
      </c>
      <c r="N97" s="29"/>
      <c r="O97" s="29"/>
      <c r="P97" s="29"/>
      <c r="Q97" s="376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28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:K109" si="16">SUM(E98:I98)</f>
        <v>596285</v>
      </c>
      <c r="L98" s="6"/>
      <c r="M98" s="475">
        <f t="shared" ref="M98:M109" si="17">+(K98-K97)/K97</f>
        <v>1.6664062906837473E-3</v>
      </c>
      <c r="N98" s="29"/>
      <c r="O98" s="29"/>
      <c r="P98" s="29"/>
      <c r="Q98" s="376">
        <f t="shared" ref="Q98:Q109" si="18">+K98-K97</f>
        <v>992</v>
      </c>
      <c r="R98" s="6"/>
      <c r="S98" s="7">
        <f>30856+12708+4204</f>
        <v>47768</v>
      </c>
      <c r="T98" s="6"/>
      <c r="U98" s="287">
        <f t="shared" ref="U98:U109" si="19">+S98/K98</f>
        <v>8.0109343686324497E-2</v>
      </c>
      <c r="W98">
        <f t="shared" ref="W98:W128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si="16"/>
        <v>597250</v>
      </c>
      <c r="L99" s="6"/>
      <c r="M99" s="475">
        <f t="shared" si="17"/>
        <v>1.6183536396186388E-3</v>
      </c>
      <c r="N99" s="29"/>
      <c r="O99" s="29"/>
      <c r="P99" s="29"/>
      <c r="Q99" s="376">
        <f t="shared" si="18"/>
        <v>965</v>
      </c>
      <c r="R99" s="6"/>
      <c r="S99" s="7">
        <f>30882+12792+4210</f>
        <v>47884</v>
      </c>
      <c r="T99" s="6"/>
      <c r="U99" s="287">
        <f t="shared" si="19"/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si="16"/>
        <v>598174</v>
      </c>
      <c r="L100" s="6"/>
      <c r="M100" s="475">
        <f t="shared" si="17"/>
        <v>1.5470908329845124E-3</v>
      </c>
      <c r="N100" s="29"/>
      <c r="O100" s="29"/>
      <c r="P100" s="29"/>
      <c r="Q100" s="376">
        <f t="shared" si="18"/>
        <v>924</v>
      </c>
      <c r="R100" s="6"/>
      <c r="S100" s="7">
        <f>30939+12835+4219</f>
        <v>47993</v>
      </c>
      <c r="T100" s="6"/>
      <c r="U100" s="287">
        <f t="shared" si="19"/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si="16"/>
        <v>599067</v>
      </c>
      <c r="L101" s="6"/>
      <c r="M101" s="475">
        <f t="shared" si="17"/>
        <v>1.4928766546188901E-3</v>
      </c>
      <c r="N101" s="29"/>
      <c r="O101" s="29"/>
      <c r="P101" s="29"/>
      <c r="Q101" s="376">
        <f t="shared" si="18"/>
        <v>893</v>
      </c>
      <c r="R101" s="6"/>
      <c r="S101" s="7">
        <f>30974+12869+4226</f>
        <v>48069</v>
      </c>
      <c r="T101" s="6"/>
      <c r="U101" s="287">
        <f t="shared" si="19"/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si="16"/>
        <v>600609</v>
      </c>
      <c r="L102" s="6"/>
      <c r="M102" s="475">
        <f t="shared" si="17"/>
        <v>2.5740025740025739E-3</v>
      </c>
      <c r="N102" s="29"/>
      <c r="O102" s="29"/>
      <c r="P102" s="29"/>
      <c r="Q102" s="376">
        <f t="shared" si="18"/>
        <v>1542</v>
      </c>
      <c r="R102" s="6"/>
      <c r="S102" s="7">
        <f>31015+12902+4238</f>
        <v>48155</v>
      </c>
      <c r="T102" s="6"/>
      <c r="U102" s="287">
        <f t="shared" si="19"/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si="16"/>
        <v>601821</v>
      </c>
      <c r="L103" s="6"/>
      <c r="M103" s="475">
        <f t="shared" si="17"/>
        <v>2.0179517789443713E-3</v>
      </c>
      <c r="N103" s="29"/>
      <c r="O103" s="29"/>
      <c r="P103" s="29"/>
      <c r="Q103" s="376">
        <f t="shared" si="18"/>
        <v>1212</v>
      </c>
      <c r="R103" s="6"/>
      <c r="S103" s="7">
        <f>31083+12924+4251</f>
        <v>48258</v>
      </c>
      <c r="T103" s="6"/>
      <c r="U103" s="287">
        <f t="shared" si="19"/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si="16"/>
        <v>602833</v>
      </c>
      <c r="L104" s="6"/>
      <c r="M104" s="475">
        <f t="shared" si="17"/>
        <v>1.6815631225896072E-3</v>
      </c>
      <c r="N104" s="29"/>
      <c r="O104" s="29"/>
      <c r="P104" s="29"/>
      <c r="Q104" s="376">
        <f t="shared" si="18"/>
        <v>1012</v>
      </c>
      <c r="R104" s="6"/>
      <c r="S104" s="7">
        <f>31083+12924+4251</f>
        <v>48258</v>
      </c>
      <c r="T104" s="6"/>
      <c r="U104" s="287">
        <f t="shared" si="19"/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si="16"/>
        <v>603685</v>
      </c>
      <c r="L105" s="6"/>
      <c r="M105" s="475">
        <f t="shared" si="17"/>
        <v>1.4133267422320941E-3</v>
      </c>
      <c r="N105" s="29"/>
      <c r="O105" s="29"/>
      <c r="P105" s="29"/>
      <c r="Q105" s="376">
        <f t="shared" si="18"/>
        <v>852</v>
      </c>
      <c r="R105" s="6"/>
      <c r="S105" s="7">
        <f>31125+12939+4260</f>
        <v>48324</v>
      </c>
      <c r="T105" s="6"/>
      <c r="U105" s="287">
        <f t="shared" si="19"/>
        <v>8.0048369596726773E-2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>
        <v>389085</v>
      </c>
      <c r="F106" s="7"/>
      <c r="G106" s="7">
        <v>169734</v>
      </c>
      <c r="H106" s="7"/>
      <c r="I106" s="7">
        <v>45899</v>
      </c>
      <c r="J106" s="288"/>
      <c r="K106" s="7">
        <f t="shared" si="16"/>
        <v>604718</v>
      </c>
      <c r="L106" s="6"/>
      <c r="M106" s="475">
        <f t="shared" si="17"/>
        <v>1.7111573088614096E-3</v>
      </c>
      <c r="N106" s="29"/>
      <c r="O106" s="29"/>
      <c r="P106" s="29"/>
      <c r="Q106" s="376">
        <f t="shared" si="18"/>
        <v>1033</v>
      </c>
      <c r="R106" s="6"/>
      <c r="S106" s="7">
        <f>31232+13025+4277</f>
        <v>48534</v>
      </c>
      <c r="T106" s="6"/>
      <c r="U106" s="287">
        <f t="shared" si="19"/>
        <v>8.025889753571086E-2</v>
      </c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>
        <v>389666</v>
      </c>
      <c r="F107" s="7"/>
      <c r="G107" s="7">
        <v>169892</v>
      </c>
      <c r="H107" s="7"/>
      <c r="I107" s="7">
        <v>45913</v>
      </c>
      <c r="J107" s="288"/>
      <c r="K107" s="7">
        <f t="shared" si="16"/>
        <v>605471</v>
      </c>
      <c r="L107" s="6"/>
      <c r="M107" s="475">
        <f t="shared" si="17"/>
        <v>1.2452085104131183E-3</v>
      </c>
      <c r="N107" s="29"/>
      <c r="O107" s="29"/>
      <c r="P107" s="29"/>
      <c r="Q107" s="376">
        <f t="shared" si="18"/>
        <v>753</v>
      </c>
      <c r="R107" s="6"/>
      <c r="S107" s="7">
        <f>31257+13076+4287</f>
        <v>48620</v>
      </c>
      <c r="T107" s="6"/>
      <c r="U107" s="287">
        <f t="shared" si="19"/>
        <v>8.0301120945511839E-2</v>
      </c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>
        <v>390415</v>
      </c>
      <c r="F108" s="7"/>
      <c r="G108" s="7">
        <v>170186</v>
      </c>
      <c r="H108" s="7"/>
      <c r="I108" s="7">
        <v>45994</v>
      </c>
      <c r="J108" s="288"/>
      <c r="K108" s="7">
        <f t="shared" si="16"/>
        <v>606595</v>
      </c>
      <c r="L108" s="6"/>
      <c r="M108" s="475">
        <f t="shared" si="17"/>
        <v>1.8564060045815573E-3</v>
      </c>
      <c r="N108" s="29"/>
      <c r="O108" s="29"/>
      <c r="P108" s="29"/>
      <c r="Q108" s="376">
        <f t="shared" si="18"/>
        <v>1124</v>
      </c>
      <c r="R108" s="6"/>
      <c r="S108" s="7">
        <f>31301+14872+4208</f>
        <v>50381</v>
      </c>
      <c r="T108" s="6"/>
      <c r="U108" s="287">
        <f t="shared" si="19"/>
        <v>8.30554158870416E-2</v>
      </c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>
        <v>391220</v>
      </c>
      <c r="F109" s="7"/>
      <c r="G109" s="7">
        <v>170584</v>
      </c>
      <c r="H109" s="7"/>
      <c r="I109" s="7">
        <v>46059</v>
      </c>
      <c r="J109" s="288"/>
      <c r="K109" s="7">
        <f t="shared" si="16"/>
        <v>607863</v>
      </c>
      <c r="L109" s="6"/>
      <c r="M109" s="475">
        <f t="shared" si="17"/>
        <v>2.0903568278670282E-3</v>
      </c>
      <c r="N109" s="29"/>
      <c r="O109" s="29"/>
      <c r="P109" s="29"/>
      <c r="Q109" s="376">
        <f t="shared" si="18"/>
        <v>1268</v>
      </c>
      <c r="R109" s="6"/>
      <c r="S109" s="7">
        <f>31342+14915+4307</f>
        <v>50564</v>
      </c>
      <c r="T109" s="6"/>
      <c r="U109" s="287">
        <f t="shared" si="19"/>
        <v>8.3183217270996923E-2</v>
      </c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>
        <v>391323</v>
      </c>
      <c r="F110" s="7"/>
      <c r="G110" s="7">
        <v>170873</v>
      </c>
      <c r="H110" s="7"/>
      <c r="I110" s="7">
        <v>46206</v>
      </c>
      <c r="J110" s="288"/>
      <c r="K110" s="7">
        <f t="shared" ref="K110" si="21">SUM(E110:I110)</f>
        <v>608402</v>
      </c>
      <c r="L110" s="6"/>
      <c r="M110" s="475">
        <f t="shared" ref="M110" si="22">+(K110-K109)/K109</f>
        <v>8.8671295999262988E-4</v>
      </c>
      <c r="N110" s="29"/>
      <c r="O110" s="29"/>
      <c r="P110" s="29"/>
      <c r="Q110" s="376">
        <f t="shared" ref="Q110" si="23">+K110-K109</f>
        <v>539</v>
      </c>
      <c r="R110" s="6"/>
      <c r="S110" s="7">
        <f>31368+14984+4311</f>
        <v>50663</v>
      </c>
      <c r="T110" s="6"/>
      <c r="U110" s="287">
        <f t="shared" ref="U110" si="24">+S110/K110</f>
        <v>8.3272244338447279E-2</v>
      </c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>
        <v>392539</v>
      </c>
      <c r="F111" s="7"/>
      <c r="G111" s="7">
        <v>171182</v>
      </c>
      <c r="H111" s="7"/>
      <c r="I111" s="7">
        <v>46303</v>
      </c>
      <c r="J111" s="288"/>
      <c r="K111" s="7">
        <f t="shared" ref="K111" si="25">SUM(E111:I111)</f>
        <v>610024</v>
      </c>
      <c r="L111" s="6"/>
      <c r="M111" s="482">
        <f t="shared" ref="M111" si="26">+(K111-K110)/K110</f>
        <v>2.6660004404982234E-3</v>
      </c>
      <c r="N111" s="29"/>
      <c r="O111" s="29"/>
      <c r="P111" s="29"/>
      <c r="Q111" s="376">
        <f t="shared" ref="Q111" si="27">+K111-K110</f>
        <v>1622</v>
      </c>
      <c r="R111" s="6"/>
      <c r="S111" s="7">
        <f>31397+14975+4316</f>
        <v>50688</v>
      </c>
      <c r="T111" s="6"/>
      <c r="U111" s="287">
        <f t="shared" ref="U111" si="28">+S111/K111</f>
        <v>8.3091812781136476E-2</v>
      </c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>
        <v>393069</v>
      </c>
      <c r="F112" s="7"/>
      <c r="G112" s="7">
        <v>171272</v>
      </c>
      <c r="H112" s="7"/>
      <c r="I112" s="7">
        <v>46362</v>
      </c>
      <c r="J112" s="288"/>
      <c r="K112" s="7">
        <f t="shared" ref="K112" si="29">SUM(E112:I112)</f>
        <v>610703</v>
      </c>
      <c r="L112" s="6"/>
      <c r="M112" s="482">
        <f t="shared" ref="M112" si="30">+(K112-K111)/K111</f>
        <v>1.1130709611425124E-3</v>
      </c>
      <c r="N112" s="29"/>
      <c r="O112" s="29"/>
      <c r="P112" s="29"/>
      <c r="Q112" s="376">
        <f t="shared" ref="Q112" si="31">+K112-K111</f>
        <v>679</v>
      </c>
      <c r="R112" s="6"/>
      <c r="S112" s="7">
        <f>31403+14992+4320</f>
        <v>50715</v>
      </c>
      <c r="T112" s="6"/>
      <c r="U112" s="287">
        <f t="shared" ref="U112" si="32">+S112/K112</f>
        <v>8.3043639870771888E-2</v>
      </c>
      <c r="W112">
        <f t="shared" si="20"/>
        <v>102</v>
      </c>
      <c r="Y112" s="56"/>
    </row>
    <row r="113" spans="3:25" x14ac:dyDescent="0.3">
      <c r="C113" s="171">
        <f t="shared" si="15"/>
        <v>44012</v>
      </c>
      <c r="E113" s="285">
        <v>393254</v>
      </c>
      <c r="F113" s="7"/>
      <c r="G113" s="7">
        <v>171617</v>
      </c>
      <c r="H113" s="7"/>
      <c r="I113" s="7">
        <v>46474</v>
      </c>
      <c r="J113" s="288"/>
      <c r="K113" s="7">
        <f t="shared" ref="K113" si="33">SUM(E113:I113)</f>
        <v>611345</v>
      </c>
      <c r="L113" s="6"/>
      <c r="M113" s="482">
        <f t="shared" ref="M113" si="34">+(K113-K112)/K112</f>
        <v>1.0512474967373667E-3</v>
      </c>
      <c r="N113" s="29"/>
      <c r="O113" s="29"/>
      <c r="P113" s="29"/>
      <c r="Q113" s="376">
        <f t="shared" ref="Q113" si="35">+K113-K112</f>
        <v>642</v>
      </c>
      <c r="R113" s="6"/>
      <c r="S113" s="7">
        <f>32032+15035+4322</f>
        <v>51389</v>
      </c>
      <c r="T113" s="6"/>
      <c r="U113" s="287">
        <f t="shared" ref="U113" si="36">+S113/K113</f>
        <v>8.4058919268170995E-2</v>
      </c>
      <c r="W113">
        <f t="shared" si="20"/>
        <v>103</v>
      </c>
      <c r="Y113" s="56"/>
    </row>
    <row r="114" spans="3:25" x14ac:dyDescent="0.3">
      <c r="C114" s="171">
        <f t="shared" si="15"/>
        <v>44013</v>
      </c>
      <c r="E114" s="285">
        <v>394079</v>
      </c>
      <c r="F114" s="7"/>
      <c r="G114" s="7">
        <v>171928</v>
      </c>
      <c r="H114" s="7"/>
      <c r="I114" s="7">
        <v>46572</v>
      </c>
      <c r="J114" s="288"/>
      <c r="K114" s="7">
        <f t="shared" ref="K114:K115" si="37">SUM(E114:I114)</f>
        <v>612579</v>
      </c>
      <c r="L114" s="6"/>
      <c r="M114" s="482">
        <f t="shared" ref="M114" si="38">+(K114-K113)/K113</f>
        <v>2.0185001921991675E-3</v>
      </c>
      <c r="N114" s="29"/>
      <c r="O114" s="29"/>
      <c r="P114" s="29"/>
      <c r="Q114" s="376">
        <f t="shared" ref="Q114" si="39">+K114-K113</f>
        <v>1234</v>
      </c>
      <c r="R114" s="6"/>
      <c r="S114" s="7">
        <f>32043+15078+4324</f>
        <v>51445</v>
      </c>
      <c r="T114" s="6"/>
      <c r="U114" s="287">
        <f t="shared" ref="U114" si="40">+S114/K114</f>
        <v>8.3981004898959974E-2</v>
      </c>
      <c r="W114">
        <f t="shared" si="20"/>
        <v>104</v>
      </c>
      <c r="Y114" s="56"/>
    </row>
    <row r="115" spans="3:25" x14ac:dyDescent="0.3">
      <c r="C115" s="171">
        <f t="shared" si="15"/>
        <v>44014</v>
      </c>
      <c r="E115" s="285">
        <v>394954</v>
      </c>
      <c r="F115" s="7"/>
      <c r="G115" s="7">
        <v>172356</v>
      </c>
      <c r="H115" s="7"/>
      <c r="I115" s="7">
        <v>46646</v>
      </c>
      <c r="J115" s="288"/>
      <c r="K115" s="7">
        <f t="shared" si="37"/>
        <v>613956</v>
      </c>
      <c r="L115" s="6"/>
      <c r="M115" s="482">
        <f t="shared" ref="M115" si="41">+(K115-K114)/K114</f>
        <v>2.2478733355208065E-3</v>
      </c>
      <c r="N115" s="29"/>
      <c r="O115" s="29"/>
      <c r="P115" s="29"/>
      <c r="Q115" s="376">
        <f t="shared" ref="Q115" si="42">+K115-K114</f>
        <v>1377</v>
      </c>
      <c r="R115" s="6"/>
      <c r="S115" s="7">
        <f>32064+15107+4328</f>
        <v>51499</v>
      </c>
      <c r="T115" s="6"/>
      <c r="U115" s="287">
        <f t="shared" ref="U115" si="43">+S115/K115</f>
        <v>8.3880603821772245E-2</v>
      </c>
      <c r="W115">
        <f t="shared" si="20"/>
        <v>105</v>
      </c>
      <c r="Y115" s="56"/>
    </row>
    <row r="116" spans="3:25" x14ac:dyDescent="0.3">
      <c r="C116" s="171">
        <f t="shared" si="15"/>
        <v>44015</v>
      </c>
      <c r="E116" s="285">
        <v>395872</v>
      </c>
      <c r="F116" s="7"/>
      <c r="G116" s="7">
        <v>172742</v>
      </c>
      <c r="H116" s="7"/>
      <c r="I116" s="7">
        <v>46717</v>
      </c>
      <c r="J116" s="288"/>
      <c r="K116" s="7">
        <f t="shared" ref="K116" si="44">SUM(E116:I116)</f>
        <v>615331</v>
      </c>
      <c r="L116" s="6"/>
      <c r="M116" s="482">
        <f t="shared" ref="M116" si="45">+(K116-K115)/K115</f>
        <v>2.2395741714389956E-3</v>
      </c>
      <c r="N116" s="29"/>
      <c r="O116" s="29"/>
      <c r="P116" s="29"/>
      <c r="Q116" s="376">
        <f t="shared" ref="Q116" si="46">+K116-K115</f>
        <v>1375</v>
      </c>
      <c r="R116" s="6"/>
      <c r="S116" s="7">
        <f>32081+15164+4335</f>
        <v>51580</v>
      </c>
      <c r="T116" s="6"/>
      <c r="U116" s="287">
        <f t="shared" ref="U116" si="47">+S116/K116</f>
        <v>8.3824803235981932E-2</v>
      </c>
      <c r="W116">
        <f t="shared" si="20"/>
        <v>106</v>
      </c>
      <c r="Y116" s="56"/>
    </row>
    <row r="117" spans="3:25" x14ac:dyDescent="0.3">
      <c r="C117" s="171">
        <f t="shared" si="15"/>
        <v>44016</v>
      </c>
      <c r="E117" s="285">
        <v>395598</v>
      </c>
      <c r="F117" s="7"/>
      <c r="G117" s="7">
        <v>173033</v>
      </c>
      <c r="H117" s="7"/>
      <c r="I117" s="7">
        <v>46717</v>
      </c>
      <c r="J117" s="288"/>
      <c r="K117" s="7">
        <f t="shared" ref="K117" si="48">SUM(E117:I117)</f>
        <v>615348</v>
      </c>
      <c r="L117" s="6"/>
      <c r="M117" s="482">
        <f t="shared" ref="M117" si="49">+(K117-K116)/K116</f>
        <v>2.7627407037838173E-5</v>
      </c>
      <c r="N117" s="29"/>
      <c r="O117" s="29"/>
      <c r="P117" s="29"/>
      <c r="Q117" s="376">
        <f t="shared" ref="Q117" si="50">+K117-K116</f>
        <v>17</v>
      </c>
      <c r="R117" s="6"/>
      <c r="S117" s="7">
        <f>32157+15189+4355</f>
        <v>51701</v>
      </c>
      <c r="T117" s="6"/>
      <c r="U117" s="287">
        <f t="shared" ref="U117" si="51">+S117/K117</f>
        <v>8.4019124137886203E-2</v>
      </c>
      <c r="W117">
        <f t="shared" si="20"/>
        <v>107</v>
      </c>
      <c r="Y117" s="56"/>
    </row>
    <row r="118" spans="3:25" x14ac:dyDescent="0.3">
      <c r="C118" s="171">
        <f t="shared" si="15"/>
        <v>44017</v>
      </c>
      <c r="E118" s="285">
        <v>397131</v>
      </c>
      <c r="F118" s="7"/>
      <c r="G118" s="7">
        <v>173402</v>
      </c>
      <c r="H118" s="7"/>
      <c r="I118" s="7">
        <v>46717</v>
      </c>
      <c r="J118" s="288"/>
      <c r="K118" s="7">
        <f t="shared" ref="K118" si="52">SUM(E118:I118)</f>
        <v>617250</v>
      </c>
      <c r="L118" s="6"/>
      <c r="M118" s="482">
        <f t="shared" ref="M118" si="53">+(K118-K117)/K117</f>
        <v>3.0909339105676787E-3</v>
      </c>
      <c r="N118" s="29"/>
      <c r="O118" s="29"/>
      <c r="P118" s="29"/>
      <c r="Q118" s="376">
        <f t="shared" ref="Q118" si="54">+K118-K117</f>
        <v>1902</v>
      </c>
      <c r="R118" s="6"/>
      <c r="S118" s="7">
        <f>32189+15211+4335</f>
        <v>51735</v>
      </c>
      <c r="T118" s="6"/>
      <c r="U118" s="287">
        <f t="shared" ref="U118" si="55">+S118/K118</f>
        <v>8.3815309842041316E-2</v>
      </c>
      <c r="W118">
        <f t="shared" si="20"/>
        <v>108</v>
      </c>
      <c r="Y118" s="56"/>
    </row>
    <row r="119" spans="3:25" x14ac:dyDescent="0.3">
      <c r="C119" s="171">
        <f t="shared" si="15"/>
        <v>44018</v>
      </c>
      <c r="E119" s="285">
        <v>397649</v>
      </c>
      <c r="F119" s="7"/>
      <c r="G119" s="7">
        <v>173611</v>
      </c>
      <c r="H119" s="7"/>
      <c r="I119" s="7">
        <v>46976</v>
      </c>
      <c r="J119" s="288"/>
      <c r="K119" s="7">
        <f t="shared" ref="K119" si="56">SUM(E119:I119)</f>
        <v>618236</v>
      </c>
      <c r="L119" s="6"/>
      <c r="M119" s="482">
        <f t="shared" ref="M119" si="57">+(K119-K118)/K118</f>
        <v>1.5974078574321588E-3</v>
      </c>
      <c r="N119" s="29"/>
      <c r="O119" s="29"/>
      <c r="P119" s="29"/>
      <c r="Q119" s="376">
        <f t="shared" ref="Q119" si="58">+K119-K118</f>
        <v>986</v>
      </c>
      <c r="R119" s="6"/>
      <c r="S119" s="7">
        <f>32219+15229+4388</f>
        <v>51836</v>
      </c>
      <c r="T119" s="6"/>
      <c r="U119" s="287">
        <f t="shared" ref="U119" si="59">+S119/K119</f>
        <v>8.3845004173163651E-2</v>
      </c>
      <c r="W119">
        <f t="shared" si="20"/>
        <v>109</v>
      </c>
      <c r="Y119" s="56"/>
    </row>
    <row r="120" spans="3:25" x14ac:dyDescent="0.3">
      <c r="C120" s="171">
        <f t="shared" si="15"/>
        <v>44019</v>
      </c>
      <c r="E120" s="285">
        <v>398237</v>
      </c>
      <c r="F120" s="7"/>
      <c r="G120" s="7">
        <v>173878</v>
      </c>
      <c r="H120" s="7"/>
      <c r="I120" s="7">
        <v>47033</v>
      </c>
      <c r="J120" s="288"/>
      <c r="K120" s="7">
        <f t="shared" ref="K120" si="60">SUM(E120:I120)</f>
        <v>619148</v>
      </c>
      <c r="L120" s="6"/>
      <c r="M120" s="482">
        <f t="shared" ref="M120" si="61">+(K120-K119)/K119</f>
        <v>1.4751648237889738E-3</v>
      </c>
      <c r="N120" s="29"/>
      <c r="O120" s="29"/>
      <c r="P120" s="29"/>
      <c r="Q120" s="376">
        <f t="shared" ref="Q120" si="62">+K120-K119</f>
        <v>912</v>
      </c>
      <c r="R120" s="6"/>
      <c r="S120" s="7">
        <f>32243+15281+4338</f>
        <v>51862</v>
      </c>
      <c r="T120" s="6"/>
      <c r="U120" s="287">
        <f t="shared" ref="U120" si="63">+S120/K120</f>
        <v>8.3763494350300741E-2</v>
      </c>
      <c r="W120">
        <f t="shared" si="20"/>
        <v>110</v>
      </c>
      <c r="Y120" s="56"/>
    </row>
    <row r="121" spans="3:25" x14ac:dyDescent="0.3">
      <c r="C121" s="171">
        <f t="shared" si="15"/>
        <v>44020</v>
      </c>
      <c r="E121" s="285">
        <f>398909</f>
        <v>398909</v>
      </c>
      <c r="F121" s="7"/>
      <c r="G121" s="7">
        <v>174039</v>
      </c>
      <c r="H121" s="7"/>
      <c r="I121" s="7">
        <v>47108</v>
      </c>
      <c r="J121" s="288"/>
      <c r="K121" s="7">
        <f t="shared" ref="K121" si="64">SUM(E121:I121)</f>
        <v>620056</v>
      </c>
      <c r="L121" s="6"/>
      <c r="M121" s="482">
        <f t="shared" ref="M121" si="65">+(K121-K120)/K120</f>
        <v>1.4665314270578278E-3</v>
      </c>
      <c r="N121" s="29"/>
      <c r="O121" s="29"/>
      <c r="P121" s="29"/>
      <c r="Q121" s="376">
        <f t="shared" ref="Q121" si="66">+K121-K120</f>
        <v>908</v>
      </c>
      <c r="R121" s="6"/>
      <c r="S121" s="7">
        <f>32251+15332+4343</f>
        <v>51926</v>
      </c>
      <c r="T121" s="6"/>
      <c r="U121" s="287">
        <f t="shared" ref="U121" si="67">+S121/K121</f>
        <v>8.3744048924613262E-2</v>
      </c>
      <c r="W121">
        <f t="shared" si="20"/>
        <v>111</v>
      </c>
      <c r="Y121" s="56"/>
    </row>
    <row r="122" spans="3:25" x14ac:dyDescent="0.3">
      <c r="C122" s="171">
        <f t="shared" si="15"/>
        <v>44021</v>
      </c>
      <c r="E122" s="285">
        <v>399477</v>
      </c>
      <c r="F122" s="7"/>
      <c r="G122" s="7">
        <v>174270</v>
      </c>
      <c r="H122" s="7"/>
      <c r="I122" s="7">
        <v>47209</v>
      </c>
      <c r="J122" s="288"/>
      <c r="K122" s="7">
        <f t="shared" ref="K122" si="68">SUM(E122:I122)</f>
        <v>620956</v>
      </c>
      <c r="L122" s="6"/>
      <c r="M122" s="482">
        <f t="shared" ref="M122" si="69">+(K122-K121)/K121</f>
        <v>1.4514818016437224E-3</v>
      </c>
      <c r="N122" s="29"/>
      <c r="O122" s="29"/>
      <c r="P122" s="29"/>
      <c r="Q122" s="376">
        <f t="shared" ref="Q122" si="70">+K122-K121</f>
        <v>900</v>
      </c>
      <c r="R122" s="6"/>
      <c r="S122" s="7">
        <f>32283+15448+4348</f>
        <v>52079</v>
      </c>
      <c r="T122" s="6"/>
      <c r="U122" s="287">
        <f t="shared" ref="U122" si="71">+S122/K122</f>
        <v>8.3869066407281673E-2</v>
      </c>
      <c r="W122">
        <f t="shared" si="20"/>
        <v>112</v>
      </c>
      <c r="Y122" s="56"/>
    </row>
    <row r="123" spans="3:25" x14ac:dyDescent="0.3">
      <c r="C123" s="171">
        <f t="shared" si="15"/>
        <v>44022</v>
      </c>
      <c r="E123" s="285">
        <v>400299</v>
      </c>
      <c r="F123" s="7"/>
      <c r="G123" s="7">
        <v>174628</v>
      </c>
      <c r="H123" s="7"/>
      <c r="I123" s="7">
        <v>47287</v>
      </c>
      <c r="J123" s="288"/>
      <c r="K123" s="7">
        <f t="shared" ref="K123" si="72">SUM(E123:I123)</f>
        <v>622214</v>
      </c>
      <c r="L123" s="6"/>
      <c r="M123" s="482">
        <f t="shared" ref="M123" si="73">+(K123-K122)/K122</f>
        <v>2.0259084379569566E-3</v>
      </c>
      <c r="N123" s="29"/>
      <c r="O123" s="29"/>
      <c r="P123" s="29"/>
      <c r="Q123" s="376">
        <f t="shared" ref="Q123" si="74">+K123-K122</f>
        <v>1258</v>
      </c>
      <c r="R123" s="6"/>
      <c r="S123" s="7">
        <f>32307+15479+4348</f>
        <v>52134</v>
      </c>
      <c r="T123" s="6"/>
      <c r="U123" s="287">
        <f t="shared" ref="U123" si="75">+S123/K123</f>
        <v>8.378789291144205E-2</v>
      </c>
      <c r="W123">
        <f t="shared" si="20"/>
        <v>113</v>
      </c>
      <c r="Y123" s="56"/>
    </row>
    <row r="124" spans="3:25" x14ac:dyDescent="0.3">
      <c r="C124" s="171">
        <f t="shared" si="15"/>
        <v>44023</v>
      </c>
      <c r="E124" s="285">
        <v>401029</v>
      </c>
      <c r="F124" s="7"/>
      <c r="G124" s="7">
        <v>174959</v>
      </c>
      <c r="H124" s="7"/>
      <c r="I124" s="7">
        <v>47237</v>
      </c>
      <c r="J124" s="288"/>
      <c r="K124" s="7">
        <f t="shared" ref="K124" si="76">SUM(E124:I124)</f>
        <v>623225</v>
      </c>
      <c r="L124" s="6"/>
      <c r="M124" s="482">
        <f t="shared" ref="M124" si="77">+(K124-K123)/K123</f>
        <v>1.6248428997097462E-3</v>
      </c>
      <c r="N124" s="29"/>
      <c r="O124" s="29"/>
      <c r="P124" s="29"/>
      <c r="Q124" s="376">
        <f t="shared" ref="Q124" si="78">+K124-K123</f>
        <v>1011</v>
      </c>
      <c r="R124" s="6"/>
      <c r="S124" s="7">
        <f>32343+15525+4348</f>
        <v>52216</v>
      </c>
      <c r="T124" s="6"/>
      <c r="U124" s="287">
        <f t="shared" ref="U124" si="79">+S124/K124</f>
        <v>8.3783545268562715E-2</v>
      </c>
      <c r="W124">
        <f t="shared" si="20"/>
        <v>114</v>
      </c>
      <c r="Y124" s="56"/>
    </row>
    <row r="125" spans="3:25" x14ac:dyDescent="0.3">
      <c r="C125" s="171">
        <f t="shared" si="15"/>
        <v>44024</v>
      </c>
      <c r="E125" s="285">
        <v>401556</v>
      </c>
      <c r="F125" s="7"/>
      <c r="G125" s="7">
        <v>175298</v>
      </c>
      <c r="H125" s="7"/>
      <c r="I125" s="7">
        <v>47287</v>
      </c>
      <c r="J125" s="288"/>
      <c r="K125" s="7">
        <f t="shared" ref="K125" si="80">SUM(E125:I125)</f>
        <v>624141</v>
      </c>
      <c r="L125" s="6"/>
      <c r="M125" s="482">
        <f t="shared" ref="M125" si="81">+(K125-K124)/K124</f>
        <v>1.4697741586104536E-3</v>
      </c>
      <c r="N125" s="29"/>
      <c r="O125" s="29"/>
      <c r="P125" s="29"/>
      <c r="Q125" s="376">
        <f t="shared" ref="Q125" si="82">+K125-K124</f>
        <v>916</v>
      </c>
      <c r="R125" s="6"/>
      <c r="S125" s="7">
        <f>32350+15525+4348</f>
        <v>52223</v>
      </c>
      <c r="T125" s="6"/>
      <c r="U125" s="287">
        <f t="shared" ref="U125" si="83">+S125/K125</f>
        <v>8.3671798519885737E-2</v>
      </c>
      <c r="W125">
        <f t="shared" si="20"/>
        <v>115</v>
      </c>
      <c r="Y125" s="56"/>
    </row>
    <row r="126" spans="3:25" x14ac:dyDescent="0.3">
      <c r="C126" s="171">
        <f t="shared" si="15"/>
        <v>44025</v>
      </c>
      <c r="E126" s="285"/>
      <c r="F126" s="7"/>
      <c r="G126" s="7"/>
      <c r="H126" s="7"/>
      <c r="I126" s="7"/>
      <c r="J126" s="288"/>
      <c r="K126" s="7"/>
      <c r="L126" s="6"/>
      <c r="M126" s="482"/>
      <c r="N126" s="29"/>
      <c r="O126" s="29"/>
      <c r="P126" s="29"/>
      <c r="Q126" s="376"/>
      <c r="R126" s="6"/>
      <c r="S126" s="7"/>
      <c r="T126" s="6"/>
      <c r="U126" s="287"/>
      <c r="W126">
        <f t="shared" si="20"/>
        <v>116</v>
      </c>
      <c r="Y126" s="56"/>
    </row>
    <row r="127" spans="3:25" x14ac:dyDescent="0.3">
      <c r="C127" s="171">
        <f t="shared" si="15"/>
        <v>44026</v>
      </c>
      <c r="E127" s="285"/>
      <c r="F127" s="7"/>
      <c r="G127" s="7"/>
      <c r="H127" s="7"/>
      <c r="I127" s="7"/>
      <c r="J127" s="288"/>
      <c r="K127" s="7"/>
      <c r="L127" s="6"/>
      <c r="M127" s="475"/>
      <c r="N127" s="29"/>
      <c r="O127" s="29"/>
      <c r="P127" s="29"/>
      <c r="Q127" s="376"/>
      <c r="R127" s="6"/>
      <c r="S127" s="7"/>
      <c r="T127" s="6"/>
      <c r="U127" s="287"/>
      <c r="W127">
        <f t="shared" si="20"/>
        <v>117</v>
      </c>
      <c r="Y127" s="56"/>
    </row>
    <row r="128" spans="3:25" ht="15" thickBot="1" x14ac:dyDescent="0.35">
      <c r="C128" s="171">
        <f t="shared" si="15"/>
        <v>44027</v>
      </c>
      <c r="E128" s="289"/>
      <c r="F128" s="290"/>
      <c r="G128" s="290"/>
      <c r="H128" s="290"/>
      <c r="I128" s="290"/>
      <c r="J128" s="290"/>
      <c r="K128" s="290"/>
      <c r="L128" s="291"/>
      <c r="M128" s="292"/>
      <c r="N128" s="292"/>
      <c r="O128" s="292"/>
      <c r="P128" s="292"/>
      <c r="Q128" s="375"/>
      <c r="R128" s="291"/>
      <c r="S128" s="291"/>
      <c r="T128" s="291"/>
      <c r="U128" s="293"/>
      <c r="W128">
        <f t="shared" si="20"/>
        <v>118</v>
      </c>
      <c r="Y128" s="59"/>
    </row>
    <row r="129" spans="3:41" x14ac:dyDescent="0.3">
      <c r="E129" s="56"/>
      <c r="F129" s="1"/>
      <c r="G129" s="56"/>
      <c r="H129" s="56"/>
      <c r="I129" s="56"/>
      <c r="J129" s="1"/>
      <c r="K129" s="56"/>
      <c r="S129" s="56"/>
    </row>
    <row r="130" spans="3:41" x14ac:dyDescent="0.3">
      <c r="C130" s="180" t="s">
        <v>81</v>
      </c>
      <c r="E130" s="56">
        <f>+E124</f>
        <v>401029</v>
      </c>
      <c r="F130" s="56">
        <f>+F52</f>
        <v>0</v>
      </c>
      <c r="G130" s="56">
        <f t="shared" ref="G130:S130" si="84">+G124</f>
        <v>174959</v>
      </c>
      <c r="H130" s="56">
        <f t="shared" si="84"/>
        <v>0</v>
      </c>
      <c r="I130" s="56">
        <f t="shared" si="84"/>
        <v>47237</v>
      </c>
      <c r="J130" s="56">
        <f t="shared" si="84"/>
        <v>0</v>
      </c>
      <c r="K130" s="56">
        <f t="shared" si="84"/>
        <v>623225</v>
      </c>
      <c r="L130" s="56">
        <f t="shared" si="84"/>
        <v>0</v>
      </c>
      <c r="M130" s="56">
        <f t="shared" si="84"/>
        <v>1.6248428997097462E-3</v>
      </c>
      <c r="N130" s="56">
        <f t="shared" si="84"/>
        <v>0</v>
      </c>
      <c r="O130" s="56">
        <f t="shared" si="84"/>
        <v>0</v>
      </c>
      <c r="P130" s="56">
        <f t="shared" si="84"/>
        <v>0</v>
      </c>
      <c r="Q130" s="56">
        <f t="shared" si="84"/>
        <v>1011</v>
      </c>
      <c r="R130" s="56">
        <f t="shared" si="84"/>
        <v>0</v>
      </c>
      <c r="S130" s="56">
        <f t="shared" si="84"/>
        <v>52216</v>
      </c>
      <c r="T130" s="56">
        <f>+T60</f>
        <v>0</v>
      </c>
    </row>
    <row r="131" spans="3:41" x14ac:dyDescent="0.3">
      <c r="E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</row>
    <row r="132" spans="3:41" x14ac:dyDescent="0.3">
      <c r="E132" s="59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</row>
    <row r="133" spans="3:41" x14ac:dyDescent="0.3">
      <c r="C133" s="123"/>
      <c r="D133" s="124"/>
      <c r="E133" s="393"/>
      <c r="F133" s="10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</row>
    <row r="134" spans="3:41" x14ac:dyDescent="0.3">
      <c r="E134" s="56"/>
      <c r="K134" s="56"/>
      <c r="Q134" s="56"/>
    </row>
    <row r="135" spans="3:41" x14ac:dyDescent="0.3">
      <c r="Q135" s="56"/>
      <c r="S135" s="59"/>
    </row>
    <row r="138" spans="3:41" x14ac:dyDescent="0.3">
      <c r="AO138" s="1">
        <v>3797000</v>
      </c>
    </row>
    <row r="139" spans="3:41" x14ac:dyDescent="0.3">
      <c r="C139" s="1"/>
    </row>
    <row r="140" spans="3:41" x14ac:dyDescent="0.3">
      <c r="C140" s="1"/>
      <c r="AO140" s="1">
        <v>30000</v>
      </c>
    </row>
    <row r="141" spans="3:41" x14ac:dyDescent="0.3">
      <c r="C141" s="59"/>
    </row>
    <row r="142" spans="3:41" x14ac:dyDescent="0.3">
      <c r="AO142" s="278">
        <f>+AO140/AO138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20"/>
  <sheetViews>
    <sheetView topLeftCell="A52" workbookViewId="0">
      <selection activeCell="P24" sqref="P24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9" t="s">
        <v>5</v>
      </c>
      <c r="C1" s="259"/>
      <c r="D1" s="259"/>
    </row>
    <row r="2" spans="2:30" ht="16.2" thickBot="1" x14ac:dyDescent="0.35">
      <c r="B2" s="259" t="s">
        <v>6</v>
      </c>
      <c r="C2" s="259"/>
      <c r="D2" s="259"/>
    </row>
    <row r="3" spans="2:30" ht="16.2" thickBot="1" x14ac:dyDescent="0.35">
      <c r="B3" s="257" t="s">
        <v>13</v>
      </c>
      <c r="C3" s="257"/>
      <c r="D3" s="167"/>
      <c r="T3" s="615" t="s">
        <v>114</v>
      </c>
      <c r="U3" s="616"/>
      <c r="V3" s="616"/>
      <c r="W3" s="616"/>
      <c r="X3" s="616"/>
      <c r="Y3" s="616"/>
      <c r="Z3" s="616"/>
      <c r="AA3" s="616"/>
      <c r="AB3" s="616"/>
      <c r="AC3" s="616"/>
      <c r="AD3" s="617"/>
    </row>
    <row r="4" spans="2:30" ht="15.6" x14ac:dyDescent="0.3">
      <c r="B4" s="257"/>
      <c r="C4" s="257"/>
      <c r="D4" s="167"/>
      <c r="T4" s="498"/>
      <c r="U4" s="499" t="s">
        <v>78</v>
      </c>
      <c r="V4" s="500"/>
      <c r="W4" s="499" t="s">
        <v>106</v>
      </c>
      <c r="X4" s="501"/>
      <c r="Y4" s="499" t="s">
        <v>107</v>
      </c>
      <c r="Z4" s="501"/>
      <c r="AA4" s="499" t="s">
        <v>73</v>
      </c>
      <c r="AB4" s="500"/>
      <c r="AC4" s="502" t="s">
        <v>15</v>
      </c>
      <c r="AD4" s="503"/>
    </row>
    <row r="5" spans="2:30" ht="15.6" x14ac:dyDescent="0.3">
      <c r="B5" s="257"/>
      <c r="C5" t="s">
        <v>92</v>
      </c>
      <c r="D5" s="167"/>
      <c r="E5" t="s">
        <v>93</v>
      </c>
      <c r="T5" s="294"/>
      <c r="U5" s="6"/>
      <c r="V5" s="6"/>
      <c r="W5" s="6"/>
      <c r="X5" s="6"/>
      <c r="Y5" s="6"/>
      <c r="Z5" s="6"/>
      <c r="AA5" s="6"/>
      <c r="AB5" s="6"/>
      <c r="AC5" s="6"/>
      <c r="AD5" s="295"/>
    </row>
    <row r="6" spans="2:30" ht="15.6" x14ac:dyDescent="0.3">
      <c r="B6" s="257"/>
      <c r="C6" s="257"/>
      <c r="D6" s="170"/>
      <c r="E6" t="s">
        <v>94</v>
      </c>
      <c r="F6" t="s">
        <v>111</v>
      </c>
      <c r="T6" s="294"/>
      <c r="U6" s="296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5"/>
    </row>
    <row r="7" spans="2:30" ht="15.6" x14ac:dyDescent="0.3">
      <c r="B7" s="257"/>
      <c r="C7" s="257"/>
      <c r="D7" s="170"/>
      <c r="E7" t="s">
        <v>95</v>
      </c>
      <c r="F7" t="s">
        <v>97</v>
      </c>
      <c r="T7" s="294"/>
      <c r="U7" s="296">
        <f>+U6+1</f>
        <v>43952</v>
      </c>
      <c r="V7" s="6"/>
      <c r="W7" s="7">
        <v>432831</v>
      </c>
      <c r="X7" s="6"/>
      <c r="Y7" s="44">
        <v>0.38300000000000001</v>
      </c>
      <c r="Z7" s="6"/>
      <c r="AA7" s="298">
        <f t="shared" ref="AA7:AA19" si="0">+W6-W7</f>
        <v>-5097</v>
      </c>
      <c r="AB7" s="6"/>
      <c r="AC7" s="6"/>
      <c r="AD7" s="295"/>
    </row>
    <row r="8" spans="2:30" ht="15.6" x14ac:dyDescent="0.3">
      <c r="B8" s="257"/>
      <c r="C8" s="257"/>
      <c r="D8" s="170"/>
      <c r="E8" t="s">
        <v>96</v>
      </c>
      <c r="F8" t="s">
        <v>112</v>
      </c>
      <c r="T8" s="294"/>
      <c r="U8" s="296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8">
        <f t="shared" si="0"/>
        <v>-681</v>
      </c>
      <c r="AB8" s="6"/>
      <c r="AC8" s="6"/>
      <c r="AD8" s="295"/>
    </row>
    <row r="9" spans="2:30" ht="15.6" x14ac:dyDescent="0.3">
      <c r="B9" s="257"/>
      <c r="C9" s="257"/>
      <c r="D9" s="170"/>
      <c r="S9" s="473"/>
      <c r="T9" s="294"/>
      <c r="U9" s="296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8">
        <f t="shared" si="0"/>
        <v>-833</v>
      </c>
      <c r="AB9" s="6"/>
      <c r="AC9" s="6"/>
      <c r="AD9" s="295"/>
    </row>
    <row r="10" spans="2:30" ht="15.6" x14ac:dyDescent="0.3">
      <c r="B10" s="257"/>
      <c r="C10" s="279" t="s">
        <v>98</v>
      </c>
      <c r="D10" s="170"/>
      <c r="E10" t="s">
        <v>101</v>
      </c>
      <c r="T10" s="294"/>
      <c r="U10" s="296">
        <f t="shared" si="1"/>
        <v>43955</v>
      </c>
      <c r="V10" s="6"/>
      <c r="W10" s="7">
        <v>458962</v>
      </c>
      <c r="X10" s="6"/>
      <c r="Y10" s="44">
        <v>0.378</v>
      </c>
      <c r="Z10" s="6"/>
      <c r="AA10" s="298">
        <f t="shared" si="0"/>
        <v>-24617</v>
      </c>
      <c r="AB10" s="6"/>
      <c r="AC10" s="6"/>
      <c r="AD10" s="295"/>
    </row>
    <row r="11" spans="2:30" ht="15.6" x14ac:dyDescent="0.3">
      <c r="B11" s="257"/>
      <c r="C11" s="257"/>
      <c r="D11" s="170"/>
      <c r="E11" t="s">
        <v>94</v>
      </c>
      <c r="F11" t="s">
        <v>99</v>
      </c>
      <c r="T11" s="294"/>
      <c r="U11" s="296">
        <f t="shared" si="1"/>
        <v>43956</v>
      </c>
      <c r="V11" s="6"/>
      <c r="W11" s="297">
        <v>455743</v>
      </c>
      <c r="X11" s="6"/>
      <c r="Y11" s="44">
        <v>0.36799999999999999</v>
      </c>
      <c r="Z11" s="6"/>
      <c r="AA11" s="298">
        <f t="shared" si="0"/>
        <v>3219</v>
      </c>
      <c r="AB11" s="6"/>
      <c r="AC11" s="302"/>
      <c r="AD11" s="295"/>
    </row>
    <row r="12" spans="2:30" ht="15.6" x14ac:dyDescent="0.3">
      <c r="B12" s="257"/>
      <c r="C12" s="257"/>
      <c r="D12" s="170"/>
      <c r="E12" t="s">
        <v>95</v>
      </c>
      <c r="F12" t="s">
        <v>100</v>
      </c>
      <c r="T12" s="294"/>
      <c r="U12" s="296">
        <f t="shared" si="1"/>
        <v>43957</v>
      </c>
      <c r="V12" s="6"/>
      <c r="W12" s="297">
        <v>454697</v>
      </c>
      <c r="X12" s="6"/>
      <c r="Y12" s="44">
        <f>+L$36</f>
        <v>0.20511516612375558</v>
      </c>
      <c r="Z12" s="6"/>
      <c r="AA12" s="298">
        <f t="shared" si="0"/>
        <v>1046</v>
      </c>
      <c r="AB12" s="6"/>
      <c r="AC12" s="302"/>
      <c r="AD12" s="295"/>
    </row>
    <row r="13" spans="2:30" ht="15.6" x14ac:dyDescent="0.3">
      <c r="B13" s="257"/>
      <c r="C13" s="257"/>
      <c r="D13" s="170"/>
      <c r="T13" s="294"/>
      <c r="U13" s="296">
        <f t="shared" si="1"/>
        <v>43958</v>
      </c>
      <c r="V13" s="6"/>
      <c r="W13" s="297">
        <v>454838</v>
      </c>
      <c r="X13" s="6"/>
      <c r="Y13" s="44">
        <f>+L37</f>
        <v>0</v>
      </c>
      <c r="Z13" s="6"/>
      <c r="AA13" s="298">
        <f t="shared" si="0"/>
        <v>-141</v>
      </c>
      <c r="AB13" s="6"/>
      <c r="AC13" s="302"/>
      <c r="AD13" s="295"/>
    </row>
    <row r="14" spans="2:30" ht="15.6" x14ac:dyDescent="0.3">
      <c r="B14" s="257"/>
      <c r="C14" s="279" t="s">
        <v>102</v>
      </c>
      <c r="D14" s="170"/>
      <c r="E14" t="s">
        <v>103</v>
      </c>
      <c r="T14" s="294"/>
      <c r="U14" s="296">
        <f t="shared" si="1"/>
        <v>43959</v>
      </c>
      <c r="V14" s="6"/>
      <c r="W14" s="297">
        <v>452043</v>
      </c>
      <c r="X14" s="6"/>
      <c r="Y14" s="44">
        <f>+L38</f>
        <v>0</v>
      </c>
      <c r="Z14" s="6"/>
      <c r="AA14" s="298">
        <f t="shared" si="0"/>
        <v>2795</v>
      </c>
      <c r="AB14" s="6"/>
      <c r="AC14" s="302"/>
      <c r="AD14" s="295"/>
    </row>
    <row r="15" spans="2:30" x14ac:dyDescent="0.3">
      <c r="B15" s="257"/>
      <c r="E15" s="618" t="s">
        <v>104</v>
      </c>
      <c r="F15" s="618"/>
      <c r="G15" s="618"/>
      <c r="H15" s="618"/>
      <c r="I15" s="618"/>
      <c r="T15" s="294"/>
      <c r="U15" s="296">
        <f t="shared" si="1"/>
        <v>43960</v>
      </c>
      <c r="V15" s="6"/>
      <c r="W15" s="297">
        <v>439209</v>
      </c>
      <c r="X15" s="6"/>
      <c r="Y15" s="44">
        <f>+L40</f>
        <v>0</v>
      </c>
      <c r="Z15" s="6"/>
      <c r="AA15" s="298">
        <f t="shared" si="0"/>
        <v>12834</v>
      </c>
      <c r="AB15" s="6"/>
      <c r="AC15" s="302"/>
      <c r="AD15" s="295"/>
    </row>
    <row r="16" spans="2:30" x14ac:dyDescent="0.3">
      <c r="S16" s="473"/>
      <c r="T16" s="294"/>
      <c r="U16" s="296">
        <f t="shared" si="1"/>
        <v>43961</v>
      </c>
      <c r="V16" s="6"/>
      <c r="W16" s="297">
        <v>423501</v>
      </c>
      <c r="X16" s="6"/>
      <c r="Y16" s="44">
        <f>+L41</f>
        <v>0</v>
      </c>
      <c r="Z16" s="6"/>
      <c r="AA16" s="298">
        <f t="shared" si="0"/>
        <v>15708</v>
      </c>
      <c r="AB16" s="6"/>
      <c r="AC16" s="302"/>
      <c r="AD16" s="295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4"/>
      <c r="U17" s="296">
        <f t="shared" si="1"/>
        <v>43962</v>
      </c>
      <c r="V17" s="6"/>
      <c r="W17" s="297">
        <v>415158</v>
      </c>
      <c r="X17" s="6"/>
      <c r="Y17" s="44">
        <f>+L42</f>
        <v>0</v>
      </c>
      <c r="Z17" s="6"/>
      <c r="AA17" s="298">
        <f t="shared" si="0"/>
        <v>8343</v>
      </c>
      <c r="AB17" s="6"/>
      <c r="AC17" s="302"/>
      <c r="AD17" s="295"/>
    </row>
    <row r="18" spans="3:30" ht="15" thickBot="1" x14ac:dyDescent="0.35">
      <c r="C18" s="1"/>
      <c r="D18" s="624" t="s">
        <v>46</v>
      </c>
      <c r="E18" s="625"/>
      <c r="F18" s="625"/>
      <c r="G18" s="625"/>
      <c r="H18" s="625"/>
      <c r="I18" s="625"/>
      <c r="J18" s="625"/>
      <c r="K18" s="625"/>
      <c r="L18" s="625"/>
      <c r="M18" s="625"/>
      <c r="N18" s="625"/>
      <c r="O18" s="626"/>
      <c r="P18" s="90"/>
      <c r="Q18" s="90"/>
      <c r="R18" s="90"/>
      <c r="S18" s="90"/>
      <c r="T18" s="294"/>
      <c r="U18" s="296">
        <f t="shared" si="1"/>
        <v>43963</v>
      </c>
      <c r="V18" s="6"/>
      <c r="W18" s="297">
        <v>413524</v>
      </c>
      <c r="X18" s="6"/>
      <c r="Y18" s="44">
        <f>+L43</f>
        <v>0</v>
      </c>
      <c r="Z18" s="6"/>
      <c r="AA18" s="298">
        <f t="shared" si="0"/>
        <v>1634</v>
      </c>
      <c r="AB18" s="6"/>
      <c r="AC18" s="302"/>
      <c r="AD18" s="295"/>
    </row>
    <row r="19" spans="3:30" ht="15" thickBot="1" x14ac:dyDescent="0.35">
      <c r="C19" s="1"/>
      <c r="D19" s="146"/>
      <c r="E19" s="627" t="s">
        <v>75</v>
      </c>
      <c r="F19" s="627"/>
      <c r="G19" s="627"/>
      <c r="H19" s="627"/>
      <c r="I19" s="147" t="s">
        <v>74</v>
      </c>
      <c r="J19" s="148"/>
      <c r="K19" s="632" t="s">
        <v>72</v>
      </c>
      <c r="L19" s="632"/>
      <c r="M19" s="141"/>
      <c r="N19" s="145" t="s">
        <v>73</v>
      </c>
      <c r="O19" s="142"/>
      <c r="P19" s="114"/>
      <c r="Q19" s="114"/>
      <c r="R19" s="114"/>
      <c r="S19" s="114"/>
      <c r="T19" s="294"/>
      <c r="U19" s="296">
        <f t="shared" si="1"/>
        <v>43964</v>
      </c>
      <c r="V19" s="6"/>
      <c r="W19" s="297">
        <v>410932</v>
      </c>
      <c r="X19" s="6"/>
      <c r="Y19" s="44">
        <f>+L44</f>
        <v>0</v>
      </c>
      <c r="Z19" s="6"/>
      <c r="AA19" s="298">
        <f t="shared" si="0"/>
        <v>2592</v>
      </c>
      <c r="AB19" s="6"/>
      <c r="AC19" s="302"/>
      <c r="AD19" s="295"/>
    </row>
    <row r="20" spans="3:30" x14ac:dyDescent="0.3">
      <c r="C20" s="1"/>
      <c r="D20" s="126"/>
      <c r="E20" s="127" t="s">
        <v>134</v>
      </c>
      <c r="F20" s="128"/>
      <c r="G20" s="127"/>
      <c r="H20" s="127"/>
      <c r="I20" s="93">
        <f>+'Main Table'!H112</f>
        <v>2727853</v>
      </c>
      <c r="J20" s="129"/>
      <c r="K20" s="140"/>
      <c r="L20" s="140"/>
      <c r="M20" s="140"/>
      <c r="N20" s="140"/>
      <c r="O20" s="136"/>
      <c r="P20" s="90"/>
      <c r="Q20" s="90"/>
      <c r="R20" s="90"/>
      <c r="S20" s="90"/>
      <c r="T20" s="294"/>
      <c r="U20" s="296">
        <f t="shared" si="1"/>
        <v>43965</v>
      </c>
      <c r="V20" s="6"/>
      <c r="W20" s="297">
        <v>409640</v>
      </c>
      <c r="X20" s="6"/>
      <c r="Y20" s="44">
        <v>0</v>
      </c>
      <c r="Z20" s="6"/>
      <c r="AA20" s="298">
        <f t="shared" ref="AA20:AA51" si="2">+W19-W20</f>
        <v>1292</v>
      </c>
      <c r="AB20" s="6"/>
      <c r="AC20" s="302"/>
      <c r="AD20" s="295"/>
    </row>
    <row r="21" spans="3:30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Table'!Z133</f>
        <v>137130</v>
      </c>
      <c r="J21" s="129"/>
      <c r="K21" s="140"/>
      <c r="L21" s="140"/>
      <c r="M21" s="140"/>
      <c r="N21" s="140"/>
      <c r="O21" s="136"/>
      <c r="P21" s="90"/>
      <c r="Q21" s="90"/>
      <c r="R21" s="90"/>
      <c r="S21" s="90"/>
      <c r="T21" s="294"/>
      <c r="U21" s="296">
        <f t="shared" si="1"/>
        <v>43966</v>
      </c>
      <c r="V21" s="6"/>
      <c r="W21" s="297">
        <v>405327</v>
      </c>
      <c r="X21" s="6"/>
      <c r="Y21" s="44">
        <v>0.27300000000000002</v>
      </c>
      <c r="Z21" s="6"/>
      <c r="AA21" s="298">
        <f t="shared" si="2"/>
        <v>4313</v>
      </c>
      <c r="AB21" s="6"/>
      <c r="AC21" s="302"/>
      <c r="AD21" s="295"/>
    </row>
    <row r="22" spans="3:30" x14ac:dyDescent="0.3">
      <c r="C22" s="1"/>
      <c r="D22" s="126"/>
      <c r="E22" s="127"/>
      <c r="F22" s="127" t="s">
        <v>45</v>
      </c>
      <c r="G22" s="127"/>
      <c r="H22" s="127"/>
      <c r="I22" s="159">
        <v>15822</v>
      </c>
      <c r="J22" s="129"/>
      <c r="K22" s="140"/>
      <c r="L22" s="282">
        <v>15819</v>
      </c>
      <c r="M22" s="140"/>
      <c r="N22" s="160">
        <f>+(I22-L22)/I22</f>
        <v>1.8960940462646946E-4</v>
      </c>
      <c r="O22" s="136"/>
      <c r="P22" s="90"/>
      <c r="Q22" s="90"/>
      <c r="R22" s="90"/>
      <c r="S22" s="90"/>
      <c r="T22" s="294"/>
      <c r="U22" s="296">
        <f t="shared" si="1"/>
        <v>43967</v>
      </c>
      <c r="V22" s="6"/>
      <c r="W22" s="297">
        <v>393991</v>
      </c>
      <c r="X22" s="6"/>
      <c r="Y22" s="44">
        <v>0.26100000000000001</v>
      </c>
      <c r="Z22" s="6"/>
      <c r="AA22" s="298">
        <f t="shared" si="2"/>
        <v>11336</v>
      </c>
      <c r="AB22" s="6"/>
      <c r="AC22" s="302"/>
      <c r="AD22" s="295"/>
    </row>
    <row r="23" spans="3:30" x14ac:dyDescent="0.3">
      <c r="C23" s="1"/>
      <c r="D23" s="126"/>
      <c r="E23" s="127"/>
      <c r="F23" s="137" t="s">
        <v>70</v>
      </c>
      <c r="G23" s="137"/>
      <c r="H23" s="137"/>
      <c r="I23" s="130">
        <f>+I20-I21-I22</f>
        <v>2574901</v>
      </c>
      <c r="J23" s="129"/>
      <c r="K23" s="140"/>
      <c r="L23" s="140"/>
      <c r="M23" s="140"/>
      <c r="N23" s="140"/>
      <c r="O23" s="136"/>
      <c r="P23" s="113"/>
      <c r="Q23" s="113"/>
      <c r="R23" s="113"/>
      <c r="S23" s="474"/>
      <c r="T23" s="294"/>
      <c r="U23" s="296">
        <f t="shared" si="1"/>
        <v>43968</v>
      </c>
      <c r="V23" s="6"/>
      <c r="W23" s="297">
        <v>384245</v>
      </c>
      <c r="X23" s="6"/>
      <c r="Y23" s="44">
        <v>0.251</v>
      </c>
      <c r="Z23" s="6"/>
      <c r="AA23" s="298">
        <f t="shared" si="2"/>
        <v>9746</v>
      </c>
      <c r="AB23" s="6"/>
      <c r="AC23" s="302"/>
      <c r="AD23" s="295"/>
    </row>
    <row r="24" spans="3:30" x14ac:dyDescent="0.3">
      <c r="C24" s="1"/>
      <c r="D24" s="126"/>
      <c r="E24" s="127" t="s">
        <v>77</v>
      </c>
      <c r="F24" s="129"/>
      <c r="G24" s="129"/>
      <c r="H24" s="129"/>
      <c r="I24" s="131">
        <f>+'Main Table'!AO133</f>
        <v>1517084</v>
      </c>
      <c r="J24" s="129"/>
      <c r="K24" s="140"/>
      <c r="L24" s="140"/>
      <c r="M24" s="140"/>
      <c r="N24" s="140"/>
      <c r="O24" s="136"/>
      <c r="P24" s="113"/>
      <c r="Q24" s="113"/>
      <c r="R24" s="113"/>
      <c r="S24" s="113"/>
      <c r="T24" s="294"/>
      <c r="U24" s="296">
        <f t="shared" si="1"/>
        <v>43969</v>
      </c>
      <c r="V24" s="6"/>
      <c r="W24" s="297">
        <v>379527</v>
      </c>
      <c r="X24" s="6"/>
      <c r="Y24" s="44">
        <v>0.245</v>
      </c>
      <c r="Z24" s="6"/>
      <c r="AA24" s="298">
        <f t="shared" si="2"/>
        <v>4718</v>
      </c>
      <c r="AB24" s="6"/>
      <c r="AC24" s="302"/>
      <c r="AD24" s="295"/>
    </row>
    <row r="25" spans="3:30" x14ac:dyDescent="0.3">
      <c r="C25" s="1"/>
      <c r="D25" s="628" t="s">
        <v>49</v>
      </c>
      <c r="E25" s="629"/>
      <c r="F25" s="629"/>
      <c r="G25" s="629"/>
      <c r="H25" s="629"/>
      <c r="I25" s="132">
        <f>+I23-I24</f>
        <v>1057817</v>
      </c>
      <c r="J25" s="129"/>
      <c r="K25" s="140"/>
      <c r="L25" s="140"/>
      <c r="M25" s="140"/>
      <c r="N25" s="140"/>
      <c r="O25" s="136"/>
      <c r="P25" s="113"/>
      <c r="Q25" s="113"/>
      <c r="R25" s="113"/>
      <c r="S25" s="113"/>
      <c r="T25" s="294"/>
      <c r="U25" s="296">
        <f t="shared" si="1"/>
        <v>43970</v>
      </c>
      <c r="V25" s="6"/>
      <c r="W25" s="297">
        <v>375997</v>
      </c>
      <c r="X25" s="6"/>
      <c r="Y25" s="44">
        <v>0.23899999999999999</v>
      </c>
      <c r="Z25" s="6"/>
      <c r="AA25" s="298">
        <f t="shared" si="2"/>
        <v>3530</v>
      </c>
      <c r="AB25" s="6"/>
      <c r="AC25" s="302"/>
      <c r="AD25" s="295"/>
    </row>
    <row r="26" spans="3:30" x14ac:dyDescent="0.3">
      <c r="C26" s="1"/>
      <c r="D26" s="126"/>
      <c r="E26" s="127" t="s">
        <v>71</v>
      </c>
      <c r="F26" s="129"/>
      <c r="G26" s="129"/>
      <c r="H26" s="129"/>
      <c r="I26" s="131">
        <f>+I24</f>
        <v>1517084</v>
      </c>
      <c r="J26" s="129"/>
      <c r="K26" s="140"/>
      <c r="L26" s="140"/>
      <c r="M26" s="140"/>
      <c r="N26" s="140"/>
      <c r="O26" s="136"/>
      <c r="P26" s="90"/>
      <c r="Q26" s="90"/>
      <c r="R26" s="90"/>
      <c r="S26" s="90"/>
      <c r="T26" s="294"/>
      <c r="U26" s="296">
        <f t="shared" si="1"/>
        <v>43971</v>
      </c>
      <c r="V26" s="6"/>
      <c r="W26" s="297">
        <v>373168</v>
      </c>
      <c r="X26" s="6"/>
      <c r="Y26" s="44">
        <v>0.23400000000000001</v>
      </c>
      <c r="Z26" s="6"/>
      <c r="AA26" s="298">
        <f t="shared" si="2"/>
        <v>2829</v>
      </c>
      <c r="AB26" s="6"/>
      <c r="AC26" s="302"/>
      <c r="AD26" s="295"/>
    </row>
    <row r="27" spans="3:30" ht="15" thickBot="1" x14ac:dyDescent="0.35">
      <c r="C27" s="1"/>
      <c r="D27" s="628" t="s">
        <v>46</v>
      </c>
      <c r="E27" s="629"/>
      <c r="F27" s="629"/>
      <c r="G27" s="629"/>
      <c r="H27" s="629"/>
      <c r="I27" s="149">
        <f>+I25+I26</f>
        <v>2574901</v>
      </c>
      <c r="J27" s="129"/>
      <c r="K27" s="633">
        <v>2529242</v>
      </c>
      <c r="L27" s="633"/>
      <c r="M27" s="140"/>
      <c r="N27" s="150">
        <f>+I27-K27</f>
        <v>45659</v>
      </c>
      <c r="O27" s="136"/>
      <c r="P27" s="90"/>
      <c r="Q27" s="90"/>
      <c r="R27" s="90"/>
      <c r="S27" s="90"/>
      <c r="T27" s="294"/>
      <c r="U27" s="296">
        <f t="shared" si="1"/>
        <v>43972</v>
      </c>
      <c r="V27" s="6"/>
      <c r="W27" s="297">
        <v>346181</v>
      </c>
      <c r="X27" s="6"/>
      <c r="Y27" s="44">
        <v>0.214</v>
      </c>
      <c r="Z27" s="6"/>
      <c r="AA27" s="298">
        <f t="shared" si="2"/>
        <v>26987</v>
      </c>
      <c r="AB27" s="6"/>
      <c r="AC27" s="302"/>
      <c r="AD27" s="295"/>
    </row>
    <row r="28" spans="3:30" ht="15.6" thickTop="1" thickBot="1" x14ac:dyDescent="0.35">
      <c r="C28" s="10"/>
      <c r="D28" s="135"/>
      <c r="E28" s="630" t="s">
        <v>69</v>
      </c>
      <c r="F28" s="630"/>
      <c r="G28" s="630"/>
      <c r="H28" s="137"/>
      <c r="I28" s="275">
        <f>+I27/I32</f>
        <v>0.75469260994169152</v>
      </c>
      <c r="J28" s="140"/>
      <c r="K28" s="140"/>
      <c r="L28" s="140"/>
      <c r="M28" s="110"/>
      <c r="N28" s="507">
        <f>+N27/K27</f>
        <v>1.8052444171020407E-2</v>
      </c>
      <c r="O28" s="136"/>
      <c r="P28" s="1"/>
      <c r="Q28" s="1"/>
      <c r="R28" s="1"/>
      <c r="S28" s="1"/>
      <c r="T28" s="294"/>
      <c r="U28" s="296">
        <f t="shared" si="1"/>
        <v>43973</v>
      </c>
      <c r="V28" s="6"/>
      <c r="W28" s="297">
        <v>341216</v>
      </c>
      <c r="X28" s="6"/>
      <c r="Y28" s="44">
        <v>0.20699999999999999</v>
      </c>
      <c r="Z28" s="6"/>
      <c r="AA28" s="298">
        <f t="shared" si="2"/>
        <v>4965</v>
      </c>
      <c r="AB28" s="6"/>
      <c r="AC28" s="302"/>
      <c r="AD28" s="295"/>
    </row>
    <row r="29" spans="3:30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1"/>
      <c r="T29" s="294"/>
      <c r="U29" s="296">
        <f t="shared" si="1"/>
        <v>43974</v>
      </c>
      <c r="V29" s="6"/>
      <c r="W29" s="297">
        <v>336852</v>
      </c>
      <c r="X29" s="6"/>
      <c r="Y29" s="44">
        <v>0.20200000000000001</v>
      </c>
      <c r="Z29" s="6"/>
      <c r="AA29" s="298">
        <f t="shared" si="2"/>
        <v>4364</v>
      </c>
      <c r="AB29" s="6"/>
      <c r="AC29" s="302"/>
      <c r="AD29" s="295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70"/>
      <c r="T30" s="294"/>
      <c r="U30" s="296">
        <f t="shared" si="1"/>
        <v>43975</v>
      </c>
      <c r="V30" s="6"/>
      <c r="W30" s="297">
        <v>336142</v>
      </c>
      <c r="X30" s="6"/>
      <c r="Y30" s="44">
        <v>0.19900000000000001</v>
      </c>
      <c r="Z30" s="6"/>
      <c r="AA30" s="298">
        <f t="shared" si="2"/>
        <v>710</v>
      </c>
      <c r="AB30" s="6"/>
      <c r="AC30" s="302"/>
      <c r="AD30" s="295"/>
    </row>
    <row r="31" spans="3:30" ht="16.2" thickBot="1" x14ac:dyDescent="0.35">
      <c r="C31" s="90"/>
      <c r="D31" s="273"/>
      <c r="E31" s="609" t="s">
        <v>114</v>
      </c>
      <c r="F31" s="610"/>
      <c r="G31" s="610"/>
      <c r="H31" s="610"/>
      <c r="I31" s="610"/>
      <c r="J31" s="611"/>
      <c r="K31" s="272"/>
      <c r="L31" s="271" t="s">
        <v>10</v>
      </c>
      <c r="M31" s="270"/>
      <c r="N31" s="269"/>
      <c r="O31" s="110"/>
      <c r="P31" s="90"/>
      <c r="Q31" s="90"/>
      <c r="R31" s="90"/>
      <c r="S31" s="90"/>
      <c r="T31" s="294"/>
      <c r="U31" s="296">
        <f t="shared" si="1"/>
        <v>43976</v>
      </c>
      <c r="V31" s="6"/>
      <c r="W31" s="297">
        <v>337736</v>
      </c>
      <c r="X31" s="6"/>
      <c r="Y31" s="44">
        <v>0.19800000000000001</v>
      </c>
      <c r="Z31" s="6"/>
      <c r="AA31" s="298">
        <f t="shared" si="2"/>
        <v>-1594</v>
      </c>
      <c r="AB31" s="6"/>
      <c r="AC31" s="302"/>
      <c r="AD31" s="295"/>
    </row>
    <row r="32" spans="3:30" x14ac:dyDescent="0.3">
      <c r="C32" s="10"/>
      <c r="D32" s="260"/>
      <c r="E32" s="261" t="s">
        <v>88</v>
      </c>
      <c r="F32" s="24"/>
      <c r="G32" s="24"/>
      <c r="H32" s="24"/>
      <c r="I32" s="604">
        <f>+'Main Table'!H133</f>
        <v>3411854</v>
      </c>
      <c r="J32" s="604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90"/>
      <c r="T32" s="294"/>
      <c r="U32" s="296">
        <f t="shared" si="1"/>
        <v>43977</v>
      </c>
      <c r="V32" s="6"/>
      <c r="W32" s="297">
        <v>333791</v>
      </c>
      <c r="X32" s="6"/>
      <c r="Y32" s="44">
        <v>0.193</v>
      </c>
      <c r="Z32" s="6"/>
      <c r="AA32" s="298">
        <f t="shared" si="2"/>
        <v>3945</v>
      </c>
      <c r="AB32" s="6"/>
      <c r="AC32" s="302"/>
      <c r="AD32" s="295"/>
    </row>
    <row r="33" spans="3:30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90"/>
      <c r="T33" s="294"/>
      <c r="U33" s="296">
        <f t="shared" si="1"/>
        <v>43978</v>
      </c>
      <c r="V33" s="6"/>
      <c r="W33" s="297">
        <v>332639</v>
      </c>
      <c r="X33" s="6"/>
      <c r="Y33" s="44">
        <v>0.191</v>
      </c>
      <c r="Z33" s="6"/>
      <c r="AA33" s="298">
        <f t="shared" si="2"/>
        <v>1152</v>
      </c>
      <c r="AB33" s="6"/>
      <c r="AC33" s="302"/>
      <c r="AD33" s="295"/>
    </row>
    <row r="34" spans="3:30" x14ac:dyDescent="0.3">
      <c r="D34" s="263"/>
      <c r="E34" s="22"/>
      <c r="F34" s="264" t="s">
        <v>113</v>
      </c>
      <c r="G34" s="264"/>
      <c r="H34" s="22"/>
      <c r="I34" s="605">
        <f>+I27</f>
        <v>2574901</v>
      </c>
      <c r="J34" s="606"/>
      <c r="K34" s="22"/>
      <c r="L34" s="25">
        <f>+I34/$I$32</f>
        <v>0.75469260994169152</v>
      </c>
      <c r="M34" s="265"/>
      <c r="P34" s="233"/>
      <c r="Q34" s="233"/>
      <c r="R34" s="233"/>
      <c r="S34" s="233"/>
      <c r="T34" s="294"/>
      <c r="U34" s="296">
        <f t="shared" si="1"/>
        <v>43979</v>
      </c>
      <c r="V34" s="6"/>
      <c r="W34" s="297">
        <v>328088</v>
      </c>
      <c r="X34" s="6"/>
      <c r="Y34" s="44">
        <v>0.186</v>
      </c>
      <c r="Z34" s="6"/>
      <c r="AA34" s="298">
        <f t="shared" si="2"/>
        <v>4551</v>
      </c>
      <c r="AB34" s="6"/>
      <c r="AC34" s="302"/>
      <c r="AD34" s="295"/>
    </row>
    <row r="35" spans="3:30" x14ac:dyDescent="0.3">
      <c r="D35" s="263"/>
      <c r="E35" s="22"/>
      <c r="F35" s="22" t="s">
        <v>89</v>
      </c>
      <c r="G35" s="22"/>
      <c r="H35" s="22"/>
      <c r="I35" s="612">
        <f>+I21</f>
        <v>137130</v>
      </c>
      <c r="J35" s="613"/>
      <c r="K35" s="22"/>
      <c r="L35" s="25">
        <f>+I35/$I$32</f>
        <v>4.0192223934552886E-2</v>
      </c>
      <c r="M35" s="265"/>
      <c r="P35" s="274"/>
      <c r="Q35" s="274"/>
      <c r="R35" s="274"/>
      <c r="S35" s="274"/>
      <c r="T35" s="294"/>
      <c r="U35" s="296">
        <f t="shared" si="1"/>
        <v>43980</v>
      </c>
      <c r="V35" s="6"/>
      <c r="W35" s="297">
        <v>326426</v>
      </c>
      <c r="X35" s="6"/>
      <c r="Y35" s="44">
        <v>0.182</v>
      </c>
      <c r="Z35" s="6"/>
      <c r="AA35" s="298">
        <f t="shared" si="2"/>
        <v>1662</v>
      </c>
      <c r="AB35" s="6"/>
      <c r="AC35" s="302"/>
      <c r="AD35" s="295"/>
    </row>
    <row r="36" spans="3:30" ht="15" thickBot="1" x14ac:dyDescent="0.35">
      <c r="D36" s="263"/>
      <c r="E36" s="631" t="s">
        <v>114</v>
      </c>
      <c r="F36" s="631"/>
      <c r="G36" s="631"/>
      <c r="H36" s="276"/>
      <c r="I36" s="607">
        <f>+I32-I34-I35</f>
        <v>699823</v>
      </c>
      <c r="J36" s="608"/>
      <c r="K36" s="303"/>
      <c r="L36" s="277">
        <f>+I36/$I$32</f>
        <v>0.20511516612375558</v>
      </c>
      <c r="M36" s="265"/>
      <c r="T36" s="294"/>
      <c r="U36" s="296">
        <f t="shared" si="1"/>
        <v>43981</v>
      </c>
      <c r="V36" s="6"/>
      <c r="W36" s="297">
        <v>326228</v>
      </c>
      <c r="X36" s="6"/>
      <c r="Y36" s="44">
        <v>0.16900000000000001</v>
      </c>
      <c r="Z36" s="6"/>
      <c r="AA36" s="298">
        <f t="shared" si="2"/>
        <v>198</v>
      </c>
      <c r="AB36" s="6"/>
      <c r="AC36" s="302"/>
      <c r="AD36" s="295"/>
    </row>
    <row r="37" spans="3:30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S37" s="473"/>
      <c r="T37" s="294"/>
      <c r="U37" s="296">
        <f t="shared" si="1"/>
        <v>43982</v>
      </c>
      <c r="V37" s="6"/>
      <c r="W37" s="297">
        <v>303951</v>
      </c>
      <c r="X37" s="6"/>
      <c r="Y37" s="44">
        <v>0.16500000000000001</v>
      </c>
      <c r="Z37" s="6"/>
      <c r="AA37" s="298">
        <f t="shared" si="2"/>
        <v>22277</v>
      </c>
      <c r="AB37" s="6"/>
      <c r="AC37" s="302"/>
      <c r="AD37" s="295"/>
    </row>
    <row r="38" spans="3:30" x14ac:dyDescent="0.3">
      <c r="T38" s="294"/>
      <c r="U38" s="296">
        <f t="shared" si="1"/>
        <v>43983</v>
      </c>
      <c r="V38" s="6"/>
      <c r="W38" s="297">
        <v>305817</v>
      </c>
      <c r="X38" s="6"/>
      <c r="Y38" s="44">
        <v>0.16400000000000001</v>
      </c>
      <c r="Z38" s="6"/>
      <c r="AA38" s="298">
        <f t="shared" si="2"/>
        <v>-1866</v>
      </c>
      <c r="AB38" s="6"/>
      <c r="AC38" s="302"/>
      <c r="AD38" s="295"/>
    </row>
    <row r="39" spans="3:30" x14ac:dyDescent="0.3">
      <c r="T39" s="294"/>
      <c r="U39" s="296">
        <f t="shared" si="1"/>
        <v>43984</v>
      </c>
      <c r="V39" s="6"/>
      <c r="W39" s="297">
        <v>305724</v>
      </c>
      <c r="X39" s="6"/>
      <c r="Y39" s="44">
        <v>0.16300000000000001</v>
      </c>
      <c r="Z39" s="6"/>
      <c r="AA39" s="298">
        <f t="shared" si="2"/>
        <v>93</v>
      </c>
      <c r="AB39" s="6"/>
      <c r="AC39" s="302"/>
      <c r="AD39" s="295"/>
    </row>
    <row r="40" spans="3:30" ht="15" thickBot="1" x14ac:dyDescent="0.35">
      <c r="T40" s="294"/>
      <c r="U40" s="296">
        <f t="shared" si="1"/>
        <v>43985</v>
      </c>
      <c r="V40" s="6"/>
      <c r="W40" s="297">
        <v>297824</v>
      </c>
      <c r="X40" s="6"/>
      <c r="Y40" s="44">
        <v>0.157</v>
      </c>
      <c r="Z40" s="6"/>
      <c r="AA40" s="298">
        <f t="shared" si="2"/>
        <v>7900</v>
      </c>
      <c r="AB40" s="6"/>
      <c r="AC40" s="302"/>
      <c r="AD40" s="295"/>
    </row>
    <row r="41" spans="3:30" ht="15" thickBot="1" x14ac:dyDescent="0.35">
      <c r="D41" s="619" t="s">
        <v>127</v>
      </c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1"/>
      <c r="T41" s="294"/>
      <c r="U41" s="296">
        <f t="shared" si="1"/>
        <v>43986</v>
      </c>
      <c r="V41" s="6"/>
      <c r="W41" s="297">
        <v>296183</v>
      </c>
      <c r="X41" s="6"/>
      <c r="Y41" s="44">
        <v>0.154</v>
      </c>
      <c r="Z41" s="6"/>
      <c r="AA41" s="298">
        <f t="shared" si="2"/>
        <v>1641</v>
      </c>
      <c r="AB41" s="6"/>
      <c r="AC41" s="302"/>
      <c r="AD41" s="295"/>
    </row>
    <row r="42" spans="3:30" ht="15" thickBot="1" x14ac:dyDescent="0.35">
      <c r="D42" s="321"/>
      <c r="E42" s="622" t="s">
        <v>75</v>
      </c>
      <c r="F42" s="622"/>
      <c r="G42" s="622"/>
      <c r="H42" s="622"/>
      <c r="I42" s="304" t="s">
        <v>74</v>
      </c>
      <c r="J42" s="305"/>
      <c r="K42" s="623" t="s">
        <v>37</v>
      </c>
      <c r="L42" s="623"/>
      <c r="M42" s="306"/>
      <c r="N42" s="307" t="s">
        <v>73</v>
      </c>
      <c r="O42" s="322"/>
      <c r="T42" s="294"/>
      <c r="U42" s="296">
        <f t="shared" si="1"/>
        <v>43987</v>
      </c>
      <c r="V42" s="6"/>
      <c r="W42" s="297">
        <v>299564</v>
      </c>
      <c r="X42" s="6"/>
      <c r="Y42" s="44">
        <v>0.154</v>
      </c>
      <c r="Z42" s="6"/>
      <c r="AA42" s="298">
        <f t="shared" si="2"/>
        <v>-3381</v>
      </c>
      <c r="AB42" s="6"/>
      <c r="AC42" s="302"/>
      <c r="AD42" s="295"/>
    </row>
    <row r="43" spans="3:30" x14ac:dyDescent="0.3">
      <c r="D43" s="323"/>
      <c r="E43" s="308" t="s">
        <v>43</v>
      </c>
      <c r="F43" s="309"/>
      <c r="G43" s="308"/>
      <c r="H43" s="308"/>
      <c r="I43" s="380">
        <v>25405</v>
      </c>
      <c r="J43" s="380"/>
      <c r="K43" s="381"/>
      <c r="L43" s="381"/>
      <c r="M43" s="381"/>
      <c r="N43" s="381"/>
      <c r="O43" s="315"/>
      <c r="T43" s="294"/>
      <c r="U43" s="296">
        <f t="shared" si="1"/>
        <v>43988</v>
      </c>
      <c r="V43" s="6"/>
      <c r="W43" s="297">
        <v>299553</v>
      </c>
      <c r="X43" s="6"/>
      <c r="Y43" s="44">
        <v>0.154</v>
      </c>
      <c r="Z43" s="6"/>
      <c r="AA43" s="298">
        <f t="shared" si="2"/>
        <v>11</v>
      </c>
      <c r="AB43" s="6"/>
      <c r="AC43" s="302"/>
      <c r="AD43" s="295"/>
    </row>
    <row r="44" spans="3:30" x14ac:dyDescent="0.3">
      <c r="D44" s="323"/>
      <c r="E44" s="308" t="s">
        <v>44</v>
      </c>
      <c r="F44" s="308" t="s">
        <v>4</v>
      </c>
      <c r="G44" s="308"/>
      <c r="H44" s="308"/>
      <c r="I44" s="380">
        <v>1836</v>
      </c>
      <c r="J44" s="380"/>
      <c r="K44" s="381"/>
      <c r="L44" s="381"/>
      <c r="M44" s="381"/>
      <c r="N44" s="381"/>
      <c r="O44" s="315"/>
      <c r="T44" s="294"/>
      <c r="U44" s="296">
        <f t="shared" si="1"/>
        <v>43989</v>
      </c>
      <c r="V44" s="6"/>
      <c r="W44" s="297">
        <v>301798</v>
      </c>
      <c r="X44" s="6"/>
      <c r="Y44" s="44">
        <v>0.152</v>
      </c>
      <c r="Z44" s="6"/>
      <c r="AA44" s="298">
        <f t="shared" si="2"/>
        <v>-2245</v>
      </c>
      <c r="AB44" s="6"/>
      <c r="AC44" s="302"/>
      <c r="AD44" s="295"/>
    </row>
    <row r="45" spans="3:30" x14ac:dyDescent="0.3">
      <c r="D45" s="323"/>
      <c r="E45" s="308"/>
      <c r="F45" s="308" t="s">
        <v>45</v>
      </c>
      <c r="G45" s="308"/>
      <c r="H45" s="308"/>
      <c r="I45" s="382">
        <v>1397</v>
      </c>
      <c r="J45" s="380"/>
      <c r="K45" s="381"/>
      <c r="L45" s="380"/>
      <c r="M45" s="381"/>
      <c r="N45" s="383"/>
      <c r="O45" s="315"/>
      <c r="T45" s="294"/>
      <c r="U45" s="296">
        <f t="shared" si="1"/>
        <v>43990</v>
      </c>
      <c r="V45" s="6"/>
      <c r="W45" s="297">
        <v>301795</v>
      </c>
      <c r="X45" s="6"/>
      <c r="Y45" s="44">
        <v>0.15</v>
      </c>
      <c r="Z45" s="6"/>
      <c r="AA45" s="298">
        <f t="shared" si="2"/>
        <v>3</v>
      </c>
      <c r="AB45" s="6"/>
      <c r="AC45" s="302"/>
      <c r="AD45" s="295"/>
    </row>
    <row r="46" spans="3:30" x14ac:dyDescent="0.3">
      <c r="D46" s="323"/>
      <c r="E46" s="308"/>
      <c r="F46" s="312" t="s">
        <v>70</v>
      </c>
      <c r="G46" s="312"/>
      <c r="H46" s="312"/>
      <c r="I46" s="380">
        <f>+I43-I44-I45</f>
        <v>22172</v>
      </c>
      <c r="J46" s="380"/>
      <c r="K46" s="381"/>
      <c r="L46" s="381"/>
      <c r="M46" s="381"/>
      <c r="N46" s="381"/>
      <c r="O46" s="315"/>
      <c r="T46" s="294"/>
      <c r="U46" s="296">
        <f t="shared" si="1"/>
        <v>43991</v>
      </c>
      <c r="V46" s="6"/>
      <c r="W46" s="297">
        <v>300305</v>
      </c>
      <c r="X46" s="6"/>
      <c r="Y46" s="44">
        <v>0.14799999999999999</v>
      </c>
      <c r="Z46" s="6"/>
      <c r="AA46" s="298">
        <f t="shared" si="2"/>
        <v>1490</v>
      </c>
      <c r="AB46" s="6"/>
      <c r="AC46" s="302"/>
      <c r="AD46" s="295"/>
    </row>
    <row r="47" spans="3:30" x14ac:dyDescent="0.3">
      <c r="D47" s="323"/>
      <c r="E47" s="308" t="s">
        <v>77</v>
      </c>
      <c r="F47" s="310"/>
      <c r="G47" s="310"/>
      <c r="H47" s="310"/>
      <c r="I47" s="382">
        <f>+'Main Table'!AO151</f>
        <v>1290670</v>
      </c>
      <c r="J47" s="380"/>
      <c r="K47" s="381"/>
      <c r="L47" s="381"/>
      <c r="M47" s="381"/>
      <c r="N47" s="381"/>
      <c r="O47" s="315"/>
      <c r="T47" s="294"/>
      <c r="U47" s="296">
        <f t="shared" si="1"/>
        <v>43992</v>
      </c>
      <c r="V47" s="6"/>
      <c r="W47" s="297">
        <v>298430</v>
      </c>
      <c r="X47" s="6"/>
      <c r="Y47" s="44">
        <v>0.14599999999999999</v>
      </c>
      <c r="Z47" s="6"/>
      <c r="AA47" s="298">
        <f t="shared" si="2"/>
        <v>1875</v>
      </c>
      <c r="AB47" s="6"/>
      <c r="AC47" s="302"/>
      <c r="AD47" s="295"/>
    </row>
    <row r="48" spans="3:30" x14ac:dyDescent="0.3">
      <c r="D48" s="588" t="s">
        <v>49</v>
      </c>
      <c r="E48" s="589"/>
      <c r="F48" s="589"/>
      <c r="G48" s="589"/>
      <c r="H48" s="589"/>
      <c r="I48" s="313">
        <f>+I46-I47</f>
        <v>-1268498</v>
      </c>
      <c r="J48" s="380"/>
      <c r="K48" s="381"/>
      <c r="L48" s="381"/>
      <c r="M48" s="381"/>
      <c r="N48" s="381"/>
      <c r="O48" s="315"/>
      <c r="T48" s="294"/>
      <c r="U48" s="296">
        <f t="shared" si="1"/>
        <v>43993</v>
      </c>
      <c r="V48" s="6"/>
      <c r="W48" s="297">
        <v>296204</v>
      </c>
      <c r="X48" s="6"/>
      <c r="Y48" s="44">
        <v>0.14199999999999999</v>
      </c>
      <c r="Z48" s="6"/>
      <c r="AA48" s="298">
        <f t="shared" si="2"/>
        <v>2226</v>
      </c>
      <c r="AB48" s="6"/>
      <c r="AC48" s="302"/>
      <c r="AD48" s="295"/>
    </row>
    <row r="49" spans="4:32" x14ac:dyDescent="0.3">
      <c r="D49" s="323"/>
      <c r="E49" s="308" t="s">
        <v>71</v>
      </c>
      <c r="F49" s="310"/>
      <c r="G49" s="310"/>
      <c r="H49" s="310"/>
      <c r="I49" s="382">
        <f>+I47</f>
        <v>1290670</v>
      </c>
      <c r="J49" s="380"/>
      <c r="K49" s="381"/>
      <c r="L49" s="381"/>
      <c r="M49" s="381"/>
      <c r="N49" s="381"/>
      <c r="O49" s="315"/>
      <c r="T49" s="294"/>
      <c r="U49" s="296">
        <f t="shared" si="1"/>
        <v>43994</v>
      </c>
      <c r="V49" s="6"/>
      <c r="W49" s="297">
        <v>300135</v>
      </c>
      <c r="X49" s="6"/>
      <c r="Y49" s="44">
        <v>0.14199999999999999</v>
      </c>
      <c r="Z49" s="6"/>
      <c r="AA49" s="298">
        <f t="shared" si="2"/>
        <v>-3931</v>
      </c>
      <c r="AB49" s="6"/>
      <c r="AC49" s="302"/>
      <c r="AD49" s="295"/>
    </row>
    <row r="50" spans="4:32" ht="15" thickBot="1" x14ac:dyDescent="0.35">
      <c r="D50" s="588" t="s">
        <v>46</v>
      </c>
      <c r="E50" s="589"/>
      <c r="F50" s="589"/>
      <c r="G50" s="589"/>
      <c r="H50" s="589"/>
      <c r="I50" s="384">
        <f>+I48+I49</f>
        <v>22172</v>
      </c>
      <c r="J50" s="380"/>
      <c r="K50" s="590">
        <v>30167</v>
      </c>
      <c r="L50" s="590"/>
      <c r="M50" s="381"/>
      <c r="N50" s="385">
        <f>+K50-I50</f>
        <v>7995</v>
      </c>
      <c r="O50" s="315"/>
      <c r="T50" s="294"/>
      <c r="U50" s="296">
        <f t="shared" si="1"/>
        <v>43995</v>
      </c>
      <c r="V50" s="6"/>
      <c r="W50" s="297">
        <v>305087</v>
      </c>
      <c r="X50" s="6"/>
      <c r="Y50" s="44">
        <v>0.14199999999999999</v>
      </c>
      <c r="Z50" s="6"/>
      <c r="AA50" s="298">
        <f t="shared" si="2"/>
        <v>-4952</v>
      </c>
      <c r="AB50" s="6"/>
      <c r="AC50" s="302"/>
      <c r="AD50" s="295"/>
    </row>
    <row r="51" spans="4:32" ht="15.6" thickTop="1" thickBot="1" x14ac:dyDescent="0.35">
      <c r="D51" s="314"/>
      <c r="E51" s="591" t="s">
        <v>69</v>
      </c>
      <c r="F51" s="591"/>
      <c r="G51" s="591"/>
      <c r="H51" s="312"/>
      <c r="I51" s="386">
        <f>+I50/K50</f>
        <v>0.73497530414028578</v>
      </c>
      <c r="J51" s="381"/>
      <c r="K51" s="381"/>
      <c r="L51" s="381"/>
      <c r="M51" s="381"/>
      <c r="N51" s="387">
        <f>+N50/K50</f>
        <v>0.26502469585971428</v>
      </c>
      <c r="O51" s="315"/>
      <c r="S51" s="56"/>
      <c r="T51" s="294"/>
      <c r="U51" s="296">
        <f>+U50+1</f>
        <v>43996</v>
      </c>
      <c r="V51" s="6"/>
      <c r="W51" s="297">
        <v>302731</v>
      </c>
      <c r="X51" s="6"/>
      <c r="Y51" s="44">
        <v>0.14000000000000001</v>
      </c>
      <c r="Z51" s="6"/>
      <c r="AA51" s="298">
        <f t="shared" si="2"/>
        <v>2356</v>
      </c>
      <c r="AB51" s="6"/>
      <c r="AC51" s="302"/>
      <c r="AD51" s="295"/>
    </row>
    <row r="52" spans="4:32" ht="15.6" thickTop="1" thickBot="1" x14ac:dyDescent="0.35">
      <c r="D52" s="324"/>
      <c r="E52" s="325"/>
      <c r="F52" s="325"/>
      <c r="G52" s="325"/>
      <c r="H52" s="325"/>
      <c r="I52" s="388"/>
      <c r="J52" s="389"/>
      <c r="K52" s="390"/>
      <c r="L52" s="390"/>
      <c r="M52" s="390"/>
      <c r="N52" s="390"/>
      <c r="O52" s="318"/>
      <c r="T52" s="294"/>
      <c r="U52" s="296">
        <f t="shared" ref="U52:U88" si="3">+U51+1</f>
        <v>43997</v>
      </c>
      <c r="V52" s="6"/>
      <c r="W52" s="297">
        <v>301583</v>
      </c>
      <c r="X52" s="6"/>
      <c r="Y52" s="44">
        <v>0.13800000000000001</v>
      </c>
      <c r="Z52" s="6"/>
      <c r="AA52" s="298">
        <f t="shared" ref="AA52:AA63" si="4">+W51-W52</f>
        <v>1148</v>
      </c>
      <c r="AB52" s="6"/>
      <c r="AC52" s="302"/>
      <c r="AD52" s="295"/>
    </row>
    <row r="53" spans="4:32" ht="15" thickBot="1" x14ac:dyDescent="0.35">
      <c r="D53" s="90"/>
      <c r="E53" s="152"/>
      <c r="F53" s="152"/>
      <c r="G53" s="152"/>
      <c r="H53" s="152"/>
      <c r="I53" s="354"/>
      <c r="J53" s="90"/>
      <c r="K53" s="110"/>
      <c r="L53" s="110"/>
      <c r="M53" s="360"/>
      <c r="N53" s="110"/>
      <c r="O53" s="110"/>
      <c r="P53" s="61"/>
      <c r="Q53" s="61"/>
      <c r="R53" s="61"/>
      <c r="T53" s="294"/>
      <c r="U53" s="296">
        <f t="shared" si="3"/>
        <v>43998</v>
      </c>
      <c r="V53" s="6"/>
      <c r="W53" s="297">
        <v>306362</v>
      </c>
      <c r="X53" s="6"/>
      <c r="Y53" s="44">
        <v>0.13900000000000001</v>
      </c>
      <c r="Z53" s="6"/>
      <c r="AA53" s="298">
        <f t="shared" si="4"/>
        <v>-4779</v>
      </c>
      <c r="AB53" s="6"/>
      <c r="AC53" s="302"/>
      <c r="AD53" s="295"/>
    </row>
    <row r="54" spans="4:32" ht="16.2" thickBot="1" x14ac:dyDescent="0.35">
      <c r="D54" s="361"/>
      <c r="E54" s="592" t="s">
        <v>128</v>
      </c>
      <c r="F54" s="593"/>
      <c r="G54" s="593"/>
      <c r="H54" s="593"/>
      <c r="I54" s="593"/>
      <c r="J54" s="594"/>
      <c r="K54" s="362"/>
      <c r="L54" s="365" t="s">
        <v>10</v>
      </c>
      <c r="M54" s="364"/>
      <c r="N54" s="110"/>
      <c r="O54" s="110"/>
      <c r="P54" s="61"/>
      <c r="Q54" s="61"/>
      <c r="R54" s="61"/>
      <c r="T54" s="294"/>
      <c r="U54" s="296">
        <f t="shared" si="3"/>
        <v>43999</v>
      </c>
      <c r="V54" s="6"/>
      <c r="W54" s="297">
        <v>310165</v>
      </c>
      <c r="X54" s="6"/>
      <c r="Y54" s="44">
        <v>0.13900000000000001</v>
      </c>
      <c r="Z54" s="6"/>
      <c r="AA54" s="298">
        <f t="shared" si="4"/>
        <v>-3803</v>
      </c>
      <c r="AB54" s="6"/>
      <c r="AC54" s="302"/>
      <c r="AD54" s="295"/>
    </row>
    <row r="55" spans="4:32" x14ac:dyDescent="0.3">
      <c r="D55" s="323"/>
      <c r="E55" s="355" t="s">
        <v>88</v>
      </c>
      <c r="F55" s="310"/>
      <c r="G55" s="310"/>
      <c r="H55" s="310"/>
      <c r="I55" s="595">
        <f>+K50</f>
        <v>30167</v>
      </c>
      <c r="J55" s="595"/>
      <c r="K55" s="310"/>
      <c r="L55" s="356">
        <f>+I55/$I$55</f>
        <v>1</v>
      </c>
      <c r="M55" s="363"/>
      <c r="N55" s="110"/>
      <c r="O55" s="110"/>
      <c r="P55" s="61"/>
      <c r="Q55" s="61"/>
      <c r="R55" s="61"/>
      <c r="T55" s="294"/>
      <c r="U55" s="296">
        <f t="shared" si="3"/>
        <v>44000</v>
      </c>
      <c r="V55" s="6"/>
      <c r="W55" s="297">
        <v>321504</v>
      </c>
      <c r="X55" s="6"/>
      <c r="Y55" s="44">
        <v>0.13800000000000001</v>
      </c>
      <c r="Z55" s="6"/>
      <c r="AA55" s="298">
        <f t="shared" si="4"/>
        <v>-11339</v>
      </c>
      <c r="AB55" s="6"/>
      <c r="AC55" s="302"/>
      <c r="AD55" s="295"/>
    </row>
    <row r="56" spans="4:32" x14ac:dyDescent="0.3">
      <c r="D56" s="323"/>
      <c r="E56" s="355"/>
      <c r="F56" s="310"/>
      <c r="G56" s="310"/>
      <c r="H56" s="310"/>
      <c r="I56" s="310"/>
      <c r="J56" s="310"/>
      <c r="K56" s="310"/>
      <c r="L56" s="310"/>
      <c r="M56" s="363"/>
      <c r="N56" s="110"/>
      <c r="O56" s="110"/>
      <c r="P56" s="61"/>
      <c r="Q56" s="61"/>
      <c r="R56" s="61"/>
      <c r="T56" s="294"/>
      <c r="U56" s="296">
        <f t="shared" si="3"/>
        <v>44001</v>
      </c>
      <c r="V56" s="6"/>
      <c r="W56" s="297">
        <v>323237</v>
      </c>
      <c r="X56" s="6"/>
      <c r="Y56" s="44">
        <v>0.14099999999999999</v>
      </c>
      <c r="Z56" s="6"/>
      <c r="AA56" s="298">
        <f t="shared" si="4"/>
        <v>-1733</v>
      </c>
      <c r="AB56" s="6"/>
      <c r="AC56" s="302"/>
      <c r="AD56" s="295"/>
    </row>
    <row r="57" spans="4:32" x14ac:dyDescent="0.3">
      <c r="D57" s="314"/>
      <c r="E57" s="311"/>
      <c r="F57" s="357" t="s">
        <v>113</v>
      </c>
      <c r="G57" s="357"/>
      <c r="H57" s="311"/>
      <c r="I57" s="596">
        <f>+I50</f>
        <v>22172</v>
      </c>
      <c r="J57" s="597"/>
      <c r="K57" s="311"/>
      <c r="L57" s="356">
        <f>+I57/$I$55</f>
        <v>0.73497530414028578</v>
      </c>
      <c r="M57" s="315"/>
      <c r="N57" s="110"/>
      <c r="O57" s="110"/>
      <c r="P57" s="61"/>
      <c r="Q57" s="61"/>
      <c r="R57" s="61"/>
      <c r="T57" s="294"/>
      <c r="U57" s="296">
        <f t="shared" si="3"/>
        <v>44002</v>
      </c>
      <c r="V57" s="6"/>
      <c r="W57" s="297">
        <v>338196</v>
      </c>
      <c r="X57" s="6"/>
      <c r="Y57" s="44">
        <v>0.14499999999999999</v>
      </c>
      <c r="Z57" s="6"/>
      <c r="AA57" s="298">
        <f t="shared" si="4"/>
        <v>-14959</v>
      </c>
      <c r="AB57" s="6"/>
      <c r="AC57" s="302"/>
      <c r="AD57" s="295"/>
    </row>
    <row r="58" spans="4:32" x14ac:dyDescent="0.3">
      <c r="D58" s="314"/>
      <c r="E58" s="311"/>
      <c r="F58" s="311" t="s">
        <v>89</v>
      </c>
      <c r="G58" s="311"/>
      <c r="H58" s="311"/>
      <c r="I58" s="598">
        <f>+I44</f>
        <v>1836</v>
      </c>
      <c r="J58" s="599"/>
      <c r="K58" s="311"/>
      <c r="L58" s="356">
        <f>+I58/$I$55</f>
        <v>6.0861205953525378E-2</v>
      </c>
      <c r="M58" s="315"/>
      <c r="N58" s="110"/>
      <c r="O58" s="110"/>
      <c r="P58" s="61"/>
      <c r="Q58" s="61"/>
      <c r="R58" s="61"/>
      <c r="T58" s="294"/>
      <c r="U58" s="296">
        <f t="shared" si="3"/>
        <v>44003</v>
      </c>
      <c r="V58" s="6"/>
      <c r="W58" s="297">
        <v>345179</v>
      </c>
      <c r="X58" s="6"/>
      <c r="Y58" s="44">
        <v>0.14699999999999999</v>
      </c>
      <c r="Z58" s="6"/>
      <c r="AA58" s="298">
        <f t="shared" si="4"/>
        <v>-6983</v>
      </c>
      <c r="AB58" s="6"/>
      <c r="AC58" s="302"/>
      <c r="AD58" s="295"/>
    </row>
    <row r="59" spans="4:32" ht="15" thickBot="1" x14ac:dyDescent="0.35">
      <c r="D59" s="314"/>
      <c r="E59" s="600" t="s">
        <v>114</v>
      </c>
      <c r="F59" s="600"/>
      <c r="G59" s="600"/>
      <c r="H59" s="311"/>
      <c r="I59" s="601">
        <f>+I55-I57-I58</f>
        <v>6159</v>
      </c>
      <c r="J59" s="602"/>
      <c r="K59" s="358"/>
      <c r="L59" s="359">
        <f>+I59/$I$55</f>
        <v>0.20416348990618888</v>
      </c>
      <c r="M59" s="315"/>
      <c r="N59" s="110"/>
      <c r="O59" s="110"/>
      <c r="P59" s="158"/>
      <c r="Q59" s="158"/>
      <c r="R59" s="158"/>
      <c r="T59" s="294"/>
      <c r="U59" s="296">
        <f t="shared" si="3"/>
        <v>44004</v>
      </c>
      <c r="V59" s="6"/>
      <c r="W59" s="297">
        <v>336790</v>
      </c>
      <c r="X59" s="6"/>
      <c r="Y59" s="44">
        <v>0.14099999999999999</v>
      </c>
      <c r="Z59" s="6"/>
      <c r="AA59" s="298">
        <f t="shared" si="4"/>
        <v>8389</v>
      </c>
      <c r="AB59" s="6"/>
      <c r="AC59" s="302"/>
      <c r="AD59" s="295"/>
    </row>
    <row r="60" spans="4:32" ht="15" thickTop="1" x14ac:dyDescent="0.3">
      <c r="D60" s="314"/>
      <c r="E60" s="468"/>
      <c r="F60" s="468" t="s">
        <v>129</v>
      </c>
      <c r="G60" s="468"/>
      <c r="H60" s="311"/>
      <c r="I60" s="603">
        <f>+I45</f>
        <v>1397</v>
      </c>
      <c r="J60" s="603"/>
      <c r="K60" s="358"/>
      <c r="L60" s="378"/>
      <c r="M60" s="315"/>
      <c r="N60" s="110"/>
      <c r="O60" s="110"/>
      <c r="P60" s="158"/>
      <c r="Q60" s="158"/>
      <c r="R60" s="158"/>
      <c r="T60" s="294"/>
      <c r="U60" s="296">
        <f t="shared" si="3"/>
        <v>44005</v>
      </c>
      <c r="V60" s="6"/>
      <c r="W60" s="297">
        <v>349505</v>
      </c>
      <c r="X60" s="6"/>
      <c r="Y60" s="44">
        <v>0.14399999999999999</v>
      </c>
      <c r="Z60" s="6"/>
      <c r="AA60" s="298">
        <f t="shared" si="4"/>
        <v>-12715</v>
      </c>
      <c r="AB60" s="6"/>
      <c r="AC60" s="302"/>
      <c r="AD60" s="295"/>
      <c r="AF60" s="61"/>
    </row>
    <row r="61" spans="4:32" ht="15" thickBot="1" x14ac:dyDescent="0.35">
      <c r="D61" s="314"/>
      <c r="E61" s="377"/>
      <c r="F61" s="377" t="s">
        <v>130</v>
      </c>
      <c r="G61" s="377"/>
      <c r="H61" s="311"/>
      <c r="I61" s="601">
        <f>+I59-I60</f>
        <v>4762</v>
      </c>
      <c r="J61" s="601"/>
      <c r="K61" s="358"/>
      <c r="L61" s="359">
        <f>+I61/K50</f>
        <v>0.15785460934133325</v>
      </c>
      <c r="M61" s="315"/>
      <c r="N61" s="110"/>
      <c r="O61" s="110"/>
      <c r="P61" s="61"/>
      <c r="Q61" s="61"/>
      <c r="R61" s="61"/>
      <c r="T61" s="294"/>
      <c r="U61" s="296">
        <f t="shared" si="3"/>
        <v>44006</v>
      </c>
      <c r="V61" s="6"/>
      <c r="W61" s="297">
        <v>361428</v>
      </c>
      <c r="X61" s="6"/>
      <c r="Y61" s="44">
        <v>0.14699999999999999</v>
      </c>
      <c r="Z61" s="6"/>
      <c r="AA61" s="298">
        <f t="shared" si="4"/>
        <v>-11923</v>
      </c>
      <c r="AB61" s="6"/>
      <c r="AC61" s="302"/>
      <c r="AD61" s="295"/>
    </row>
    <row r="62" spans="4:32" ht="15.6" thickTop="1" thickBot="1" x14ac:dyDescent="0.35">
      <c r="D62" s="316"/>
      <c r="E62" s="317"/>
      <c r="F62" s="317"/>
      <c r="G62" s="317"/>
      <c r="H62" s="317"/>
      <c r="I62" s="317"/>
      <c r="J62" s="317"/>
      <c r="K62" s="317"/>
      <c r="L62" s="317"/>
      <c r="M62" s="318"/>
      <c r="N62" s="110"/>
      <c r="O62" s="110"/>
      <c r="P62" s="61"/>
      <c r="Q62" s="61"/>
      <c r="R62" s="61"/>
      <c r="T62" s="294"/>
      <c r="U62" s="296">
        <f t="shared" si="3"/>
        <v>44007</v>
      </c>
      <c r="V62" s="6"/>
      <c r="W62" s="297">
        <v>374775</v>
      </c>
      <c r="X62" s="6"/>
      <c r="Y62" s="44">
        <v>0.15</v>
      </c>
      <c r="Z62" s="6"/>
      <c r="AA62" s="298">
        <f t="shared" si="4"/>
        <v>-13347</v>
      </c>
      <c r="AB62" s="6"/>
      <c r="AC62" s="302"/>
      <c r="AD62" s="295"/>
    </row>
    <row r="63" spans="4:32" ht="15" thickBot="1" x14ac:dyDescent="0.35">
      <c r="T63" s="294"/>
      <c r="U63" s="296">
        <f t="shared" si="3"/>
        <v>44008</v>
      </c>
      <c r="V63" s="6"/>
      <c r="W63" s="297">
        <v>402712</v>
      </c>
      <c r="X63" s="6"/>
      <c r="Y63" s="44">
        <v>0.158</v>
      </c>
      <c r="Z63" s="6"/>
      <c r="AA63" s="298">
        <f t="shared" si="4"/>
        <v>-27937</v>
      </c>
      <c r="AB63" s="6"/>
      <c r="AC63" s="302"/>
      <c r="AD63" s="295"/>
    </row>
    <row r="64" spans="4:32" ht="15" thickBot="1" x14ac:dyDescent="0.35">
      <c r="E64" s="592" t="s">
        <v>117</v>
      </c>
      <c r="F64" s="593"/>
      <c r="G64" s="593"/>
      <c r="H64" s="593"/>
      <c r="I64" s="593"/>
      <c r="J64" s="593"/>
      <c r="K64" s="593"/>
      <c r="L64" s="593"/>
      <c r="M64" s="594"/>
      <c r="P64" s="371"/>
      <c r="Q64" s="371"/>
      <c r="R64" s="371"/>
      <c r="T64" s="294"/>
      <c r="U64" s="296">
        <f t="shared" si="3"/>
        <v>44009</v>
      </c>
      <c r="V64" s="6"/>
      <c r="W64" s="297">
        <v>425664</v>
      </c>
      <c r="X64" s="6"/>
      <c r="Y64" s="44">
        <v>0.16400000000000001</v>
      </c>
      <c r="Z64" s="6"/>
      <c r="AA64" s="298">
        <f t="shared" ref="AA64" si="5">+W63-W64</f>
        <v>-22952</v>
      </c>
      <c r="AB64" s="6"/>
      <c r="AC64" s="302"/>
      <c r="AD64" s="295"/>
    </row>
    <row r="65" spans="4:30" x14ac:dyDescent="0.3">
      <c r="E65" s="366"/>
      <c r="F65" s="319" t="s">
        <v>109</v>
      </c>
      <c r="G65" s="319"/>
      <c r="H65" s="319"/>
      <c r="I65" s="587">
        <v>11690000</v>
      </c>
      <c r="J65" s="587"/>
      <c r="K65" s="587"/>
      <c r="L65" s="587"/>
      <c r="M65" s="367"/>
      <c r="P65" s="57"/>
      <c r="Q65" s="57"/>
      <c r="R65" s="57"/>
      <c r="S65" s="57"/>
      <c r="T65" s="294"/>
      <c r="U65" s="296">
        <f t="shared" si="3"/>
        <v>44010</v>
      </c>
      <c r="V65" s="6"/>
      <c r="W65" s="297">
        <v>440910</v>
      </c>
      <c r="X65" s="6"/>
      <c r="Y65" s="44">
        <v>0.16700000000000001</v>
      </c>
      <c r="Z65" s="6"/>
      <c r="AA65" s="298">
        <f t="shared" ref="AA65" si="6">+W64-W65</f>
        <v>-15246</v>
      </c>
      <c r="AB65" s="6"/>
      <c r="AC65" s="302"/>
      <c r="AD65" s="295"/>
    </row>
    <row r="66" spans="4:30" x14ac:dyDescent="0.3">
      <c r="E66" s="366"/>
      <c r="F66" s="319" t="s">
        <v>110</v>
      </c>
      <c r="G66" s="319"/>
      <c r="H66" s="319"/>
      <c r="I66" s="319"/>
      <c r="J66" s="319"/>
      <c r="K66" s="319"/>
      <c r="L66" s="320">
        <f>+I59/I65</f>
        <v>5.2686056458511551E-4</v>
      </c>
      <c r="M66" s="367"/>
      <c r="T66" s="294"/>
      <c r="U66" s="296">
        <f t="shared" si="3"/>
        <v>44011</v>
      </c>
      <c r="V66" s="6"/>
      <c r="W66" s="297">
        <v>459097</v>
      </c>
      <c r="X66" s="6"/>
      <c r="Y66" s="44">
        <v>0.17100000000000001</v>
      </c>
      <c r="Z66" s="6"/>
      <c r="AA66" s="298">
        <f t="shared" ref="AA66" si="7">+W65-W66</f>
        <v>-18187</v>
      </c>
      <c r="AB66" s="6"/>
      <c r="AC66" s="302"/>
      <c r="AD66" s="295"/>
    </row>
    <row r="67" spans="4:30" x14ac:dyDescent="0.3">
      <c r="E67" s="366"/>
      <c r="F67" s="614" t="s">
        <v>108</v>
      </c>
      <c r="G67" s="614"/>
      <c r="H67" s="319"/>
      <c r="I67" s="319"/>
      <c r="J67" s="319"/>
      <c r="K67" s="319"/>
      <c r="L67" s="379">
        <f>+I59/(I65/100000)</f>
        <v>52.686056458511544</v>
      </c>
      <c r="M67" s="367"/>
      <c r="T67" s="294"/>
      <c r="U67" s="296">
        <f t="shared" si="3"/>
        <v>44012</v>
      </c>
      <c r="V67" s="6"/>
      <c r="W67" s="297">
        <v>477287</v>
      </c>
      <c r="X67" s="6"/>
      <c r="Y67" s="44">
        <v>0.17499999999999999</v>
      </c>
      <c r="Z67" s="6"/>
      <c r="AA67" s="298">
        <f t="shared" ref="AA67" si="8">+W66-W67</f>
        <v>-18190</v>
      </c>
      <c r="AB67" s="6"/>
      <c r="AC67" s="302"/>
      <c r="AD67" s="295"/>
    </row>
    <row r="68" spans="4:30" ht="15" thickBot="1" x14ac:dyDescent="0.35">
      <c r="E68" s="368"/>
      <c r="F68" s="369"/>
      <c r="G68" s="369"/>
      <c r="H68" s="369"/>
      <c r="I68" s="369"/>
      <c r="J68" s="369"/>
      <c r="K68" s="369"/>
      <c r="L68" s="369"/>
      <c r="M68" s="370"/>
      <c r="T68" s="294"/>
      <c r="U68" s="296">
        <f t="shared" si="3"/>
        <v>44013</v>
      </c>
      <c r="V68" s="6"/>
      <c r="W68" s="297">
        <v>494808</v>
      </c>
      <c r="X68" s="6"/>
      <c r="Y68" s="44">
        <v>0.17799999999999999</v>
      </c>
      <c r="Z68" s="6"/>
      <c r="AA68" s="298">
        <f t="shared" ref="AA68" si="9">+W67-W68</f>
        <v>-17521</v>
      </c>
      <c r="AB68" s="6"/>
      <c r="AC68" s="302"/>
      <c r="AD68" s="295"/>
    </row>
    <row r="69" spans="4:30" x14ac:dyDescent="0.3">
      <c r="T69" s="294"/>
      <c r="U69" s="296">
        <f t="shared" si="3"/>
        <v>44014</v>
      </c>
      <c r="V69" s="6"/>
      <c r="W69" s="297">
        <v>518711</v>
      </c>
      <c r="X69" s="6"/>
      <c r="Y69" s="44">
        <v>0.183</v>
      </c>
      <c r="Z69" s="6"/>
      <c r="AA69" s="298">
        <f t="shared" ref="AA69" si="10">+W68-W69</f>
        <v>-23903</v>
      </c>
      <c r="AB69" s="6"/>
      <c r="AC69" s="302"/>
      <c r="AD69" s="295"/>
    </row>
    <row r="70" spans="4:30" x14ac:dyDescent="0.3">
      <c r="T70" s="294"/>
      <c r="U70" s="296">
        <f t="shared" si="3"/>
        <v>44015</v>
      </c>
      <c r="V70" s="6"/>
      <c r="W70" s="297">
        <v>537924</v>
      </c>
      <c r="X70" s="6"/>
      <c r="Y70" s="44">
        <v>0.187</v>
      </c>
      <c r="Z70" s="6"/>
      <c r="AA70" s="298">
        <f t="shared" ref="AA70" si="11">+W69-W70</f>
        <v>-19213</v>
      </c>
      <c r="AB70" s="6"/>
      <c r="AC70" s="302"/>
      <c r="AD70" s="295"/>
    </row>
    <row r="71" spans="4:30" ht="15" thickBot="1" x14ac:dyDescent="0.35">
      <c r="T71" s="294"/>
      <c r="U71" s="296">
        <f t="shared" si="3"/>
        <v>44016</v>
      </c>
      <c r="V71" s="6"/>
      <c r="W71" s="297">
        <v>561332</v>
      </c>
      <c r="X71" s="6"/>
      <c r="Y71" s="44">
        <v>0.191</v>
      </c>
      <c r="Z71" s="6"/>
      <c r="AA71" s="298">
        <f t="shared" ref="AA71" si="12">+W70-W71</f>
        <v>-23408</v>
      </c>
      <c r="AB71" s="6"/>
      <c r="AC71" s="302"/>
      <c r="AD71" s="295"/>
    </row>
    <row r="72" spans="4:30" ht="15" thickBot="1" x14ac:dyDescent="0.35">
      <c r="D72" s="562" t="s">
        <v>131</v>
      </c>
      <c r="E72" s="563"/>
      <c r="F72" s="563"/>
      <c r="G72" s="563"/>
      <c r="H72" s="563"/>
      <c r="I72" s="563"/>
      <c r="J72" s="563"/>
      <c r="K72" s="563"/>
      <c r="L72" s="563"/>
      <c r="M72" s="563"/>
      <c r="N72" s="563"/>
      <c r="O72" s="564"/>
      <c r="T72" s="294"/>
      <c r="U72" s="296">
        <f t="shared" si="3"/>
        <v>44017</v>
      </c>
      <c r="V72" s="6"/>
      <c r="W72" s="297">
        <v>569824</v>
      </c>
      <c r="X72" s="6"/>
      <c r="Y72" s="44">
        <v>0.191</v>
      </c>
      <c r="Z72" s="6"/>
      <c r="AA72" s="298">
        <f t="shared" ref="AA72" si="13">+W71-W72</f>
        <v>-8492</v>
      </c>
      <c r="AB72" s="6"/>
      <c r="AC72" s="302"/>
      <c r="AD72" s="295"/>
    </row>
    <row r="73" spans="4:30" ht="15" thickBot="1" x14ac:dyDescent="0.35">
      <c r="D73" s="398"/>
      <c r="E73" s="565" t="s">
        <v>75</v>
      </c>
      <c r="F73" s="565"/>
      <c r="G73" s="565"/>
      <c r="H73" s="565"/>
      <c r="I73" s="399" t="s">
        <v>74</v>
      </c>
      <c r="J73" s="400"/>
      <c r="K73" s="566" t="s">
        <v>37</v>
      </c>
      <c r="L73" s="566"/>
      <c r="M73" s="401"/>
      <c r="N73" s="402" t="s">
        <v>73</v>
      </c>
      <c r="O73" s="403"/>
      <c r="T73" s="294"/>
      <c r="U73" s="296">
        <f t="shared" si="3"/>
        <v>44018</v>
      </c>
      <c r="V73" s="6"/>
      <c r="W73" s="297">
        <v>581179</v>
      </c>
      <c r="X73" s="6"/>
      <c r="Y73" s="44">
        <v>0.192</v>
      </c>
      <c r="Z73" s="6"/>
      <c r="AA73" s="298">
        <f t="shared" ref="AA73" si="14">+W72-W73</f>
        <v>-11355</v>
      </c>
      <c r="AB73" s="6"/>
      <c r="AC73" s="302"/>
      <c r="AD73" s="295"/>
    </row>
    <row r="74" spans="4:30" x14ac:dyDescent="0.3">
      <c r="D74" s="404"/>
      <c r="E74" s="405" t="s">
        <v>43</v>
      </c>
      <c r="F74" s="406"/>
      <c r="G74" s="405"/>
      <c r="H74" s="405"/>
      <c r="I74" s="407">
        <v>38828</v>
      </c>
      <c r="J74" s="407"/>
      <c r="K74" s="408"/>
      <c r="L74" s="408"/>
      <c r="M74" s="408"/>
      <c r="N74" s="408"/>
      <c r="O74" s="409"/>
      <c r="T74" s="294"/>
      <c r="U74" s="296">
        <f t="shared" si="3"/>
        <v>44019</v>
      </c>
      <c r="V74" s="6"/>
      <c r="W74" s="297">
        <v>606840</v>
      </c>
      <c r="X74" s="6"/>
      <c r="Y74" s="44">
        <v>0.19600000000000001</v>
      </c>
      <c r="Z74" s="6"/>
      <c r="AA74" s="298">
        <f t="shared" ref="AA74" si="15">+W73-W74</f>
        <v>-25661</v>
      </c>
      <c r="AB74" s="6"/>
      <c r="AC74" s="302"/>
      <c r="AD74" s="295"/>
    </row>
    <row r="75" spans="4:30" x14ac:dyDescent="0.3">
      <c r="D75" s="404"/>
      <c r="E75" s="405" t="s">
        <v>44</v>
      </c>
      <c r="F75" s="405" t="s">
        <v>4</v>
      </c>
      <c r="G75" s="405"/>
      <c r="H75" s="405"/>
      <c r="I75" s="407">
        <v>2144</v>
      </c>
      <c r="J75" s="407"/>
      <c r="K75" s="408"/>
      <c r="L75" s="408"/>
      <c r="M75" s="408"/>
      <c r="N75" s="408"/>
      <c r="O75" s="409"/>
      <c r="T75" s="294"/>
      <c r="U75" s="296">
        <f t="shared" si="3"/>
        <v>44020</v>
      </c>
      <c r="V75" s="6"/>
      <c r="W75" s="297">
        <v>621347</v>
      </c>
      <c r="X75" s="6"/>
      <c r="Y75" s="44">
        <v>0.19700000000000001</v>
      </c>
      <c r="Z75" s="6"/>
      <c r="AA75" s="298">
        <f t="shared" ref="AA75" si="16">+W74-W75</f>
        <v>-14507</v>
      </c>
      <c r="AB75" s="6"/>
      <c r="AC75" s="302"/>
      <c r="AD75" s="295"/>
    </row>
    <row r="76" spans="4:30" x14ac:dyDescent="0.3">
      <c r="D76" s="404"/>
      <c r="E76" s="405"/>
      <c r="F76" s="405" t="s">
        <v>45</v>
      </c>
      <c r="G76" s="405"/>
      <c r="H76" s="405"/>
      <c r="I76" s="410"/>
      <c r="J76" s="407"/>
      <c r="K76" s="408"/>
      <c r="L76" s="407"/>
      <c r="M76" s="408"/>
      <c r="N76" s="411"/>
      <c r="O76" s="409"/>
      <c r="T76" s="294"/>
      <c r="U76" s="296">
        <f t="shared" si="3"/>
        <v>44021</v>
      </c>
      <c r="V76" s="6"/>
      <c r="W76" s="297">
        <v>639107</v>
      </c>
      <c r="X76" s="6"/>
      <c r="Y76" s="44">
        <v>0.19800000000000001</v>
      </c>
      <c r="Z76" s="6"/>
      <c r="AA76" s="298">
        <f t="shared" ref="AA76" si="17">+W75-W76</f>
        <v>-17760</v>
      </c>
      <c r="AB76" s="6"/>
      <c r="AC76" s="302"/>
      <c r="AD76" s="295"/>
    </row>
    <row r="77" spans="4:30" x14ac:dyDescent="0.3">
      <c r="D77" s="404"/>
      <c r="E77" s="405"/>
      <c r="F77" s="412" t="s">
        <v>70</v>
      </c>
      <c r="G77" s="412"/>
      <c r="H77" s="412"/>
      <c r="I77" s="407">
        <f>+I74-I75-I76</f>
        <v>36684</v>
      </c>
      <c r="J77" s="407"/>
      <c r="K77" s="408"/>
      <c r="L77" s="408"/>
      <c r="M77" s="408"/>
      <c r="N77" s="408"/>
      <c r="O77" s="409"/>
      <c r="T77" s="294"/>
      <c r="U77" s="296">
        <f t="shared" si="3"/>
        <v>44022</v>
      </c>
      <c r="V77" s="6"/>
      <c r="W77" s="297">
        <v>670486</v>
      </c>
      <c r="X77" s="6"/>
      <c r="Y77" s="44">
        <v>0.20399999999999999</v>
      </c>
      <c r="Z77" s="6"/>
      <c r="AA77" s="298">
        <f t="shared" ref="AA77" si="18">+W76-W77</f>
        <v>-31379</v>
      </c>
      <c r="AB77" s="6"/>
      <c r="AC77" s="302"/>
      <c r="AD77" s="295"/>
    </row>
    <row r="78" spans="4:30" x14ac:dyDescent="0.3">
      <c r="D78" s="404"/>
      <c r="E78" s="405" t="s">
        <v>77</v>
      </c>
      <c r="F78" s="16"/>
      <c r="G78" s="16"/>
      <c r="H78" s="16"/>
      <c r="I78" s="410">
        <f>+'Main Table'!AO185</f>
        <v>0</v>
      </c>
      <c r="J78" s="407"/>
      <c r="K78" s="408"/>
      <c r="L78" s="408"/>
      <c r="M78" s="408"/>
      <c r="N78" s="408"/>
      <c r="O78" s="409"/>
      <c r="T78" s="294"/>
      <c r="U78" s="296">
        <f t="shared" si="3"/>
        <v>44023</v>
      </c>
      <c r="V78" s="6"/>
      <c r="W78" s="297">
        <v>687513</v>
      </c>
      <c r="X78" s="6"/>
      <c r="Y78" s="44">
        <v>0.20499999999999999</v>
      </c>
      <c r="Z78" s="6"/>
      <c r="AA78" s="298">
        <f t="shared" ref="AA78" si="19">+W77-W78</f>
        <v>-17027</v>
      </c>
      <c r="AB78" s="6"/>
      <c r="AC78" s="302"/>
      <c r="AD78" s="295"/>
    </row>
    <row r="79" spans="4:30" x14ac:dyDescent="0.3">
      <c r="D79" s="567" t="s">
        <v>49</v>
      </c>
      <c r="E79" s="568"/>
      <c r="F79" s="568"/>
      <c r="G79" s="568"/>
      <c r="H79" s="568"/>
      <c r="I79" s="413">
        <f>+I77-I78</f>
        <v>36684</v>
      </c>
      <c r="J79" s="407"/>
      <c r="K79" s="408"/>
      <c r="L79" s="408"/>
      <c r="M79" s="408"/>
      <c r="N79" s="408"/>
      <c r="O79" s="409"/>
      <c r="T79" s="294"/>
      <c r="U79" s="296">
        <f t="shared" si="3"/>
        <v>44024</v>
      </c>
      <c r="V79" s="6"/>
      <c r="W79" s="297">
        <f>+I$36</f>
        <v>699823</v>
      </c>
      <c r="X79" s="6"/>
      <c r="Y79" s="44">
        <f>+L$36</f>
        <v>0.20511516612375558</v>
      </c>
      <c r="Z79" s="6"/>
      <c r="AA79" s="298">
        <f t="shared" ref="AA79" si="20">+W78-W79</f>
        <v>-12310</v>
      </c>
      <c r="AB79" s="6"/>
      <c r="AC79" s="302"/>
      <c r="AD79" s="295"/>
    </row>
    <row r="80" spans="4:30" x14ac:dyDescent="0.3">
      <c r="D80" s="404"/>
      <c r="E80" s="405" t="s">
        <v>71</v>
      </c>
      <c r="F80" s="16"/>
      <c r="G80" s="16"/>
      <c r="H80" s="16"/>
      <c r="I80" s="410">
        <f>+I78</f>
        <v>0</v>
      </c>
      <c r="J80" s="407"/>
      <c r="K80" s="408"/>
      <c r="L80" s="408"/>
      <c r="M80" s="408"/>
      <c r="N80" s="408"/>
      <c r="O80" s="409"/>
      <c r="T80" s="294"/>
      <c r="U80" s="296">
        <f t="shared" si="3"/>
        <v>44025</v>
      </c>
      <c r="V80" s="6"/>
      <c r="W80" s="297"/>
      <c r="X80" s="6"/>
      <c r="Y80" s="44"/>
      <c r="Z80" s="6"/>
      <c r="AA80" s="298"/>
      <c r="AB80" s="6"/>
      <c r="AC80" s="302"/>
      <c r="AD80" s="295"/>
    </row>
    <row r="81" spans="4:36" ht="15" thickBot="1" x14ac:dyDescent="0.35">
      <c r="D81" s="567" t="s">
        <v>46</v>
      </c>
      <c r="E81" s="568"/>
      <c r="F81" s="568"/>
      <c r="G81" s="568"/>
      <c r="H81" s="568"/>
      <c r="I81" s="414">
        <f>+I79+I80</f>
        <v>36684</v>
      </c>
      <c r="J81" s="407"/>
      <c r="K81" s="570">
        <v>48675</v>
      </c>
      <c r="L81" s="570"/>
      <c r="M81" s="408"/>
      <c r="N81" s="415">
        <f>+K81-I81</f>
        <v>11991</v>
      </c>
      <c r="O81" s="409"/>
      <c r="S81" s="57"/>
      <c r="T81" s="294"/>
      <c r="U81" s="296">
        <f t="shared" si="3"/>
        <v>44026</v>
      </c>
      <c r="V81" s="6"/>
      <c r="W81" s="297"/>
      <c r="X81" s="6"/>
      <c r="Y81" s="44"/>
      <c r="Z81" s="6"/>
      <c r="AA81" s="298"/>
      <c r="AB81" s="6"/>
      <c r="AC81" s="302"/>
      <c r="AD81" s="295"/>
    </row>
    <row r="82" spans="4:36" ht="15.6" thickTop="1" thickBot="1" x14ac:dyDescent="0.35">
      <c r="D82" s="416"/>
      <c r="E82" s="569" t="s">
        <v>69</v>
      </c>
      <c r="F82" s="569"/>
      <c r="G82" s="569"/>
      <c r="H82" s="412"/>
      <c r="I82" s="417">
        <f>+I81/K81</f>
        <v>0.75365177195685673</v>
      </c>
      <c r="J82" s="408"/>
      <c r="K82" s="408"/>
      <c r="L82" s="408"/>
      <c r="M82" s="408"/>
      <c r="N82" s="418">
        <f>+N81/K81</f>
        <v>0.2463482280431433</v>
      </c>
      <c r="O82" s="409"/>
      <c r="T82" s="294"/>
      <c r="U82" s="296">
        <f t="shared" si="3"/>
        <v>44027</v>
      </c>
      <c r="V82" s="6"/>
      <c r="W82" s="297"/>
      <c r="X82" s="6"/>
      <c r="Y82" s="44"/>
      <c r="Z82" s="6"/>
      <c r="AA82" s="298"/>
      <c r="AB82" s="6"/>
      <c r="AC82" s="302"/>
      <c r="AD82" s="295"/>
    </row>
    <row r="83" spans="4:36" ht="15.6" thickTop="1" thickBot="1" x14ac:dyDescent="0.35">
      <c r="D83" s="419"/>
      <c r="E83" s="420"/>
      <c r="F83" s="420"/>
      <c r="G83" s="420"/>
      <c r="H83" s="420"/>
      <c r="I83" s="421"/>
      <c r="J83" s="422"/>
      <c r="K83" s="423"/>
      <c r="L83" s="423"/>
      <c r="M83" s="423"/>
      <c r="N83" s="423"/>
      <c r="O83" s="424"/>
      <c r="T83" s="294"/>
      <c r="U83" s="296">
        <f t="shared" si="3"/>
        <v>44028</v>
      </c>
      <c r="V83" s="6"/>
      <c r="W83" s="297"/>
      <c r="X83" s="6"/>
      <c r="Y83" s="44"/>
      <c r="Z83" s="6"/>
      <c r="AA83" s="298"/>
      <c r="AB83" s="6"/>
      <c r="AC83" s="302"/>
      <c r="AD83" s="295"/>
    </row>
    <row r="84" spans="4:36" ht="15" thickBot="1" x14ac:dyDescent="0.35">
      <c r="D84" s="90"/>
      <c r="E84" s="152"/>
      <c r="F84" s="152"/>
      <c r="G84" s="152"/>
      <c r="H84" s="152"/>
      <c r="I84" s="354"/>
      <c r="J84" s="90"/>
      <c r="K84" s="110"/>
      <c r="L84" s="110"/>
      <c r="M84" s="360"/>
      <c r="N84" s="110"/>
      <c r="O84" s="110"/>
      <c r="T84" s="294"/>
      <c r="U84" s="296">
        <f t="shared" si="3"/>
        <v>44029</v>
      </c>
      <c r="V84" s="6"/>
      <c r="W84" s="297"/>
      <c r="X84" s="6"/>
      <c r="Y84" s="44"/>
      <c r="Z84" s="6"/>
      <c r="AA84" s="298"/>
      <c r="AB84" s="6"/>
      <c r="AC84" s="302"/>
      <c r="AD84" s="295"/>
    </row>
    <row r="85" spans="4:36" ht="16.2" thickBot="1" x14ac:dyDescent="0.35">
      <c r="D85" s="425"/>
      <c r="E85" s="571" t="s">
        <v>132</v>
      </c>
      <c r="F85" s="572"/>
      <c r="G85" s="572"/>
      <c r="H85" s="572"/>
      <c r="I85" s="572"/>
      <c r="J85" s="573"/>
      <c r="K85" s="426"/>
      <c r="L85" s="438" t="s">
        <v>10</v>
      </c>
      <c r="M85" s="427"/>
      <c r="N85" s="110"/>
      <c r="O85" s="110"/>
      <c r="T85" s="294"/>
      <c r="U85" s="296">
        <f t="shared" si="3"/>
        <v>44030</v>
      </c>
      <c r="V85" s="6"/>
      <c r="W85" s="297"/>
      <c r="X85" s="6"/>
      <c r="Y85" s="44"/>
      <c r="Z85" s="6"/>
      <c r="AA85" s="298"/>
      <c r="AB85" s="6"/>
      <c r="AC85" s="302"/>
      <c r="AD85" s="295"/>
    </row>
    <row r="86" spans="4:36" x14ac:dyDescent="0.3">
      <c r="D86" s="404"/>
      <c r="E86" s="428" t="s">
        <v>88</v>
      </c>
      <c r="F86" s="16"/>
      <c r="G86" s="16"/>
      <c r="H86" s="16"/>
      <c r="I86" s="574">
        <f>+K81</f>
        <v>48675</v>
      </c>
      <c r="J86" s="574"/>
      <c r="K86" s="16"/>
      <c r="L86" s="60">
        <f>+I86/$I$86</f>
        <v>1</v>
      </c>
      <c r="M86" s="429"/>
      <c r="N86" s="110"/>
      <c r="O86" s="110"/>
      <c r="T86" s="294"/>
      <c r="U86" s="296">
        <f t="shared" si="3"/>
        <v>44031</v>
      </c>
      <c r="V86" s="6"/>
      <c r="W86" s="297"/>
      <c r="X86" s="6"/>
      <c r="Y86" s="44"/>
      <c r="Z86" s="6"/>
      <c r="AA86" s="298"/>
      <c r="AB86" s="6"/>
      <c r="AC86" s="302"/>
      <c r="AD86" s="295"/>
    </row>
    <row r="87" spans="4:36" x14ac:dyDescent="0.3">
      <c r="D87" s="404"/>
      <c r="E87" s="428"/>
      <c r="F87" s="16"/>
      <c r="G87" s="16"/>
      <c r="H87" s="16"/>
      <c r="I87" s="16"/>
      <c r="J87" s="16"/>
      <c r="K87" s="16"/>
      <c r="L87" s="16"/>
      <c r="M87" s="429"/>
      <c r="N87" s="110"/>
      <c r="O87" s="110"/>
      <c r="T87" s="294"/>
      <c r="U87" s="296">
        <f t="shared" si="3"/>
        <v>44032</v>
      </c>
      <c r="V87" s="6"/>
      <c r="W87" s="297"/>
      <c r="X87" s="6"/>
      <c r="Y87" s="44"/>
      <c r="Z87" s="6"/>
      <c r="AA87" s="298"/>
      <c r="AB87" s="6"/>
      <c r="AC87" s="302"/>
      <c r="AD87" s="295"/>
    </row>
    <row r="88" spans="4:36" ht="15" thickBot="1" x14ac:dyDescent="0.35">
      <c r="D88" s="416"/>
      <c r="E88" s="15"/>
      <c r="F88" s="430" t="s">
        <v>113</v>
      </c>
      <c r="G88" s="430"/>
      <c r="H88" s="15"/>
      <c r="I88" s="575">
        <f>+I81</f>
        <v>36684</v>
      </c>
      <c r="J88" s="576"/>
      <c r="K88" s="15"/>
      <c r="L88" s="60">
        <f>+I88/$I$86</f>
        <v>0.75365177195685673</v>
      </c>
      <c r="M88" s="409"/>
      <c r="N88" s="110"/>
      <c r="O88" s="110"/>
      <c r="T88" s="299"/>
      <c r="U88" s="394">
        <f t="shared" si="3"/>
        <v>44033</v>
      </c>
      <c r="V88" s="291"/>
      <c r="W88" s="395"/>
      <c r="X88" s="291"/>
      <c r="Y88" s="300"/>
      <c r="Z88" s="291"/>
      <c r="AA88" s="396"/>
      <c r="AB88" s="291"/>
      <c r="AC88" s="397"/>
      <c r="AD88" s="301"/>
    </row>
    <row r="89" spans="4:36" x14ac:dyDescent="0.3">
      <c r="D89" s="416"/>
      <c r="E89" s="15"/>
      <c r="F89" s="15" t="s">
        <v>89</v>
      </c>
      <c r="G89" s="15"/>
      <c r="H89" s="15"/>
      <c r="I89" s="577">
        <f>+I75</f>
        <v>2144</v>
      </c>
      <c r="J89" s="578"/>
      <c r="K89" s="15"/>
      <c r="L89" s="60">
        <f>+I89/$I$86</f>
        <v>4.4047252182845401E-2</v>
      </c>
      <c r="M89" s="409"/>
      <c r="N89" s="110"/>
      <c r="O89" s="110"/>
    </row>
    <row r="90" spans="4:36" ht="15" thickBot="1" x14ac:dyDescent="0.35">
      <c r="D90" s="416"/>
      <c r="E90" s="580" t="s">
        <v>114</v>
      </c>
      <c r="F90" s="580"/>
      <c r="G90" s="580"/>
      <c r="H90" s="15"/>
      <c r="I90" s="581">
        <f>+I86-I88-I89</f>
        <v>9847</v>
      </c>
      <c r="J90" s="582"/>
      <c r="K90" s="431"/>
      <c r="L90" s="432">
        <f>+I90/$I$86</f>
        <v>0.20230097586029788</v>
      </c>
      <c r="M90" s="409"/>
      <c r="N90" s="110"/>
      <c r="O90" s="110"/>
      <c r="P90" s="57">
        <f>+I90/I95</f>
        <v>4.5847474526762295E-4</v>
      </c>
      <c r="Q90" s="57"/>
      <c r="R90" s="57"/>
    </row>
    <row r="91" spans="4:36" ht="15" thickTop="1" x14ac:dyDescent="0.3">
      <c r="D91" s="416"/>
      <c r="E91" s="433"/>
      <c r="F91" s="433"/>
      <c r="G91" s="433"/>
      <c r="H91" s="15"/>
      <c r="I91" s="434"/>
      <c r="J91" s="433"/>
      <c r="K91" s="431"/>
      <c r="L91" s="435"/>
      <c r="M91" s="409"/>
      <c r="N91" s="110"/>
      <c r="O91" s="110"/>
    </row>
    <row r="92" spans="4:36" ht="15" thickBot="1" x14ac:dyDescent="0.35">
      <c r="D92" s="436"/>
      <c r="E92" s="437"/>
      <c r="F92" s="437"/>
      <c r="G92" s="437"/>
      <c r="H92" s="437"/>
      <c r="I92" s="437"/>
      <c r="J92" s="437"/>
      <c r="K92" s="437"/>
      <c r="L92" s="437"/>
      <c r="M92" s="424"/>
      <c r="N92" s="110"/>
      <c r="O92" s="110"/>
    </row>
    <row r="93" spans="4:36" ht="15.6" thickTop="1" thickBot="1" x14ac:dyDescent="0.35">
      <c r="Q93" s="485"/>
      <c r="R93" s="486"/>
      <c r="S93" s="486"/>
      <c r="T93" s="486"/>
      <c r="U93" s="486"/>
      <c r="V93" s="486"/>
      <c r="W93" s="486"/>
      <c r="X93" s="486"/>
      <c r="Y93" s="486"/>
      <c r="Z93" s="486"/>
      <c r="AA93" s="486"/>
      <c r="AB93" s="487"/>
    </row>
    <row r="94" spans="4:36" ht="15" thickBot="1" x14ac:dyDescent="0.35">
      <c r="E94" s="583" t="s">
        <v>119</v>
      </c>
      <c r="F94" s="584"/>
      <c r="G94" s="584"/>
      <c r="H94" s="584"/>
      <c r="I94" s="584"/>
      <c r="J94" s="584"/>
      <c r="K94" s="584"/>
      <c r="L94" s="584"/>
      <c r="M94" s="585"/>
      <c r="Q94" s="488"/>
      <c r="R94" s="6"/>
      <c r="S94" s="6"/>
      <c r="T94" s="6"/>
      <c r="U94" s="5" t="s">
        <v>146</v>
      </c>
      <c r="V94" s="5"/>
      <c r="W94" s="5"/>
      <c r="X94" s="5"/>
      <c r="Y94" s="5"/>
      <c r="Z94" s="5"/>
      <c r="AA94" s="5" t="s">
        <v>30</v>
      </c>
      <c r="AB94" s="489"/>
    </row>
    <row r="95" spans="4:36" x14ac:dyDescent="0.3">
      <c r="E95" s="439"/>
      <c r="F95" s="440" t="s">
        <v>120</v>
      </c>
      <c r="G95" s="440"/>
      <c r="H95" s="440"/>
      <c r="I95" s="586">
        <v>21477737</v>
      </c>
      <c r="J95" s="586"/>
      <c r="K95" s="586"/>
      <c r="L95" s="586"/>
      <c r="M95" s="441"/>
      <c r="Q95" s="488"/>
      <c r="R95" s="481" t="s">
        <v>148</v>
      </c>
      <c r="S95" s="6"/>
      <c r="T95" s="6"/>
      <c r="U95" s="481" t="s">
        <v>147</v>
      </c>
      <c r="V95" s="5"/>
      <c r="W95" s="481" t="s">
        <v>20</v>
      </c>
      <c r="X95" s="5"/>
      <c r="Y95" s="481" t="s">
        <v>4</v>
      </c>
      <c r="Z95" s="5"/>
      <c r="AA95" s="490" t="s">
        <v>145</v>
      </c>
      <c r="AB95" s="489"/>
    </row>
    <row r="96" spans="4:36" x14ac:dyDescent="0.3">
      <c r="E96" s="439"/>
      <c r="F96" s="440" t="s">
        <v>110</v>
      </c>
      <c r="G96" s="440"/>
      <c r="H96" s="440"/>
      <c r="I96" s="440"/>
      <c r="J96" s="440"/>
      <c r="K96" s="440"/>
      <c r="L96" s="442">
        <f>+I90/I95</f>
        <v>4.5847474526762295E-4</v>
      </c>
      <c r="M96" s="441"/>
      <c r="Q96" s="488"/>
      <c r="R96" s="6" t="s">
        <v>135</v>
      </c>
      <c r="S96" s="6"/>
      <c r="T96" s="6"/>
      <c r="U96" s="7">
        <v>2003</v>
      </c>
      <c r="V96" s="6"/>
      <c r="W96" s="7">
        <v>389666</v>
      </c>
      <c r="X96" s="6"/>
      <c r="Y96" s="7">
        <v>31257</v>
      </c>
      <c r="Z96" s="6"/>
      <c r="AA96" s="297">
        <f>+AJ96</f>
        <v>19500</v>
      </c>
      <c r="AB96" s="489"/>
      <c r="AJ96" s="1">
        <v>19500</v>
      </c>
    </row>
    <row r="97" spans="5:36" x14ac:dyDescent="0.3">
      <c r="E97" s="439"/>
      <c r="F97" s="579" t="s">
        <v>108</v>
      </c>
      <c r="G97" s="579"/>
      <c r="H97" s="440"/>
      <c r="I97" s="440"/>
      <c r="J97" s="440"/>
      <c r="K97" s="440"/>
      <c r="L97" s="443">
        <f>+I90/(I95/100000)</f>
        <v>45.847474526762298</v>
      </c>
      <c r="M97" s="441"/>
      <c r="Q97" s="488"/>
      <c r="R97" s="6" t="s">
        <v>136</v>
      </c>
      <c r="S97" s="6"/>
      <c r="T97" s="6"/>
      <c r="U97" s="7">
        <v>1913</v>
      </c>
      <c r="V97" s="6"/>
      <c r="W97" s="7">
        <v>169892</v>
      </c>
      <c r="X97" s="6"/>
      <c r="Y97" s="7">
        <v>13076</v>
      </c>
      <c r="Z97" s="6"/>
      <c r="AA97" s="297">
        <f t="shared" ref="AA97:AA105" si="21">+AJ97</f>
        <v>8900</v>
      </c>
      <c r="AB97" s="489"/>
      <c r="AJ97" s="1">
        <v>8900</v>
      </c>
    </row>
    <row r="98" spans="5:36" x14ac:dyDescent="0.3">
      <c r="E98" s="439"/>
      <c r="F98" s="444"/>
      <c r="G98" s="444"/>
      <c r="H98" s="440"/>
      <c r="I98" s="440"/>
      <c r="J98" s="440"/>
      <c r="K98" s="440"/>
      <c r="L98" s="443"/>
      <c r="M98" s="441"/>
      <c r="Q98" s="488"/>
      <c r="R98" s="6" t="s">
        <v>137</v>
      </c>
      <c r="S98" s="6"/>
      <c r="T98" s="6"/>
      <c r="U98" s="7">
        <v>1568</v>
      </c>
      <c r="V98" s="6"/>
      <c r="W98" s="7">
        <v>16606</v>
      </c>
      <c r="X98" s="6"/>
      <c r="Y98" s="7">
        <v>912</v>
      </c>
      <c r="Z98" s="6"/>
      <c r="AA98" s="297">
        <f t="shared" si="21"/>
        <v>1100</v>
      </c>
      <c r="AB98" s="489"/>
      <c r="AJ98" s="1">
        <v>1100</v>
      </c>
    </row>
    <row r="99" spans="5:36" x14ac:dyDescent="0.3">
      <c r="E99" s="439"/>
      <c r="F99" s="444" t="s">
        <v>121</v>
      </c>
      <c r="G99" s="444"/>
      <c r="H99" s="579" t="s">
        <v>122</v>
      </c>
      <c r="I99" s="579"/>
      <c r="J99" s="440"/>
      <c r="K99" s="440"/>
      <c r="L99" s="443"/>
      <c r="M99" s="441"/>
      <c r="Q99" s="488"/>
      <c r="R99" s="6" t="s">
        <v>58</v>
      </c>
      <c r="S99" s="6"/>
      <c r="T99" s="6"/>
      <c r="U99" s="7">
        <v>1561</v>
      </c>
      <c r="V99" s="6"/>
      <c r="W99" s="7">
        <v>107611</v>
      </c>
      <c r="X99" s="6"/>
      <c r="Y99" s="7">
        <v>7937</v>
      </c>
      <c r="Z99" s="6"/>
      <c r="AA99" s="297">
        <f t="shared" si="21"/>
        <v>7000</v>
      </c>
      <c r="AB99" s="489"/>
      <c r="AJ99" s="1">
        <v>7000</v>
      </c>
    </row>
    <row r="100" spans="5:36" ht="15" thickBot="1" x14ac:dyDescent="0.35">
      <c r="E100" s="445"/>
      <c r="F100" s="446"/>
      <c r="G100" s="446"/>
      <c r="H100" s="446"/>
      <c r="I100" s="446"/>
      <c r="J100" s="446"/>
      <c r="K100" s="446"/>
      <c r="L100" s="446"/>
      <c r="M100" s="447"/>
      <c r="Q100" s="488"/>
      <c r="R100" s="6" t="s">
        <v>142</v>
      </c>
      <c r="S100" s="6"/>
      <c r="T100" s="6"/>
      <c r="U100" s="7">
        <v>1435</v>
      </c>
      <c r="V100" s="6"/>
      <c r="W100" s="7">
        <v>10128</v>
      </c>
      <c r="X100" s="6"/>
      <c r="Y100" s="7">
        <v>541</v>
      </c>
      <c r="Z100" s="6"/>
      <c r="AA100" s="297">
        <f t="shared" si="21"/>
        <v>700</v>
      </c>
      <c r="AB100" s="489"/>
      <c r="AJ100" s="1">
        <v>700</v>
      </c>
    </row>
    <row r="101" spans="5:36" x14ac:dyDescent="0.3">
      <c r="Q101" s="488"/>
      <c r="R101" s="6" t="s">
        <v>138</v>
      </c>
      <c r="S101" s="6"/>
      <c r="T101" s="6"/>
      <c r="U101" s="7">
        <v>1288</v>
      </c>
      <c r="V101" s="6"/>
      <c r="W101" s="7">
        <v>45913</v>
      </c>
      <c r="X101" s="6"/>
      <c r="Y101" s="7">
        <v>4287</v>
      </c>
      <c r="Z101" s="6"/>
      <c r="AA101" s="297">
        <f t="shared" si="21"/>
        <v>3600</v>
      </c>
      <c r="AB101" s="489"/>
      <c r="AJ101" s="1">
        <v>3600</v>
      </c>
    </row>
    <row r="102" spans="5:36" x14ac:dyDescent="0.3">
      <c r="Q102" s="488"/>
      <c r="R102" s="6" t="s">
        <v>143</v>
      </c>
      <c r="S102" s="6"/>
      <c r="T102" s="6"/>
      <c r="U102" s="7">
        <v>1129</v>
      </c>
      <c r="V102" s="6"/>
      <c r="W102" s="7">
        <v>52477</v>
      </c>
      <c r="X102" s="6"/>
      <c r="Y102" s="7">
        <v>3152</v>
      </c>
      <c r="Z102" s="6"/>
      <c r="AA102" s="297">
        <f t="shared" si="21"/>
        <v>4600</v>
      </c>
      <c r="AB102" s="489"/>
      <c r="AJ102" s="1">
        <v>4600</v>
      </c>
    </row>
    <row r="103" spans="5:36" x14ac:dyDescent="0.3">
      <c r="Q103" s="488"/>
      <c r="R103" s="6" t="s">
        <v>139</v>
      </c>
      <c r="S103" s="6"/>
      <c r="T103" s="6"/>
      <c r="U103" s="7">
        <v>1118</v>
      </c>
      <c r="V103" s="6"/>
      <c r="W103" s="7">
        <v>10889</v>
      </c>
      <c r="X103" s="6"/>
      <c r="Y103" s="7">
        <v>505</v>
      </c>
      <c r="Z103" s="6"/>
      <c r="AA103" s="297">
        <f t="shared" si="21"/>
        <v>980</v>
      </c>
      <c r="AB103" s="489"/>
      <c r="AJ103" s="1">
        <v>980</v>
      </c>
    </row>
    <row r="104" spans="5:36" x14ac:dyDescent="0.3">
      <c r="Q104" s="488"/>
      <c r="R104" s="6" t="s">
        <v>140</v>
      </c>
      <c r="S104" s="6"/>
      <c r="T104" s="6"/>
      <c r="U104" s="7">
        <v>1093</v>
      </c>
      <c r="V104" s="6"/>
      <c r="W104" s="7">
        <v>138546</v>
      </c>
      <c r="X104" s="6"/>
      <c r="Y104" s="7">
        <v>6770</v>
      </c>
      <c r="Z104" s="6"/>
      <c r="AA104" s="297">
        <f t="shared" si="21"/>
        <v>12700</v>
      </c>
      <c r="AB104" s="489"/>
      <c r="AJ104" s="1">
        <v>12700</v>
      </c>
    </row>
    <row r="105" spans="5:36" x14ac:dyDescent="0.3">
      <c r="Q105" s="488"/>
      <c r="R105" s="6" t="s">
        <v>141</v>
      </c>
      <c r="S105" s="6"/>
      <c r="T105" s="6"/>
      <c r="U105" s="491">
        <v>1081</v>
      </c>
      <c r="V105" s="6"/>
      <c r="W105" s="491">
        <v>65337</v>
      </c>
      <c r="X105" s="6"/>
      <c r="Y105" s="491">
        <v>3108</v>
      </c>
      <c r="Z105" s="6"/>
      <c r="AA105" s="492">
        <f t="shared" si="21"/>
        <v>6100</v>
      </c>
      <c r="AB105" s="489"/>
      <c r="AJ105" s="483">
        <v>6100</v>
      </c>
    </row>
    <row r="106" spans="5:36" x14ac:dyDescent="0.3">
      <c r="Q106" s="488"/>
      <c r="R106" s="5" t="s">
        <v>33</v>
      </c>
      <c r="S106" s="6"/>
      <c r="T106" s="6"/>
      <c r="U106" s="297">
        <f>+W106/(AA106/100)</f>
        <v>1545.0521632402579</v>
      </c>
      <c r="V106" s="6"/>
      <c r="W106" s="297">
        <f>SUM(W96:W105)</f>
        <v>1007065</v>
      </c>
      <c r="X106" s="6"/>
      <c r="Y106" s="297">
        <f>SUM(Y96:Y105)</f>
        <v>71545</v>
      </c>
      <c r="Z106" s="6"/>
      <c r="AA106" s="297">
        <f>SUM(AA96:AA105)</f>
        <v>65180</v>
      </c>
      <c r="AB106" s="489"/>
      <c r="AJ106" s="56">
        <f>SUM(AJ96:AJ105)</f>
        <v>65180</v>
      </c>
    </row>
    <row r="107" spans="5:36" x14ac:dyDescent="0.3">
      <c r="Q107" s="488"/>
      <c r="R107" s="5"/>
      <c r="S107" s="6"/>
      <c r="T107" s="6"/>
      <c r="U107" s="6"/>
      <c r="V107" s="6"/>
      <c r="W107" s="297"/>
      <c r="X107" s="6"/>
      <c r="Y107" s="297"/>
      <c r="Z107" s="6"/>
      <c r="AA107" s="6"/>
      <c r="AB107" s="489"/>
      <c r="AJ107" s="56"/>
    </row>
    <row r="108" spans="5:36" x14ac:dyDescent="0.3">
      <c r="Q108" s="488"/>
      <c r="R108" s="5" t="s">
        <v>59</v>
      </c>
      <c r="S108" s="6"/>
      <c r="T108" s="6"/>
      <c r="U108" s="7">
        <v>7441</v>
      </c>
      <c r="V108" s="6"/>
      <c r="W108" s="7">
        <f>+'Main Table'!H106</f>
        <v>2465403</v>
      </c>
      <c r="X108" s="6"/>
      <c r="Y108" s="7">
        <f>+'Main Table'!Z106</f>
        <v>126324</v>
      </c>
      <c r="Z108" s="6"/>
      <c r="AA108" s="297">
        <v>331000</v>
      </c>
      <c r="AB108" s="489"/>
      <c r="AJ108" s="56">
        <v>333000</v>
      </c>
    </row>
    <row r="109" spans="5:36" ht="15" thickBot="1" x14ac:dyDescent="0.35">
      <c r="Q109" s="488"/>
      <c r="R109" s="5" t="s">
        <v>144</v>
      </c>
      <c r="S109" s="6"/>
      <c r="T109" s="6"/>
      <c r="U109" s="493"/>
      <c r="V109" s="6"/>
      <c r="W109" s="494">
        <f>+W106/W108</f>
        <v>0.40847885720914595</v>
      </c>
      <c r="X109" s="6"/>
      <c r="Y109" s="494">
        <f>+Y106/Y108</f>
        <v>0.56636110319495903</v>
      </c>
      <c r="Z109" s="6"/>
      <c r="AA109" s="494">
        <f>+AA106/AA108</f>
        <v>0.19691842900302114</v>
      </c>
      <c r="AB109" s="489"/>
      <c r="AJ109" s="484">
        <f>+AJ106/AJ108</f>
        <v>0.19573573573573574</v>
      </c>
    </row>
    <row r="110" spans="5:36" ht="15.6" thickTop="1" thickBot="1" x14ac:dyDescent="0.35">
      <c r="Q110" s="495"/>
      <c r="R110" s="496"/>
      <c r="S110" s="496"/>
      <c r="T110" s="496"/>
      <c r="U110" s="496"/>
      <c r="V110" s="496"/>
      <c r="W110" s="496"/>
      <c r="X110" s="496"/>
      <c r="Y110" s="496"/>
      <c r="Z110" s="496"/>
      <c r="AA110" s="496"/>
      <c r="AB110" s="497"/>
    </row>
    <row r="111" spans="5:36" ht="15" thickTop="1" x14ac:dyDescent="0.3"/>
    <row r="114" spans="6:23" x14ac:dyDescent="0.3">
      <c r="F114" s="1">
        <v>1248371</v>
      </c>
    </row>
    <row r="115" spans="6:23" x14ac:dyDescent="0.3">
      <c r="W115" s="1"/>
    </row>
    <row r="116" spans="6:23" x14ac:dyDescent="0.3">
      <c r="F116">
        <v>700</v>
      </c>
    </row>
    <row r="117" spans="6:23" x14ac:dyDescent="0.3">
      <c r="F117" s="87">
        <f>+F116/F114</f>
        <v>5.6073074430597954E-4</v>
      </c>
    </row>
    <row r="119" spans="6:23" x14ac:dyDescent="0.3">
      <c r="F119" s="1">
        <v>60000</v>
      </c>
    </row>
    <row r="120" spans="6:23" x14ac:dyDescent="0.3">
      <c r="F120">
        <f>+F117*F119</f>
        <v>33.643844658358773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AG35" sqref="AG3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27" t="s">
        <v>5</v>
      </c>
      <c r="C1" s="527"/>
      <c r="D1" s="527"/>
    </row>
    <row r="2" spans="2:31" ht="15.6" x14ac:dyDescent="0.3">
      <c r="B2" s="527" t="s">
        <v>6</v>
      </c>
      <c r="C2" s="527"/>
      <c r="D2" s="527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83</v>
      </c>
      <c r="F5" s="258" t="s">
        <v>84</v>
      </c>
    </row>
    <row r="6" spans="2:31" ht="15.6" x14ac:dyDescent="0.3">
      <c r="B6" s="168"/>
      <c r="C6" s="168"/>
      <c r="D6" s="167"/>
      <c r="F6" t="s">
        <v>87</v>
      </c>
    </row>
    <row r="7" spans="2:31" ht="15.6" x14ac:dyDescent="0.3">
      <c r="B7" s="168"/>
      <c r="C7" s="168"/>
      <c r="D7" s="167"/>
      <c r="F7" s="258" t="s">
        <v>86</v>
      </c>
    </row>
    <row r="8" spans="2:31" ht="15.6" x14ac:dyDescent="0.3">
      <c r="B8" s="168"/>
      <c r="C8" s="168"/>
      <c r="D8" s="167"/>
      <c r="F8" s="258" t="s">
        <v>85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35" t="s">
        <v>23</v>
      </c>
      <c r="E12" s="636"/>
      <c r="F12" s="636"/>
      <c r="G12" s="636"/>
      <c r="H12" s="636"/>
      <c r="I12" s="636"/>
      <c r="J12" s="636"/>
      <c r="K12" s="636"/>
      <c r="L12" s="636"/>
      <c r="M12" s="636"/>
      <c r="N12" s="636"/>
      <c r="O12" s="636"/>
      <c r="P12" s="636"/>
      <c r="Q12" s="636"/>
      <c r="R12" s="636"/>
      <c r="S12" s="636"/>
      <c r="T12" s="636"/>
      <c r="U12" s="637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Table'!J133</f>
        <v>1.7399407485600885E-2</v>
      </c>
      <c r="U14" s="230"/>
      <c r="V14" s="1"/>
      <c r="X14" s="234"/>
      <c r="Y14" s="634" t="s">
        <v>62</v>
      </c>
      <c r="Z14" s="634"/>
      <c r="AA14" s="634"/>
      <c r="AB14" s="634"/>
      <c r="AC14" s="634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86921.518378532317</v>
      </c>
      <c r="Q15" s="81"/>
      <c r="R15" s="81"/>
      <c r="S15" s="81"/>
      <c r="T15" s="82">
        <f t="shared" ref="T15:T59" si="5">+T14</f>
        <v>1.7399407485600885E-2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88433.901296067561</v>
      </c>
      <c r="Q16" s="81"/>
      <c r="R16" s="81"/>
      <c r="S16" s="81"/>
      <c r="T16" s="82">
        <f t="shared" si="5"/>
        <v>1.7399407485600885E-2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89972.598780259257</v>
      </c>
      <c r="Q17" s="81"/>
      <c r="R17" s="81"/>
      <c r="S17" s="81"/>
      <c r="T17" s="82">
        <f t="shared" si="5"/>
        <v>1.7399407485600885E-2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91538.068688975472</v>
      </c>
      <c r="Q18" s="81"/>
      <c r="R18" s="81"/>
      <c r="S18" s="81"/>
      <c r="T18" s="82">
        <f t="shared" si="5"/>
        <v>1.7399407485600885E-2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93130.776846539884</v>
      </c>
      <c r="Q19" s="81"/>
      <c r="R19" s="81"/>
      <c r="S19" s="81"/>
      <c r="T19" s="82">
        <f t="shared" si="5"/>
        <v>1.7399407485600885E-2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94751.1971823434</v>
      </c>
      <c r="Q20" s="81"/>
      <c r="R20" s="81"/>
      <c r="S20" s="81"/>
      <c r="T20" s="82">
        <f t="shared" si="5"/>
        <v>1.7399407485600885E-2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96399.811871867525</v>
      </c>
      <c r="Q21" s="81"/>
      <c r="R21" s="81"/>
      <c r="S21" s="81"/>
      <c r="T21" s="82">
        <f t="shared" si="5"/>
        <v>1.7399407485600885E-2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98077.111480161417</v>
      </c>
      <c r="Q22" s="81"/>
      <c r="R22" s="81"/>
      <c r="S22" s="81"/>
      <c r="T22" s="82">
        <f t="shared" si="5"/>
        <v>1.7399407485600885E-2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99783.595107815461</v>
      </c>
      <c r="Q23" s="81"/>
      <c r="R23" s="81"/>
      <c r="S23" s="81"/>
      <c r="T23" s="82">
        <f t="shared" si="5"/>
        <v>1.7399407485600885E-2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101519.77053947456</v>
      </c>
      <c r="Q24" s="81"/>
      <c r="R24" s="81"/>
      <c r="S24" s="81"/>
      <c r="T24" s="82">
        <f t="shared" si="5"/>
        <v>1.7399407485600885E-2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103286.15439493558</v>
      </c>
      <c r="Q25" s="81"/>
      <c r="R25" s="81"/>
      <c r="S25" s="81"/>
      <c r="T25" s="82">
        <f t="shared" si="5"/>
        <v>1.7399407485600885E-2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105083.27228287376</v>
      </c>
      <c r="Q26" s="81"/>
      <c r="R26" s="81"/>
      <c r="S26" s="81"/>
      <c r="T26" s="82">
        <f t="shared" si="5"/>
        <v>1.7399407485600885E-2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106911.65895724384</v>
      </c>
      <c r="Q27" s="81"/>
      <c r="R27" s="81"/>
      <c r="S27" s="81"/>
      <c r="T27" s="82">
        <f t="shared" si="5"/>
        <v>1.7399407485600885E-2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108771.85847640253</v>
      </c>
      <c r="Q28" s="81"/>
      <c r="R28" s="81"/>
      <c r="S28" s="81"/>
      <c r="T28" s="82">
        <f t="shared" si="5"/>
        <v>1.7399407485600885E-2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110664.42436499958</v>
      </c>
      <c r="Q29" s="81"/>
      <c r="R29" s="81"/>
      <c r="S29" s="81"/>
      <c r="T29" s="82">
        <f t="shared" si="5"/>
        <v>1.7399407485600885E-2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112589.91977868567</v>
      </c>
      <c r="Q30" s="81"/>
      <c r="R30" s="81"/>
      <c r="S30" s="81"/>
      <c r="T30" s="82">
        <f t="shared" si="5"/>
        <v>1.7399407485600885E-2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114548.91767168614</v>
      </c>
      <c r="Q31" s="81"/>
      <c r="R31" s="81"/>
      <c r="S31" s="81"/>
      <c r="T31" s="82">
        <f t="shared" si="5"/>
        <v>1.7399407485600885E-2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116542.00096729037</v>
      </c>
      <c r="Q32" s="81"/>
      <c r="R32" s="81"/>
      <c r="S32" s="81"/>
      <c r="T32" s="82">
        <f t="shared" si="5"/>
        <v>1.7399407485600885E-2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118569.76273130756</v>
      </c>
      <c r="Q33" s="81"/>
      <c r="R33" s="81"/>
      <c r="S33" s="81"/>
      <c r="T33" s="82">
        <f t="shared" si="5"/>
        <v>1.7399407485600885E-2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120632.80634854062</v>
      </c>
      <c r="Q34" s="81"/>
      <c r="R34" s="81"/>
      <c r="S34" s="81"/>
      <c r="T34" s="82">
        <f t="shared" si="5"/>
        <v>1.7399407485600885E-2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122731.74570233047</v>
      </c>
      <c r="Q35" s="81"/>
      <c r="R35" s="81"/>
      <c r="S35" s="81"/>
      <c r="T35" s="82">
        <f t="shared" si="5"/>
        <v>1.7399407485600885E-2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124867.20535722448</v>
      </c>
      <c r="Q36" s="81"/>
      <c r="R36" s="81"/>
      <c r="S36" s="81"/>
      <c r="T36" s="82">
        <f t="shared" si="5"/>
        <v>1.7399407485600885E-2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127039.82074482304</v>
      </c>
      <c r="Q37" s="81"/>
      <c r="R37" s="81"/>
      <c r="S37" s="81"/>
      <c r="T37" s="82">
        <f t="shared" si="5"/>
        <v>1.7399407485600885E-2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129250.23835285992</v>
      </c>
      <c r="Q38" s="81"/>
      <c r="R38" s="81"/>
      <c r="S38" s="81"/>
      <c r="T38" s="82">
        <f t="shared" si="5"/>
        <v>1.7399407485600885E-2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131499.11591757237</v>
      </c>
      <c r="Q39" s="81"/>
      <c r="R39" s="81"/>
      <c r="S39" s="81"/>
      <c r="T39" s="82">
        <f t="shared" si="5"/>
        <v>1.7399407485600885E-2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133787.12261941849</v>
      </c>
      <c r="Q40" s="81"/>
      <c r="R40" s="81"/>
      <c r="S40" s="81"/>
      <c r="T40" s="82">
        <f t="shared" si="5"/>
        <v>1.7399407485600885E-2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136114.9392821998</v>
      </c>
      <c r="Q41" s="81"/>
      <c r="R41" s="81"/>
      <c r="S41" s="81"/>
      <c r="T41" s="82">
        <f t="shared" si="5"/>
        <v>1.7399407485600885E-2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138483.25857564862</v>
      </c>
      <c r="Q42" s="81"/>
      <c r="R42" s="81"/>
      <c r="S42" s="81"/>
      <c r="T42" s="82">
        <f t="shared" si="5"/>
        <v>1.7399407485600885E-2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140892.78522154017</v>
      </c>
      <c r="Q43" s="81"/>
      <c r="R43" s="81"/>
      <c r="S43" s="81"/>
      <c r="T43" s="82">
        <f t="shared" si="5"/>
        <v>1.7399407485600885E-2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143344.23620339099</v>
      </c>
      <c r="Q44" s="81"/>
      <c r="R44" s="81"/>
      <c r="S44" s="81"/>
      <c r="T44" s="82">
        <f t="shared" si="5"/>
        <v>1.7399407485600885E-2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145838.34097980603</v>
      </c>
      <c r="Q45" s="81"/>
      <c r="R45" s="81"/>
      <c r="S45" s="81"/>
      <c r="T45" s="82">
        <f t="shared" si="5"/>
        <v>1.7399407485600885E-2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148375.84170153769</v>
      </c>
      <c r="Q46" s="81"/>
      <c r="R46" s="81"/>
      <c r="S46" s="81"/>
      <c r="T46" s="82">
        <f t="shared" si="5"/>
        <v>1.7399407485600885E-2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150957.49343232176</v>
      </c>
      <c r="Q47" s="81"/>
      <c r="R47" s="81"/>
      <c r="S47" s="81"/>
      <c r="T47" s="82">
        <f t="shared" si="5"/>
        <v>1.7399407485600885E-2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153584.06437355565</v>
      </c>
      <c r="Q48" s="81"/>
      <c r="R48" s="81"/>
      <c r="S48" s="81"/>
      <c r="T48" s="82">
        <f t="shared" si="5"/>
        <v>1.7399407485600885E-2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156256.33609288593</v>
      </c>
      <c r="Q49" s="81"/>
      <c r="R49" s="81"/>
      <c r="S49" s="81"/>
      <c r="T49" s="82">
        <f t="shared" si="5"/>
        <v>1.7399407485600885E-2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158975.10375677308</v>
      </c>
      <c r="Q50" s="81"/>
      <c r="R50" s="81"/>
      <c r="S50" s="81"/>
      <c r="T50" s="82">
        <f t="shared" si="5"/>
        <v>1.7399407485600885E-2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161741.17636710286</v>
      </c>
      <c r="Q51" s="81"/>
      <c r="R51" s="81"/>
      <c r="S51" s="81"/>
      <c r="T51" s="82">
        <f t="shared" si="5"/>
        <v>1.7399407485600885E-2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164555.37700191454</v>
      </c>
      <c r="Q52" s="81"/>
      <c r="R52" s="81"/>
      <c r="S52" s="81"/>
      <c r="T52" s="82">
        <f t="shared" si="5"/>
        <v>1.7399407485600885E-2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167418.54306031755</v>
      </c>
      <c r="Q53" s="81"/>
      <c r="R53" s="81"/>
      <c r="S53" s="81"/>
      <c r="T53" s="82">
        <f t="shared" si="5"/>
        <v>1.7399407485600885E-2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170331.52651166965</v>
      </c>
      <c r="Q54" s="81"/>
      <c r="R54" s="81"/>
      <c r="S54" s="81"/>
      <c r="T54" s="82">
        <f t="shared" si="5"/>
        <v>1.7399407485600885E-2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173295.19414909065</v>
      </c>
      <c r="Q55" s="81"/>
      <c r="R55" s="81"/>
      <c r="S55" s="81"/>
      <c r="T55" s="82">
        <f t="shared" si="5"/>
        <v>1.7399407485600885E-2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176310.42784738701</v>
      </c>
      <c r="Q56" s="81"/>
      <c r="R56" s="81"/>
      <c r="S56" s="81"/>
      <c r="T56" s="82">
        <f t="shared" si="5"/>
        <v>1.7399407485600885E-2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179378.12482546436</v>
      </c>
      <c r="Q57" s="81"/>
      <c r="R57" s="81"/>
      <c r="S57" s="81"/>
      <c r="T57" s="82">
        <f t="shared" si="5"/>
        <v>1.7399407485600885E-2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182499.1979133056</v>
      </c>
      <c r="Q58" s="81"/>
      <c r="R58" s="81"/>
      <c r="S58" s="81"/>
      <c r="T58" s="82">
        <f t="shared" si="5"/>
        <v>1.7399407485600885E-2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185674.57582359455</v>
      </c>
      <c r="Q59" s="81"/>
      <c r="R59" s="81"/>
      <c r="S59" s="81"/>
      <c r="T59" s="82">
        <f t="shared" si="5"/>
        <v>1.7399407485600885E-2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2020-07-13T10:40:30Z</dcterms:modified>
</cp:coreProperties>
</file>