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mak\2020\"/>
    </mc:Choice>
  </mc:AlternateContent>
  <xr:revisionPtr revIDLastSave="0" documentId="8_{2AE6140E-4DA6-4C45-BB43-029F6CC7AE04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Sheet1" sheetId="1" r:id="rId1"/>
    <sheet name="Sheet2" sheetId="2" r:id="rId2"/>
  </sheets>
  <definedNames>
    <definedName name="_xlnm.Print_Area" localSheetId="0">Sheet1!$A$1:$BN$56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54" i="1" l="1"/>
  <c r="BE55" i="1" s="1"/>
  <c r="BA55" i="1"/>
  <c r="BA54" i="1"/>
  <c r="BK66" i="1"/>
  <c r="BE66" i="1"/>
  <c r="BK48" i="1"/>
  <c r="BC48" i="1"/>
  <c r="BO49" i="1" l="1"/>
  <c r="BO50" i="1" s="1"/>
  <c r="BO51" i="1" s="1"/>
  <c r="BO52" i="1" s="1"/>
  <c r="B50" i="1"/>
  <c r="B51" i="1" s="1"/>
  <c r="B52" i="1" s="1"/>
  <c r="B49" i="1"/>
  <c r="BC72" i="1"/>
  <c r="BK61" i="1"/>
  <c r="AD75" i="1"/>
  <c r="B90" i="1"/>
  <c r="B91" i="1" s="1"/>
  <c r="B92" i="1" s="1"/>
  <c r="B93" i="1" s="1"/>
  <c r="B94" i="1" s="1"/>
  <c r="BE48" i="1"/>
  <c r="BE61" i="1" s="1"/>
  <c r="AN48" i="1"/>
  <c r="AJ48" i="1"/>
  <c r="X48" i="1"/>
  <c r="AD48" i="1" s="1"/>
  <c r="AP48" i="1" l="1"/>
  <c r="BK47" i="1"/>
  <c r="BC47" i="1"/>
  <c r="BE47" i="1" l="1"/>
  <c r="AN47" i="1"/>
  <c r="AJ47" i="1"/>
  <c r="X47" i="1"/>
  <c r="AD47" i="1" s="1"/>
  <c r="B108" i="1"/>
  <c r="B111" i="1"/>
  <c r="BK46" i="1"/>
  <c r="BC46" i="1"/>
  <c r="AP47" i="1" l="1"/>
  <c r="BE46" i="1"/>
  <c r="AN46" i="1"/>
  <c r="AJ46" i="1"/>
  <c r="X46" i="1"/>
  <c r="AD46" i="1" s="1"/>
  <c r="BK45" i="1"/>
  <c r="BC45" i="1"/>
  <c r="AP46" i="1" l="1"/>
  <c r="AJ73" i="1"/>
  <c r="AD77" i="1"/>
  <c r="BE45" i="1"/>
  <c r="AN45" i="1"/>
  <c r="AJ45" i="1"/>
  <c r="X45" i="1"/>
  <c r="AD45" i="1" s="1"/>
  <c r="BK44" i="1"/>
  <c r="BC44" i="1"/>
  <c r="AP45" i="1" l="1"/>
  <c r="BE44" i="1"/>
  <c r="AN44" i="1"/>
  <c r="AJ44" i="1"/>
  <c r="X44" i="1"/>
  <c r="AD44" i="1" s="1"/>
  <c r="BK43" i="1"/>
  <c r="BC43" i="1"/>
  <c r="AP44" i="1" l="1"/>
  <c r="BE43" i="1" l="1"/>
  <c r="AN43" i="1"/>
  <c r="AJ43" i="1"/>
  <c r="X43" i="1"/>
  <c r="AD43" i="1" s="1"/>
  <c r="BK42" i="1"/>
  <c r="BC42" i="1"/>
  <c r="AP43" i="1" l="1"/>
  <c r="BE42" i="1"/>
  <c r="AJ42" i="1"/>
  <c r="X42" i="1"/>
  <c r="AD42" i="1" s="1"/>
  <c r="AN42" i="1" l="1"/>
  <c r="AP42" i="1" s="1"/>
  <c r="BC41" i="1"/>
  <c r="BK39" i="1"/>
  <c r="BK41" i="1"/>
  <c r="BK40" i="1"/>
  <c r="BE41" i="1" l="1"/>
  <c r="AN41" i="1"/>
  <c r="AJ41" i="1"/>
  <c r="X41" i="1"/>
  <c r="AD41" i="1" s="1"/>
  <c r="AP41" i="1" l="1"/>
  <c r="BC40" i="1"/>
  <c r="BE40" i="1" l="1"/>
  <c r="AN40" i="1"/>
  <c r="AJ40" i="1"/>
  <c r="X40" i="1"/>
  <c r="AD40" i="1" s="1"/>
  <c r="AP40" i="1" l="1"/>
  <c r="BC39" i="1"/>
  <c r="BE39" i="1" l="1"/>
  <c r="AN39" i="1"/>
  <c r="AJ39" i="1"/>
  <c r="X39" i="1"/>
  <c r="AD39" i="1" s="1"/>
  <c r="BK38" i="1"/>
  <c r="BC38" i="1"/>
  <c r="BE38" i="1"/>
  <c r="AN38" i="1"/>
  <c r="AJ38" i="1"/>
  <c r="X38" i="1"/>
  <c r="AD38" i="1" s="1"/>
  <c r="AP39" i="1" l="1"/>
  <c r="BK37" i="1"/>
  <c r="BC37" i="1"/>
  <c r="BE37" i="1" l="1"/>
  <c r="AN37" i="1"/>
  <c r="AJ37" i="1"/>
  <c r="X37" i="1"/>
  <c r="AD37" i="1" s="1"/>
  <c r="BK35" i="1" l="1"/>
  <c r="BK34" i="1"/>
  <c r="BK36" i="1"/>
  <c r="BC36" i="1"/>
  <c r="BE36" i="1" l="1"/>
  <c r="AN36" i="1"/>
  <c r="AJ36" i="1"/>
  <c r="X36" i="1"/>
  <c r="AD36" i="1" s="1"/>
  <c r="BC35" i="1"/>
  <c r="BE35" i="1" s="1"/>
  <c r="AT74" i="1"/>
  <c r="AV75" i="1" s="1"/>
  <c r="AN35" i="1"/>
  <c r="AJ35" i="1"/>
  <c r="X35" i="1"/>
  <c r="AD35" i="1" s="1"/>
  <c r="AV73" i="1"/>
  <c r="AV72" i="1"/>
  <c r="BC34" i="1" l="1"/>
  <c r="BE34" i="1" l="1"/>
  <c r="AN34" i="1"/>
  <c r="AJ34" i="1"/>
  <c r="X34" i="1"/>
  <c r="AD34" i="1" s="1"/>
  <c r="BK33" i="1" l="1"/>
  <c r="BC33" i="1"/>
  <c r="BE33" i="1" l="1"/>
  <c r="AN33" i="1"/>
  <c r="AJ33" i="1"/>
  <c r="X33" i="1"/>
  <c r="AD33" i="1" s="1"/>
  <c r="BK32" i="1" l="1"/>
  <c r="BC32" i="1"/>
  <c r="BE32" i="1" l="1"/>
  <c r="AN32" i="1"/>
  <c r="AJ32" i="1"/>
  <c r="X32" i="1"/>
  <c r="AD32" i="1" s="1"/>
  <c r="BK31" i="1"/>
  <c r="BC31" i="1"/>
  <c r="BE31" i="1" s="1"/>
  <c r="AN31" i="1"/>
  <c r="AJ31" i="1"/>
  <c r="X31" i="1"/>
  <c r="AD31" i="1" s="1"/>
  <c r="BK30" i="1" l="1"/>
  <c r="BC30" i="1"/>
  <c r="BE30" i="1" s="1"/>
  <c r="AN30" i="1"/>
  <c r="AJ30" i="1"/>
  <c r="X30" i="1"/>
  <c r="AD30" i="1" s="1"/>
  <c r="N28" i="1" l="1"/>
  <c r="BC75" i="1"/>
  <c r="BK29" i="1"/>
  <c r="BC29" i="1"/>
  <c r="BG74" i="1" l="1"/>
  <c r="BK74" i="1" s="1"/>
  <c r="BG73" i="1"/>
  <c r="BK73" i="1" s="1"/>
  <c r="BG72" i="1"/>
  <c r="BK72" i="1" s="1"/>
  <c r="BG75" i="1" l="1"/>
  <c r="BK75" i="1"/>
  <c r="BG61" i="1" s="1"/>
  <c r="BE29" i="1" l="1"/>
  <c r="AN29" i="1"/>
  <c r="AJ29" i="1"/>
  <c r="X29" i="1"/>
  <c r="AD29" i="1" s="1"/>
  <c r="BK28" i="1"/>
  <c r="BC28" i="1"/>
  <c r="BE28" i="1" s="1"/>
  <c r="AJ28" i="1"/>
  <c r="AN28" i="1"/>
  <c r="X28" i="1"/>
  <c r="AD28" i="1" s="1"/>
  <c r="BC27" i="1" l="1"/>
  <c r="BE27" i="1" s="1"/>
  <c r="BK27" i="1"/>
  <c r="AN27" i="1"/>
  <c r="AJ27" i="1"/>
  <c r="X27" i="1"/>
  <c r="AD27" i="1" s="1"/>
  <c r="BK26" i="1" l="1"/>
  <c r="BE26" i="1"/>
  <c r="AI64" i="1" l="1"/>
  <c r="AN26" i="1" l="1"/>
  <c r="X26" i="1"/>
  <c r="AD26" i="1" s="1"/>
  <c r="AN63" i="1"/>
  <c r="AN62" i="1"/>
  <c r="AN61" i="1"/>
  <c r="AN64" i="1"/>
  <c r="BK25" i="1"/>
  <c r="BK64" i="1" s="1"/>
  <c r="N24" i="1"/>
  <c r="BE25" i="1"/>
  <c r="BE64" i="1" s="1"/>
  <c r="AN25" i="1"/>
  <c r="X25" i="1"/>
  <c r="AD25" i="1" s="1"/>
  <c r="N23" i="1" l="1"/>
  <c r="N22" i="1"/>
  <c r="N21" i="1"/>
  <c r="N20" i="1"/>
  <c r="N19" i="1"/>
  <c r="N16" i="1"/>
  <c r="N12" i="1"/>
  <c r="N11" i="1"/>
  <c r="N9" i="1"/>
  <c r="BE24" i="1" l="1"/>
  <c r="BK24" i="1"/>
  <c r="AN23" i="1"/>
  <c r="AL23" i="1"/>
  <c r="AT23" i="1" l="1"/>
  <c r="X24" i="1"/>
  <c r="AD24" i="1" s="1"/>
  <c r="AN24" i="1"/>
  <c r="AL24" i="1"/>
  <c r="AL25" i="1" s="1"/>
  <c r="AJ26" i="1" s="1"/>
  <c r="AT24" i="1" l="1"/>
  <c r="AV23" i="1"/>
  <c r="BK23" i="1"/>
  <c r="BE23" i="1"/>
  <c r="X23" i="1"/>
  <c r="AD23" i="1" s="1"/>
  <c r="D22" i="1"/>
  <c r="B58" i="1"/>
  <c r="B59" i="1" s="1"/>
  <c r="B60" i="1" s="1"/>
  <c r="B61" i="1" s="1"/>
  <c r="B62" i="1" s="1"/>
  <c r="B63" i="1" s="1"/>
  <c r="B64" i="1" s="1"/>
  <c r="B65" i="1" s="1"/>
  <c r="B66" i="1" s="1"/>
  <c r="B67" i="1" s="1"/>
  <c r="J58" i="1"/>
  <c r="J59" i="1" s="1"/>
  <c r="J60" i="1" s="1"/>
  <c r="J61" i="1" s="1"/>
  <c r="J62" i="1" s="1"/>
  <c r="J63" i="1" s="1"/>
  <c r="J64" i="1" s="1"/>
  <c r="J65" i="1" s="1"/>
  <c r="J66" i="1" s="1"/>
  <c r="J67" i="1" s="1"/>
  <c r="BE22" i="1"/>
  <c r="BK22" i="1"/>
  <c r="X22" i="1"/>
  <c r="AD22" i="1" s="1"/>
  <c r="J68" i="1" l="1"/>
  <c r="J69" i="1" s="1"/>
  <c r="B68" i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AV24" i="1"/>
  <c r="AT25" i="1"/>
  <c r="BO10" i="1"/>
  <c r="BO11" i="1" s="1"/>
  <c r="BO12" i="1" s="1"/>
  <c r="BO13" i="1" s="1"/>
  <c r="BO14" i="1" s="1"/>
  <c r="BO15" i="1" s="1"/>
  <c r="BO16" i="1" s="1"/>
  <c r="BO17" i="1" s="1"/>
  <c r="BO18" i="1" s="1"/>
  <c r="BO19" i="1" s="1"/>
  <c r="BO20" i="1" s="1"/>
  <c r="BO21" i="1" s="1"/>
  <c r="BO22" i="1" s="1"/>
  <c r="BO23" i="1" s="1"/>
  <c r="BO24" i="1" s="1"/>
  <c r="BO25" i="1" s="1"/>
  <c r="BO26" i="1" s="1"/>
  <c r="BO27" i="1" s="1"/>
  <c r="BO28" i="1" s="1"/>
  <c r="BO29" i="1" s="1"/>
  <c r="BO30" i="1" s="1"/>
  <c r="BO31" i="1" l="1"/>
  <c r="BO32" i="1" s="1"/>
  <c r="BO33" i="1" s="1"/>
  <c r="BO34" i="1" s="1"/>
  <c r="BO35" i="1" s="1"/>
  <c r="BO36" i="1" s="1"/>
  <c r="BO37" i="1" s="1"/>
  <c r="BO38" i="1" s="1"/>
  <c r="BO39" i="1" s="1"/>
  <c r="BO40" i="1" s="1"/>
  <c r="BO41" i="1" s="1"/>
  <c r="BO42" i="1" s="1"/>
  <c r="BO43" i="1" s="1"/>
  <c r="BO44" i="1" s="1"/>
  <c r="BO45" i="1" s="1"/>
  <c r="BO46" i="1" s="1"/>
  <c r="BO47" i="1" s="1"/>
  <c r="BO48" i="1" s="1"/>
  <c r="J70" i="1"/>
  <c r="AV25" i="1"/>
  <c r="AT26" i="1"/>
  <c r="BK21" i="1"/>
  <c r="BE21" i="1"/>
  <c r="X21" i="1"/>
  <c r="AD21" i="1" s="1"/>
  <c r="J71" i="1" l="1"/>
  <c r="AV26" i="1"/>
  <c r="AT27" i="1"/>
  <c r="BK20" i="1"/>
  <c r="BE20" i="1"/>
  <c r="J72" i="1" l="1"/>
  <c r="AV27" i="1"/>
  <c r="AT28" i="1"/>
  <c r="X20" i="1"/>
  <c r="AD20" i="1" s="1"/>
  <c r="J73" i="1" l="1"/>
  <c r="J74" i="1" s="1"/>
  <c r="AV28" i="1"/>
  <c r="AT29" i="1"/>
  <c r="BK19" i="1"/>
  <c r="BE19" i="1"/>
  <c r="X19" i="1"/>
  <c r="AD19" i="1" s="1"/>
  <c r="BE18" i="1"/>
  <c r="BK18" i="1"/>
  <c r="X18" i="1"/>
  <c r="AD18" i="1" s="1"/>
  <c r="BK17" i="1"/>
  <c r="BE17" i="1"/>
  <c r="X17" i="1"/>
  <c r="AD17" i="1" s="1"/>
  <c r="J75" i="1" l="1"/>
  <c r="J76" i="1" s="1"/>
  <c r="J77" i="1" s="1"/>
  <c r="J78" i="1" s="1"/>
  <c r="AV29" i="1"/>
  <c r="AT30" i="1"/>
  <c r="X16" i="1"/>
  <c r="J79" i="1" l="1"/>
  <c r="J80" i="1" s="1"/>
  <c r="J81" i="1" s="1"/>
  <c r="AV30" i="1"/>
  <c r="AT31" i="1"/>
  <c r="BE16" i="1"/>
  <c r="AD16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X15" i="1"/>
  <c r="AD15" i="1" s="1"/>
  <c r="X14" i="1"/>
  <c r="AD14" i="1" s="1"/>
  <c r="X13" i="1"/>
  <c r="AD13" i="1" s="1"/>
  <c r="X12" i="1"/>
  <c r="AD12" i="1" s="1"/>
  <c r="X11" i="1"/>
  <c r="AD11" i="1" s="1"/>
  <c r="X10" i="1"/>
  <c r="R8" i="1"/>
  <c r="R9" i="1" s="1"/>
  <c r="H8" i="1"/>
  <c r="J82" i="1" l="1"/>
  <c r="AV31" i="1"/>
  <c r="AT32" i="1"/>
  <c r="H9" i="1"/>
  <c r="J10" i="1" s="1"/>
  <c r="J9" i="1"/>
  <c r="R10" i="1"/>
  <c r="J83" i="1" l="1"/>
  <c r="J84" i="1" s="1"/>
  <c r="J85" i="1" s="1"/>
  <c r="J86" i="1" s="1"/>
  <c r="AV32" i="1"/>
  <c r="AT33" i="1"/>
  <c r="H10" i="1"/>
  <c r="T10" i="1" s="1"/>
  <c r="T9" i="1"/>
  <c r="R11" i="1"/>
  <c r="J87" i="1" l="1"/>
  <c r="J88" i="1" s="1"/>
  <c r="J89" i="1" s="1"/>
  <c r="J11" i="1"/>
  <c r="H11" i="1"/>
  <c r="AH11" i="1" s="1"/>
  <c r="AV33" i="1"/>
  <c r="AT34" i="1"/>
  <c r="T11" i="1"/>
  <c r="R12" i="1"/>
  <c r="J12" i="1" l="1"/>
  <c r="H12" i="1"/>
  <c r="AH12" i="1" s="1"/>
  <c r="AV34" i="1"/>
  <c r="AT35" i="1"/>
  <c r="H13" i="1"/>
  <c r="AH13" i="1" s="1"/>
  <c r="J13" i="1"/>
  <c r="R13" i="1"/>
  <c r="T12" i="1" l="1"/>
  <c r="AV35" i="1"/>
  <c r="AT36" i="1"/>
  <c r="T13" i="1"/>
  <c r="R14" i="1"/>
  <c r="H14" i="1"/>
  <c r="J14" i="1"/>
  <c r="AV36" i="1" l="1"/>
  <c r="AT37" i="1"/>
  <c r="AH14" i="1"/>
  <c r="T14" i="1"/>
  <c r="H15" i="1"/>
  <c r="J15" i="1"/>
  <c r="H57" i="1" s="1"/>
  <c r="H58" i="1" s="1"/>
  <c r="R15" i="1"/>
  <c r="AV37" i="1" l="1"/>
  <c r="AT38" i="1"/>
  <c r="H59" i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AH15" i="1"/>
  <c r="D57" i="1"/>
  <c r="T15" i="1"/>
  <c r="R16" i="1"/>
  <c r="H16" i="1"/>
  <c r="J16" i="1"/>
  <c r="AV38" i="1" l="1"/>
  <c r="AT39" i="1"/>
  <c r="D58" i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N57" i="1"/>
  <c r="J17" i="1"/>
  <c r="H17" i="1"/>
  <c r="R17" i="1"/>
  <c r="T16" i="1"/>
  <c r="BG16" i="1"/>
  <c r="AH16" i="1"/>
  <c r="AV39" i="1" l="1"/>
  <c r="AT40" i="1"/>
  <c r="R18" i="1"/>
  <c r="R19" i="1" s="1"/>
  <c r="BM17" i="1"/>
  <c r="T17" i="1"/>
  <c r="AH17" i="1"/>
  <c r="J18" i="1"/>
  <c r="H18" i="1"/>
  <c r="BG17" i="1"/>
  <c r="AV40" i="1" l="1"/>
  <c r="AT41" i="1"/>
  <c r="H19" i="1"/>
  <c r="J19" i="1"/>
  <c r="R20" i="1"/>
  <c r="BM19" i="1"/>
  <c r="AH18" i="1"/>
  <c r="BG18" i="1"/>
  <c r="BM18" i="1"/>
  <c r="T18" i="1"/>
  <c r="AV41" i="1" l="1"/>
  <c r="AT42" i="1"/>
  <c r="T19" i="1"/>
  <c r="BM20" i="1"/>
  <c r="R21" i="1"/>
  <c r="AH19" i="1"/>
  <c r="J20" i="1"/>
  <c r="H20" i="1"/>
  <c r="T20" i="1" s="1"/>
  <c r="BG19" i="1"/>
  <c r="AV42" i="1" l="1"/>
  <c r="AT43" i="1"/>
  <c r="R22" i="1"/>
  <c r="R23" i="1" s="1"/>
  <c r="BM21" i="1"/>
  <c r="J21" i="1"/>
  <c r="H21" i="1"/>
  <c r="T21" i="1" s="1"/>
  <c r="AH20" i="1"/>
  <c r="BG20" i="1"/>
  <c r="AV43" i="1" l="1"/>
  <c r="AT44" i="1"/>
  <c r="R24" i="1"/>
  <c r="R25" i="1" s="1"/>
  <c r="BM23" i="1"/>
  <c r="AH21" i="1"/>
  <c r="J22" i="1"/>
  <c r="H22" i="1"/>
  <c r="H23" i="1" s="1"/>
  <c r="BG21" i="1"/>
  <c r="BM22" i="1"/>
  <c r="AV44" i="1" l="1"/>
  <c r="AT45" i="1"/>
  <c r="R26" i="1"/>
  <c r="R27" i="1" s="1"/>
  <c r="R28" i="1" s="1"/>
  <c r="R29" i="1" s="1"/>
  <c r="R30" i="1" s="1"/>
  <c r="R31" i="1" s="1"/>
  <c r="BM25" i="1"/>
  <c r="BM24" i="1"/>
  <c r="J23" i="1"/>
  <c r="T22" i="1"/>
  <c r="AH22" i="1"/>
  <c r="BG22" i="1"/>
  <c r="AV45" i="1" l="1"/>
  <c r="AT46" i="1"/>
  <c r="R32" i="1"/>
  <c r="R33" i="1" s="1"/>
  <c r="BM31" i="1"/>
  <c r="BM30" i="1"/>
  <c r="BM29" i="1"/>
  <c r="BM28" i="1"/>
  <c r="BM27" i="1"/>
  <c r="BM26" i="1"/>
  <c r="AH23" i="1"/>
  <c r="J24" i="1"/>
  <c r="H24" i="1"/>
  <c r="BG23" i="1"/>
  <c r="T23" i="1"/>
  <c r="AV46" i="1" l="1"/>
  <c r="AT47" i="1"/>
  <c r="R34" i="1"/>
  <c r="R35" i="1" s="1"/>
  <c r="BM35" i="1" s="1"/>
  <c r="BM33" i="1"/>
  <c r="BM32" i="1"/>
  <c r="H25" i="1"/>
  <c r="J25" i="1"/>
  <c r="BG24" i="1"/>
  <c r="AH24" i="1"/>
  <c r="T24" i="1"/>
  <c r="AV47" i="1" l="1"/>
  <c r="AT48" i="1"/>
  <c r="AV48" i="1" s="1"/>
  <c r="R36" i="1"/>
  <c r="BM36" i="1" s="1"/>
  <c r="BM34" i="1"/>
  <c r="H26" i="1"/>
  <c r="J26" i="1"/>
  <c r="AH25" i="1"/>
  <c r="BG25" i="1"/>
  <c r="T25" i="1"/>
  <c r="R37" i="1" l="1"/>
  <c r="R38" i="1"/>
  <c r="R39" i="1" s="1"/>
  <c r="R40" i="1" s="1"/>
  <c r="R41" i="1" s="1"/>
  <c r="BM37" i="1"/>
  <c r="J27" i="1"/>
  <c r="H27" i="1"/>
  <c r="AH26" i="1"/>
  <c r="BG26" i="1"/>
  <c r="T26" i="1"/>
  <c r="R42" i="1" l="1"/>
  <c r="R43" i="1" s="1"/>
  <c r="BM41" i="1"/>
  <c r="BM40" i="1"/>
  <c r="BM39" i="1"/>
  <c r="BM38" i="1"/>
  <c r="H28" i="1"/>
  <c r="J28" i="1"/>
  <c r="AH27" i="1"/>
  <c r="BG27" i="1"/>
  <c r="T27" i="1"/>
  <c r="R44" i="1" l="1"/>
  <c r="R45" i="1" s="1"/>
  <c r="R46" i="1" s="1"/>
  <c r="BM43" i="1"/>
  <c r="H29" i="1"/>
  <c r="H30" i="1" s="1"/>
  <c r="BM42" i="1"/>
  <c r="J29" i="1"/>
  <c r="AH28" i="1"/>
  <c r="BG28" i="1"/>
  <c r="T28" i="1"/>
  <c r="BM46" i="1" l="1"/>
  <c r="R47" i="1"/>
  <c r="R48" i="1" s="1"/>
  <c r="J30" i="1"/>
  <c r="BM45" i="1"/>
  <c r="BM44" i="1"/>
  <c r="J31" i="1"/>
  <c r="H31" i="1"/>
  <c r="AH30" i="1"/>
  <c r="BG30" i="1"/>
  <c r="T30" i="1"/>
  <c r="AH29" i="1"/>
  <c r="BG29" i="1"/>
  <c r="T29" i="1"/>
  <c r="BM48" i="1" l="1"/>
  <c r="AD72" i="1"/>
  <c r="BM47" i="1"/>
  <c r="AH31" i="1"/>
  <c r="H32" i="1"/>
  <c r="J32" i="1"/>
  <c r="BG31" i="1"/>
  <c r="T31" i="1"/>
  <c r="J33" i="1" l="1"/>
  <c r="H33" i="1"/>
  <c r="AH32" i="1"/>
  <c r="BG32" i="1"/>
  <c r="T32" i="1"/>
  <c r="H34" i="1" l="1"/>
  <c r="AD71" i="1" s="1"/>
  <c r="AD74" i="1"/>
  <c r="AD76" i="1" s="1"/>
  <c r="AD78" i="1" s="1"/>
  <c r="AH33" i="1"/>
  <c r="J34" i="1"/>
  <c r="BG33" i="1"/>
  <c r="T33" i="1"/>
  <c r="AJ78" i="1" l="1"/>
  <c r="AJ79" i="1" s="1"/>
  <c r="J35" i="1"/>
  <c r="H35" i="1"/>
  <c r="AH34" i="1"/>
  <c r="BG34" i="1"/>
  <c r="T34" i="1"/>
  <c r="AH35" i="1" l="1"/>
  <c r="H36" i="1"/>
  <c r="J36" i="1"/>
  <c r="T35" i="1"/>
  <c r="BG35" i="1"/>
  <c r="J37" i="1" l="1"/>
  <c r="H37" i="1"/>
  <c r="AH36" i="1"/>
  <c r="BG36" i="1"/>
  <c r="T36" i="1"/>
  <c r="AH37" i="1" l="1"/>
  <c r="J38" i="1"/>
  <c r="H38" i="1"/>
  <c r="H39" i="1" s="1"/>
  <c r="BG37" i="1"/>
  <c r="T37" i="1"/>
  <c r="J39" i="1" l="1"/>
  <c r="AH38" i="1"/>
  <c r="BG38" i="1"/>
  <c r="T38" i="1"/>
  <c r="J40" i="1" l="1"/>
  <c r="H40" i="1"/>
  <c r="AH39" i="1"/>
  <c r="BG39" i="1"/>
  <c r="T39" i="1"/>
  <c r="J41" i="1" l="1"/>
  <c r="H41" i="1"/>
  <c r="BG40" i="1"/>
  <c r="AH40" i="1"/>
  <c r="T40" i="1"/>
  <c r="J42" i="1" l="1"/>
  <c r="H42" i="1"/>
  <c r="AH41" i="1"/>
  <c r="BG41" i="1"/>
  <c r="T41" i="1"/>
  <c r="J43" i="1" l="1"/>
  <c r="H43" i="1"/>
  <c r="AH42" i="1"/>
  <c r="BG42" i="1"/>
  <c r="T42" i="1"/>
  <c r="AH43" i="1" l="1"/>
  <c r="J44" i="1"/>
  <c r="BG43" i="1"/>
  <c r="T43" i="1"/>
  <c r="H44" i="1"/>
  <c r="H45" i="1" s="1"/>
  <c r="J46" i="1" l="1"/>
  <c r="H46" i="1"/>
  <c r="J45" i="1"/>
  <c r="AH44" i="1"/>
  <c r="BG44" i="1"/>
  <c r="T44" i="1"/>
  <c r="J47" i="1" l="1"/>
  <c r="H47" i="1"/>
  <c r="BG46" i="1"/>
  <c r="AH46" i="1"/>
  <c r="T46" i="1"/>
  <c r="AH45" i="1"/>
  <c r="BG45" i="1"/>
  <c r="T45" i="1"/>
  <c r="J48" i="1" l="1"/>
  <c r="R57" i="1" s="1"/>
  <c r="H48" i="1"/>
  <c r="AH47" i="1"/>
  <c r="BG47" i="1"/>
  <c r="T47" i="1"/>
  <c r="AH48" i="1" l="1"/>
  <c r="AH82" i="1"/>
  <c r="BG48" i="1"/>
  <c r="T48" i="1"/>
  <c r="AD79" i="1"/>
  <c r="N58" i="1"/>
  <c r="R58" i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N59" i="1" l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</calcChain>
</file>

<file path=xl/sharedStrings.xml><?xml version="1.0" encoding="utf-8"?>
<sst xmlns="http://schemas.openxmlformats.org/spreadsheetml/2006/main" count="127" uniqueCount="85">
  <si>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</si>
  <si>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</si>
  <si>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</si>
  <si>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</si>
  <si>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</si>
  <si>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</si>
  <si>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</si>
  <si>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</si>
  <si>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</si>
  <si>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</si>
  <si>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</si>
  <si>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</si>
  <si>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</si>
  <si>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New York &amp; New Jersey, % USA (source CNN)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</si>
  <si>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</si>
  <si>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</si>
  <si>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</si>
  <si>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</si>
  <si>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</si>
  <si>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</si>
  <si>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</si>
  <si>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</si>
  <si>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</si>
  <si>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</si>
  <si>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</si>
  <si>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</si>
  <si>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</si>
  <si>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</si>
  <si>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</si>
  <si>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</si>
  <si>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Louisiana</t>
  </si>
  <si>
    <t>%  US</t>
  </si>
  <si>
    <t>Population</t>
  </si>
  <si>
    <t>New Orleans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</si>
  <si>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</si>
  <si>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</si>
  <si>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</si>
  <si>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</si>
  <si>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</si>
  <si>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</si>
  <si>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</si>
  <si>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NJ &amp; CT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</si>
  <si>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</si>
  <si>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</si>
  <si>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</si>
  <si>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</si>
  <si>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</si>
  <si>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</si>
  <si>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</si>
  <si>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</si>
  <si>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</si>
  <si>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</si>
  <si>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</si>
  <si>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</si>
  <si>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</si>
  <si>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</si>
  <si>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</si>
  <si>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</si>
  <si>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</si>
  <si>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</si>
  <si>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</si>
  <si>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</si>
  <si>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</si>
  <si>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</si>
  <si>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</si>
  <si>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</si>
  <si>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</si>
  <si>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</si>
  <si>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</si>
  <si>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</si>
  <si>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</si>
  <si>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</si>
  <si>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</si>
  <si>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</si>
  <si>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</si>
  <si>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</si>
  <si>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</si>
  <si>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</si>
  <si>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</si>
  <si>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</si>
  <si>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</si>
  <si>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</si>
  <si>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Net Cases:</t>
  </si>
  <si>
    <t>Recoveries</t>
  </si>
  <si>
    <t>Less: Reported recoveries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</si>
</sst>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3">
    <xf numFmtId="0" fontId="0" fillId="0" borderId="0" xfId="0"/>
    <xf numFmtId="164" fontId="0" fillId="0" borderId="0" xfId="1" applyNumberFormat="1" applyFont="1"/>
    <xf numFmtId="1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7" borderId="3" xfId="0" applyFont="1" applyFill="1" applyBorder="1" applyAlignment="1">
      <alignment horizontal="right"/>
    </xf>
    <xf numFmtId="0" fontId="2" fillId="7" borderId="2" xfId="0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0" fillId="8" borderId="1" xfId="0" applyFill="1" applyBorder="1" applyAlignment="1">
      <alignment horizontal="center"/>
    </xf>
    <xf numFmtId="0" fontId="2" fillId="6" borderId="3" xfId="0" applyFont="1" applyFill="1" applyBorder="1" applyAlignment="1">
      <alignment horizontal="right"/>
    </xf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0" fontId="0" fillId="7" borderId="11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5" fontId="0" fillId="7" borderId="11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164" fontId="0" fillId="7" borderId="9" xfId="1" applyNumberFormat="1" applyFont="1" applyFill="1" applyBorder="1"/>
    <xf numFmtId="0" fontId="0" fillId="5" borderId="8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1" xfId="0" applyFill="1" applyBorder="1"/>
    <xf numFmtId="164" fontId="0" fillId="5" borderId="10" xfId="1" applyNumberFormat="1" applyFont="1" applyFill="1" applyBorder="1"/>
    <xf numFmtId="165" fontId="0" fillId="8" borderId="11" xfId="2" applyNumberFormat="1" applyFont="1" applyFill="1" applyBorder="1"/>
    <xf numFmtId="164" fontId="0" fillId="5" borderId="8" xfId="1" applyNumberFormat="1" applyFont="1" applyFill="1" applyBorder="1"/>
    <xf numFmtId="164" fontId="0" fillId="5" borderId="1" xfId="1" applyNumberFormat="1" applyFont="1" applyFill="1" applyBorder="1"/>
    <xf numFmtId="0" fontId="0" fillId="5" borderId="1" xfId="0" applyFill="1" applyBorder="1"/>
    <xf numFmtId="0" fontId="0" fillId="8" borderId="9" xfId="0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0" fillId="8" borderId="1" xfId="0" applyFill="1" applyBorder="1"/>
    <xf numFmtId="0" fontId="2" fillId="6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5" fillId="7" borderId="4" xfId="0" applyFont="1" applyFill="1" applyBorder="1" applyAlignment="1">
      <alignment horizontal="center"/>
    </xf>
    <xf numFmtId="14" fontId="0" fillId="0" borderId="0" xfId="0" applyNumberFormat="1" applyFill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0" xfId="1" applyNumberFormat="1" applyFont="1" applyFill="1" applyBorder="1"/>
    <xf numFmtId="164" fontId="0" fillId="4" borderId="1" xfId="1" applyNumberFormat="1" applyFont="1" applyFill="1" applyBorder="1"/>
    <xf numFmtId="0" fontId="4" fillId="10" borderId="1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4" fontId="7" fillId="12" borderId="1" xfId="1" applyNumberFormat="1" applyFont="1" applyFill="1" applyBorder="1" applyAlignment="1">
      <alignment horizontal="center"/>
    </xf>
    <xf numFmtId="164" fontId="6" fillId="12" borderId="1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15" xfId="0" applyFont="1" applyFill="1" applyBorder="1" applyAlignment="1">
      <alignment horizontal="center"/>
    </xf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64" fontId="6" fillId="12" borderId="16" xfId="1" applyNumberFormat="1" applyFont="1" applyFill="1" applyBorder="1" applyAlignment="1">
      <alignment horizontal="center"/>
    </xf>
    <xf numFmtId="14" fontId="0" fillId="12" borderId="17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165" fontId="0" fillId="12" borderId="18" xfId="2" applyNumberFormat="1" applyFont="1" applyFill="1" applyBorder="1"/>
    <xf numFmtId="14" fontId="0" fillId="12" borderId="19" xfId="0" applyNumberFormat="1" applyFill="1" applyBorder="1"/>
    <xf numFmtId="0" fontId="0" fillId="12" borderId="20" xfId="0" applyFill="1" applyBorder="1"/>
    <xf numFmtId="164" fontId="0" fillId="12" borderId="20" xfId="1" applyNumberFormat="1" applyFont="1" applyFill="1" applyBorder="1"/>
    <xf numFmtId="165" fontId="0" fillId="12" borderId="20" xfId="2" applyNumberFormat="1" applyFont="1" applyFill="1" applyBorder="1"/>
    <xf numFmtId="165" fontId="0" fillId="12" borderId="21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23" xfId="1" applyNumberFormat="1" applyFont="1" applyFill="1" applyBorder="1"/>
    <xf numFmtId="0" fontId="0" fillId="15" borderId="24" xfId="0" applyFill="1" applyBorder="1"/>
    <xf numFmtId="0" fontId="0" fillId="15" borderId="25" xfId="0" applyFill="1" applyBorder="1"/>
    <xf numFmtId="164" fontId="0" fillId="15" borderId="17" xfId="1" applyNumberFormat="1" applyFont="1" applyFill="1" applyBorder="1"/>
    <xf numFmtId="164" fontId="0" fillId="15" borderId="0" xfId="1" applyNumberFormat="1" applyFont="1" applyFill="1" applyBorder="1"/>
    <xf numFmtId="0" fontId="0" fillId="15" borderId="0" xfId="0" applyFill="1" applyBorder="1" applyAlignment="1">
      <alignment horizontal="center"/>
    </xf>
    <xf numFmtId="0" fontId="0" fillId="15" borderId="18" xfId="0" applyFill="1" applyBorder="1"/>
    <xf numFmtId="164" fontId="0" fillId="15" borderId="18" xfId="1" applyNumberFormat="1" applyFont="1" applyFill="1" applyBorder="1"/>
    <xf numFmtId="164" fontId="0" fillId="15" borderId="19" xfId="1" applyNumberFormat="1" applyFont="1" applyFill="1" applyBorder="1"/>
    <xf numFmtId="164" fontId="0" fillId="15" borderId="20" xfId="1" applyNumberFormat="1" applyFont="1" applyFill="1" applyBorder="1"/>
    <xf numFmtId="164" fontId="0" fillId="15" borderId="21" xfId="1" applyNumberFormat="1" applyFont="1" applyFill="1" applyBorder="1"/>
    <xf numFmtId="164" fontId="2" fillId="15" borderId="1" xfId="1" applyNumberFormat="1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164" fontId="2" fillId="15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164" fontId="2" fillId="15" borderId="20" xfId="1" applyNumberFormat="1" applyFont="1" applyFill="1" applyBorder="1" applyAlignment="1">
      <alignment horizontal="center"/>
    </xf>
    <xf numFmtId="10" fontId="0" fillId="0" borderId="0" xfId="2" applyNumberFormat="1" applyFont="1" applyBorder="1"/>
    <xf numFmtId="0" fontId="2" fillId="13" borderId="3" xfId="0" applyFont="1" applyFill="1" applyBorder="1" applyAlignment="1">
      <alignment horizontal="center"/>
    </xf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22" xfId="2" applyNumberFormat="1" applyFont="1" applyFill="1" applyBorder="1"/>
    <xf numFmtId="164" fontId="10" fillId="15" borderId="0" xfId="1" applyNumberFormat="1" applyFont="1" applyFill="1" applyBorder="1"/>
    <xf numFmtId="164" fontId="10" fillId="15" borderId="20" xfId="1" applyNumberFormat="1" applyFont="1" applyFill="1" applyBorder="1"/>
    <xf numFmtId="164" fontId="2" fillId="15" borderId="20" xfId="1" applyNumberFormat="1" applyFont="1" applyFill="1" applyBorder="1"/>
    <xf numFmtId="164" fontId="11" fillId="15" borderId="0" xfId="1" applyNumberFormat="1" applyFont="1" applyFill="1" applyBorder="1"/>
    <xf numFmtId="0" fontId="11" fillId="15" borderId="0" xfId="0" applyFont="1" applyFill="1" applyBorder="1"/>
    <xf numFmtId="164" fontId="11" fillId="15" borderId="0" xfId="1" applyNumberFormat="1" applyFont="1" applyFill="1" applyBorder="1" applyAlignment="1"/>
    <xf numFmtId="164" fontId="11" fillId="15" borderId="0" xfId="0" applyNumberFormat="1" applyFont="1" applyFill="1" applyBorder="1"/>
    <xf numFmtId="164" fontId="11" fillId="15" borderId="22" xfId="1" applyNumberFormat="1" applyFont="1" applyFill="1" applyBorder="1"/>
    <xf numFmtId="165" fontId="2" fillId="15" borderId="20" xfId="2" applyNumberFormat="1" applyFont="1" applyFill="1" applyBorder="1"/>
    <xf numFmtId="0" fontId="10" fillId="15" borderId="0" xfId="0" applyFont="1" applyFill="1" applyBorder="1"/>
    <xf numFmtId="14" fontId="10" fillId="15" borderId="0" xfId="0" applyNumberFormat="1" applyFont="1" applyFill="1" applyBorder="1"/>
    <xf numFmtId="0" fontId="2" fillId="16" borderId="2" xfId="0" applyFont="1" applyFill="1" applyBorder="1" applyAlignment="1"/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16" borderId="3" xfId="0" applyFont="1" applyFill="1" applyBorder="1" applyAlignment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0" fontId="10" fillId="15" borderId="18" xfId="0" applyFont="1" applyFill="1" applyBorder="1" applyAlignment="1">
      <alignment horizontal="center"/>
    </xf>
    <xf numFmtId="165" fontId="10" fillId="15" borderId="18" xfId="2" applyNumberFormat="1" applyFont="1" applyFill="1" applyBorder="1"/>
    <xf numFmtId="164" fontId="10" fillId="15" borderId="18" xfId="1" applyNumberFormat="1" applyFont="1" applyFill="1" applyBorder="1"/>
    <xf numFmtId="164" fontId="10" fillId="15" borderId="21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49" fontId="7" fillId="5" borderId="0" xfId="1" applyNumberFormat="1" applyFont="1" applyFill="1" applyAlignment="1">
      <alignment horizontal="right"/>
    </xf>
    <xf numFmtId="164" fontId="0" fillId="0" borderId="0" xfId="2" applyNumberFormat="1" applyFont="1" applyFill="1" applyBorder="1"/>
    <xf numFmtId="164" fontId="0" fillId="0" borderId="22" xfId="1" applyNumberFormat="1" applyFont="1" applyFill="1" applyBorder="1"/>
    <xf numFmtId="165" fontId="0" fillId="0" borderId="22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164" fontId="0" fillId="0" borderId="17" xfId="1" applyNumberFormat="1" applyFont="1" applyBorder="1"/>
    <xf numFmtId="0" fontId="0" fillId="0" borderId="0" xfId="0" applyBorder="1"/>
    <xf numFmtId="164" fontId="0" fillId="0" borderId="18" xfId="1" applyNumberFormat="1" applyFont="1" applyFill="1" applyBorder="1"/>
    <xf numFmtId="164" fontId="0" fillId="0" borderId="19" xfId="1" applyNumberFormat="1" applyFont="1" applyBorder="1"/>
    <xf numFmtId="164" fontId="0" fillId="0" borderId="20" xfId="1" applyNumberFormat="1" applyFont="1" applyFill="1" applyBorder="1"/>
    <xf numFmtId="165" fontId="0" fillId="0" borderId="20" xfId="2" applyNumberFormat="1" applyFont="1" applyFill="1" applyBorder="1"/>
    <xf numFmtId="0" fontId="0" fillId="0" borderId="20" xfId="0" applyBorder="1"/>
    <xf numFmtId="1" fontId="0" fillId="0" borderId="20" xfId="1" applyNumberFormat="1" applyFont="1" applyFill="1" applyBorder="1"/>
    <xf numFmtId="164" fontId="0" fillId="0" borderId="21" xfId="1" applyNumberFormat="1" applyFont="1" applyFill="1" applyBorder="1"/>
    <xf numFmtId="0" fontId="0" fillId="0" borderId="17" xfId="0" applyBorder="1"/>
    <xf numFmtId="0" fontId="0" fillId="0" borderId="18" xfId="0" applyBorder="1"/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2" fillId="15" borderId="24" xfId="0" applyFont="1" applyFill="1" applyBorder="1" applyAlignment="1">
      <alignment horizontal="center" wrapText="1"/>
    </xf>
    <xf numFmtId="0" fontId="2" fillId="15" borderId="0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/>
    </xf>
    <xf numFmtId="49" fontId="7" fillId="10" borderId="0" xfId="1" applyNumberFormat="1" applyFont="1" applyFill="1" applyAlignment="1">
      <alignment horizontal="right"/>
    </xf>
    <xf numFmtId="49" fontId="7" fillId="2" borderId="0" xfId="1" applyNumberFormat="1" applyFont="1" applyFill="1" applyAlignment="1">
      <alignment horizontal="right"/>
    </xf>
    <xf numFmtId="164" fontId="0" fillId="10" borderId="17" xfId="1" applyNumberFormat="1" applyFont="1" applyFill="1" applyBorder="1"/>
    <xf numFmtId="164" fontId="0" fillId="10" borderId="18" xfId="1" applyNumberFormat="1" applyFont="1" applyFill="1" applyBorder="1"/>
    <xf numFmtId="164" fontId="0" fillId="10" borderId="19" xfId="1" applyNumberFormat="1" applyFont="1" applyFill="1" applyBorder="1"/>
    <xf numFmtId="164" fontId="0" fillId="10" borderId="21" xfId="1" applyNumberFormat="1" applyFont="1" applyFill="1" applyBorder="1"/>
    <xf numFmtId="169" fontId="0" fillId="0" borderId="0" xfId="1" applyNumberFormat="1" applyFont="1" applyBorder="1"/>
    <xf numFmtId="170" fontId="0" fillId="0" borderId="0" xfId="1" applyNumberFormat="1" applyFont="1" applyBorder="1"/>
    <xf numFmtId="0" fontId="10" fillId="10" borderId="0" xfId="0" applyFont="1" applyFill="1" applyBorder="1" applyAlignment="1">
      <alignment horizontal="center"/>
    </xf>
    <xf numFmtId="164" fontId="2" fillId="10" borderId="0" xfId="1" applyNumberFormat="1" applyFont="1" applyFill="1" applyBorder="1"/>
    <xf numFmtId="164" fontId="7" fillId="10" borderId="5" xfId="1" applyNumberFormat="1" applyFont="1" applyFill="1" applyBorder="1" applyAlignment="1"/>
    <xf numFmtId="164" fontId="0" fillId="10" borderId="7" xfId="1" applyNumberFormat="1" applyFont="1" applyFill="1" applyBorder="1"/>
    <xf numFmtId="0" fontId="10" fillId="10" borderId="13" xfId="0" applyFont="1" applyFill="1" applyBorder="1" applyAlignment="1">
      <alignment horizontal="center"/>
    </xf>
    <xf numFmtId="164" fontId="2" fillId="10" borderId="13" xfId="1" applyNumberFormat="1" applyFont="1" applyFill="1" applyBorder="1" applyAlignment="1">
      <alignment horizontal="center"/>
    </xf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9" fontId="0" fillId="0" borderId="0" xfId="2" applyNumberFormat="1" applyFont="1" applyFill="1" applyBorder="1"/>
    <xf numFmtId="164" fontId="7" fillId="10" borderId="0" xfId="1" applyNumberFormat="1" applyFont="1" applyFill="1" applyBorder="1"/>
    <xf numFmtId="169" fontId="7" fillId="10" borderId="0" xfId="1" applyNumberFormat="1" applyFont="1" applyFill="1" applyBorder="1"/>
    <xf numFmtId="165" fontId="7" fillId="10" borderId="0" xfId="2" applyNumberFormat="1" applyFont="1" applyFill="1" applyBorder="1"/>
    <xf numFmtId="164" fontId="7" fillId="10" borderId="1" xfId="1" applyNumberFormat="1" applyFont="1" applyFill="1" applyBorder="1"/>
    <xf numFmtId="169" fontId="7" fillId="10" borderId="1" xfId="1" applyNumberFormat="1" applyFont="1" applyFill="1" applyBorder="1"/>
    <xf numFmtId="164" fontId="10" fillId="10" borderId="0" xfId="1" applyNumberFormat="1" applyFont="1" applyFill="1" applyBorder="1"/>
    <xf numFmtId="164" fontId="10" fillId="10" borderId="20" xfId="1" applyNumberFormat="1" applyFont="1" applyFill="1" applyBorder="1"/>
    <xf numFmtId="164" fontId="7" fillId="10" borderId="20" xfId="1" applyNumberFormat="1" applyFont="1" applyFill="1" applyBorder="1"/>
    <xf numFmtId="165" fontId="7" fillId="10" borderId="20" xfId="2" applyNumberFormat="1" applyFont="1" applyFill="1" applyBorder="1"/>
    <xf numFmtId="164" fontId="0" fillId="7" borderId="17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9" xfId="1" applyNumberFormat="1" applyFont="1" applyFill="1" applyBorder="1"/>
    <xf numFmtId="164" fontId="0" fillId="7" borderId="20" xfId="1" applyNumberFormat="1" applyFont="1" applyFill="1" applyBorder="1"/>
    <xf numFmtId="0" fontId="0" fillId="7" borderId="17" xfId="0" applyFill="1" applyBorder="1"/>
    <xf numFmtId="0" fontId="0" fillId="7" borderId="18" xfId="0" applyFill="1" applyBorder="1"/>
    <xf numFmtId="164" fontId="7" fillId="7" borderId="0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0" fillId="7" borderId="20" xfId="1" applyNumberFormat="1" applyFont="1" applyFill="1" applyBorder="1" applyAlignment="1">
      <alignment horizontal="center"/>
    </xf>
    <xf numFmtId="164" fontId="2" fillId="7" borderId="20" xfId="1" applyNumberFormat="1" applyFont="1" applyFill="1" applyBorder="1"/>
    <xf numFmtId="10" fontId="0" fillId="0" borderId="0" xfId="2" applyNumberFormat="1" applyFont="1" applyFill="1"/>
    <xf numFmtId="49" fontId="5" fillId="2" borderId="0" xfId="1" applyNumberFormat="1" applyFont="1" applyFill="1" applyAlignment="1">
      <alignment horizontal="right"/>
    </xf>
    <xf numFmtId="49" fontId="5" fillId="10" borderId="0" xfId="1" applyNumberFormat="1" applyFont="1" applyFill="1" applyAlignment="1">
      <alignment horizontal="right"/>
    </xf>
    <xf numFmtId="14" fontId="0" fillId="9" borderId="3" xfId="0" applyNumberFormat="1" applyFill="1" applyBorder="1"/>
    <xf numFmtId="0" fontId="0" fillId="9" borderId="2" xfId="0" applyFill="1" applyBorder="1"/>
    <xf numFmtId="0" fontId="0" fillId="9" borderId="4" xfId="0" applyFill="1" applyBorder="1"/>
    <xf numFmtId="164" fontId="0" fillId="9" borderId="2" xfId="1" applyNumberFormat="1" applyFont="1" applyFill="1" applyBorder="1"/>
    <xf numFmtId="164" fontId="0" fillId="9" borderId="3" xfId="1" applyNumberFormat="1" applyFont="1" applyFill="1" applyBorder="1"/>
    <xf numFmtId="165" fontId="0" fillId="9" borderId="2" xfId="2" applyNumberFormat="1" applyFont="1" applyFill="1" applyBorder="1"/>
    <xf numFmtId="164" fontId="0" fillId="9" borderId="4" xfId="1" applyNumberFormat="1" applyFont="1" applyFill="1" applyBorder="1"/>
    <xf numFmtId="165" fontId="0" fillId="9" borderId="4" xfId="2" applyNumberFormat="1" applyFont="1" applyFill="1" applyBorder="1"/>
    <xf numFmtId="164" fontId="0" fillId="9" borderId="2" xfId="1" applyNumberFormat="1" applyFont="1" applyFill="1" applyBorder="1" applyAlignment="1">
      <alignment vertical="top"/>
    </xf>
    <xf numFmtId="49" fontId="7" fillId="9" borderId="2" xfId="1" applyNumberFormat="1" applyFont="1" applyFill="1" applyBorder="1" applyAlignment="1">
      <alignment horizontal="right"/>
    </xf>
    <xf numFmtId="0" fontId="0" fillId="7" borderId="0" xfId="0" applyFill="1" applyBorder="1"/>
    <xf numFmtId="0" fontId="0" fillId="7" borderId="24" xfId="0" applyFill="1" applyBorder="1"/>
    <xf numFmtId="0" fontId="0" fillId="7" borderId="25" xfId="0" applyFill="1" applyBorder="1"/>
    <xf numFmtId="0" fontId="0" fillId="7" borderId="20" xfId="0" applyFill="1" applyBorder="1"/>
    <xf numFmtId="0" fontId="0" fillId="7" borderId="21" xfId="0" applyFill="1" applyBorder="1"/>
    <xf numFmtId="0" fontId="10" fillId="7" borderId="6" xfId="0" applyFont="1" applyFill="1" applyBorder="1" applyAlignment="1">
      <alignment horizontal="center"/>
    </xf>
    <xf numFmtId="164" fontId="10" fillId="7" borderId="23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4" xfId="1" applyNumberFormat="1" applyFont="1" applyFill="1" applyBorder="1" applyAlignment="1"/>
    <xf numFmtId="164" fontId="12" fillId="7" borderId="22" xfId="1" applyNumberFormat="1" applyFont="1" applyFill="1" applyBorder="1"/>
    <xf numFmtId="164" fontId="10" fillId="7" borderId="22" xfId="0" applyNumberFormat="1" applyFont="1" applyFill="1" applyBorder="1"/>
    <xf numFmtId="164" fontId="0" fillId="17" borderId="6" xfId="1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5" xfId="0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164" fontId="2" fillId="15" borderId="25" xfId="1" applyNumberFormat="1" applyFont="1" applyFill="1" applyBorder="1" applyAlignment="1">
      <alignment horizontal="center"/>
    </xf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5" fontId="0" fillId="0" borderId="18" xfId="2" applyNumberFormat="1" applyFont="1" applyFill="1" applyBorder="1"/>
    <xf numFmtId="165" fontId="10" fillId="0" borderId="22" xfId="2" applyNumberFormat="1" applyFont="1" applyFill="1" applyBorder="1"/>
    <xf numFmtId="165" fontId="11" fillId="0" borderId="22" xfId="2" applyNumberFormat="1" applyFont="1" applyFill="1" applyBorder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30" xfId="2" applyNumberFormat="1" applyFont="1" applyFill="1" applyBorder="1"/>
    <xf numFmtId="164" fontId="10" fillId="10" borderId="6" xfId="1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164" fontId="2" fillId="0" borderId="6" xfId="1" applyNumberFormat="1" applyFont="1" applyFill="1" applyBorder="1" applyAlignment="1">
      <alignment horizontal="center"/>
    </xf>
    <xf numFmtId="164" fontId="2" fillId="0" borderId="7" xfId="1" applyNumberFormat="1" applyFont="1" applyFill="1" applyBorder="1" applyAlignment="1">
      <alignment horizontal="center"/>
    </xf>
    <xf numFmtId="164" fontId="10" fillId="15" borderId="22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0" fillId="15" borderId="26" xfId="1" applyNumberFormat="1" applyFont="1" applyFill="1" applyBorder="1" applyAlignment="1">
      <alignment horizontal="center"/>
    </xf>
    <xf numFmtId="0" fontId="2" fillId="15" borderId="28" xfId="0" applyFont="1" applyFill="1" applyBorder="1" applyAlignment="1">
      <alignment horizontal="center" wrapText="1"/>
    </xf>
    <xf numFmtId="0" fontId="2" fillId="15" borderId="29" xfId="0" applyFont="1" applyFill="1" applyBorder="1" applyAlignment="1">
      <alignment horizontal="center" wrapText="1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164" fontId="10" fillId="15" borderId="13" xfId="1" applyNumberFormat="1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2" fillId="8" borderId="2" xfId="2" applyNumberFormat="1" applyFont="1" applyFill="1" applyBorder="1" applyAlignment="1">
      <alignment horizontal="center"/>
    </xf>
    <xf numFmtId="165" fontId="2" fillId="8" borderId="4" xfId="2" applyNumberFormat="1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164" fontId="10" fillId="7" borderId="17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3" fillId="0" borderId="6" xfId="1" applyNumberFormat="1" applyFont="1" applyFill="1" applyBorder="1" applyAlignment="1">
      <alignment horizontal="center"/>
    </xf>
    <xf numFmtId="164" fontId="12" fillId="7" borderId="22" xfId="1" applyNumberFormat="1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3" fillId="17" borderId="6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966FF"/>
      <color rgb="FFFEB4EC"/>
      <color rgb="FFC1C1FF"/>
      <color rgb="FFE5B0FA"/>
      <color rgb="FFD581F7"/>
      <color rgb="FFFF6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259080</xdr:colOff>
      <xdr:row>3</xdr:row>
      <xdr:rowOff>60960</xdr:rowOff>
    </xdr:from>
    <xdr:to>
      <xdr:col>69</xdr:col>
      <xdr:colOff>342900</xdr:colOff>
      <xdr:row>3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274320</xdr:colOff>
      <xdr:row>4</xdr:row>
      <xdr:rowOff>76200</xdr:rowOff>
    </xdr:from>
    <xdr:to>
      <xdr:col>69</xdr:col>
      <xdr:colOff>358140</xdr:colOff>
      <xdr:row>5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289560</xdr:colOff>
      <xdr:row>6</xdr:row>
      <xdr:rowOff>45720</xdr:rowOff>
    </xdr:from>
    <xdr:to>
      <xdr:col>69</xdr:col>
      <xdr:colOff>449580</xdr:colOff>
      <xdr:row>7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83820</xdr:colOff>
      <xdr:row>14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83820</xdr:colOff>
      <xdr:row>15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16</xdr:row>
      <xdr:rowOff>0</xdr:rowOff>
    </xdr:from>
    <xdr:to>
      <xdr:col>31</xdr:col>
      <xdr:colOff>83820</xdr:colOff>
      <xdr:row>16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17</xdr:row>
      <xdr:rowOff>0</xdr:rowOff>
    </xdr:from>
    <xdr:to>
      <xdr:col>31</xdr:col>
      <xdr:colOff>83820</xdr:colOff>
      <xdr:row>17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18</xdr:row>
      <xdr:rowOff>0</xdr:rowOff>
    </xdr:from>
    <xdr:to>
      <xdr:col>31</xdr:col>
      <xdr:colOff>83820</xdr:colOff>
      <xdr:row>18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281940</xdr:colOff>
      <xdr:row>4</xdr:row>
      <xdr:rowOff>45720</xdr:rowOff>
    </xdr:from>
    <xdr:to>
      <xdr:col>70</xdr:col>
      <xdr:colOff>365760</xdr:colOff>
      <xdr:row>4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19</xdr:row>
      <xdr:rowOff>0</xdr:rowOff>
    </xdr:from>
    <xdr:to>
      <xdr:col>31</xdr:col>
      <xdr:colOff>83820</xdr:colOff>
      <xdr:row>19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20</xdr:row>
      <xdr:rowOff>0</xdr:rowOff>
    </xdr:from>
    <xdr:to>
      <xdr:col>31</xdr:col>
      <xdr:colOff>83820</xdr:colOff>
      <xdr:row>20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21</xdr:row>
      <xdr:rowOff>0</xdr:rowOff>
    </xdr:from>
    <xdr:to>
      <xdr:col>31</xdr:col>
      <xdr:colOff>83820</xdr:colOff>
      <xdr:row>21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274320</xdr:colOff>
      <xdr:row>3</xdr:row>
      <xdr:rowOff>22860</xdr:rowOff>
    </xdr:from>
    <xdr:to>
      <xdr:col>70</xdr:col>
      <xdr:colOff>358140</xdr:colOff>
      <xdr:row>3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83820</xdr:colOff>
      <xdr:row>16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83820</xdr:colOff>
      <xdr:row>17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25</xdr:col>
      <xdr:colOff>83820</xdr:colOff>
      <xdr:row>19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25</xdr:col>
      <xdr:colOff>83820</xdr:colOff>
      <xdr:row>18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83820</xdr:colOff>
      <xdr:row>20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25</xdr:col>
      <xdr:colOff>83820</xdr:colOff>
      <xdr:row>21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16</xdr:row>
      <xdr:rowOff>0</xdr:rowOff>
    </xdr:from>
    <xdr:to>
      <xdr:col>15</xdr:col>
      <xdr:colOff>83820</xdr:colOff>
      <xdr:row>16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83820</xdr:colOff>
      <xdr:row>18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83820</xdr:colOff>
      <xdr:row>19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83820</xdr:colOff>
      <xdr:row>20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83820</xdr:colOff>
      <xdr:row>17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83820</xdr:colOff>
      <xdr:row>21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83820</xdr:colOff>
      <xdr:row>22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25</xdr:col>
      <xdr:colOff>83820</xdr:colOff>
      <xdr:row>22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83820</xdr:colOff>
      <xdr:row>22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83820</xdr:colOff>
      <xdr:row>11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12</xdr:row>
      <xdr:rowOff>0</xdr:rowOff>
    </xdr:from>
    <xdr:to>
      <xdr:col>31</xdr:col>
      <xdr:colOff>83820</xdr:colOff>
      <xdr:row>12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13</xdr:row>
      <xdr:rowOff>0</xdr:rowOff>
    </xdr:from>
    <xdr:to>
      <xdr:col>31</xdr:col>
      <xdr:colOff>83820</xdr:colOff>
      <xdr:row>13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11</xdr:row>
      <xdr:rowOff>0</xdr:rowOff>
    </xdr:from>
    <xdr:to>
      <xdr:col>25</xdr:col>
      <xdr:colOff>83820</xdr:colOff>
      <xdr:row>11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83820</xdr:colOff>
      <xdr:row>14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25</xdr:col>
      <xdr:colOff>83820</xdr:colOff>
      <xdr:row>12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83820</xdr:colOff>
      <xdr:row>13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15</xdr:row>
      <xdr:rowOff>0</xdr:rowOff>
    </xdr:from>
    <xdr:to>
      <xdr:col>25</xdr:col>
      <xdr:colOff>83820</xdr:colOff>
      <xdr:row>15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83820</xdr:colOff>
      <xdr:row>10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83820</xdr:colOff>
      <xdr:row>11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12</xdr:row>
      <xdr:rowOff>0</xdr:rowOff>
    </xdr:from>
    <xdr:to>
      <xdr:col>15</xdr:col>
      <xdr:colOff>83820</xdr:colOff>
      <xdr:row>12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13</xdr:row>
      <xdr:rowOff>0</xdr:rowOff>
    </xdr:from>
    <xdr:to>
      <xdr:col>15</xdr:col>
      <xdr:colOff>83820</xdr:colOff>
      <xdr:row>13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14</xdr:row>
      <xdr:rowOff>0</xdr:rowOff>
    </xdr:from>
    <xdr:to>
      <xdr:col>15</xdr:col>
      <xdr:colOff>83820</xdr:colOff>
      <xdr:row>14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15</xdr:row>
      <xdr:rowOff>0</xdr:rowOff>
    </xdr:from>
    <xdr:to>
      <xdr:col>15</xdr:col>
      <xdr:colOff>83820</xdr:colOff>
      <xdr:row>15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83820</xdr:colOff>
      <xdr:row>9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160020</xdr:colOff>
      <xdr:row>8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8</xdr:row>
      <xdr:rowOff>0</xdr:rowOff>
    </xdr:from>
    <xdr:to>
      <xdr:col>15</xdr:col>
      <xdr:colOff>160020</xdr:colOff>
      <xdr:row>8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10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9</xdr:row>
      <xdr:rowOff>0</xdr:rowOff>
    </xdr:from>
    <xdr:to>
      <xdr:col>15</xdr:col>
      <xdr:colOff>83820</xdr:colOff>
      <xdr:row>9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10</xdr:row>
      <xdr:rowOff>0</xdr:rowOff>
    </xdr:from>
    <xdr:to>
      <xdr:col>32</xdr:col>
      <xdr:colOff>7620</xdr:colOff>
      <xdr:row>10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83820</xdr:colOff>
      <xdr:row>9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23</xdr:row>
      <xdr:rowOff>38100</xdr:rowOff>
    </xdr:from>
    <xdr:to>
      <xdr:col>31</xdr:col>
      <xdr:colOff>83820</xdr:colOff>
      <xdr:row>23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23</xdr:row>
      <xdr:rowOff>30480</xdr:rowOff>
    </xdr:from>
    <xdr:to>
      <xdr:col>25</xdr:col>
      <xdr:colOff>83820</xdr:colOff>
      <xdr:row>23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30480</xdr:rowOff>
    </xdr:from>
    <xdr:to>
      <xdr:col>11</xdr:col>
      <xdr:colOff>83820</xdr:colOff>
      <xdr:row>23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22</xdr:row>
      <xdr:rowOff>0</xdr:rowOff>
    </xdr:from>
    <xdr:to>
      <xdr:col>49</xdr:col>
      <xdr:colOff>160020</xdr:colOff>
      <xdr:row>22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83820</xdr:colOff>
      <xdr:row>23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24</xdr:row>
      <xdr:rowOff>38100</xdr:rowOff>
    </xdr:from>
    <xdr:to>
      <xdr:col>31</xdr:col>
      <xdr:colOff>83820</xdr:colOff>
      <xdr:row>24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24</xdr:row>
      <xdr:rowOff>30480</xdr:rowOff>
    </xdr:from>
    <xdr:to>
      <xdr:col>25</xdr:col>
      <xdr:colOff>83820</xdr:colOff>
      <xdr:row>24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24</xdr:row>
      <xdr:rowOff>22860</xdr:rowOff>
    </xdr:from>
    <xdr:to>
      <xdr:col>5</xdr:col>
      <xdr:colOff>83820</xdr:colOff>
      <xdr:row>24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24</xdr:row>
      <xdr:rowOff>30480</xdr:rowOff>
    </xdr:from>
    <xdr:to>
      <xdr:col>15</xdr:col>
      <xdr:colOff>83820</xdr:colOff>
      <xdr:row>24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25</xdr:row>
      <xdr:rowOff>38100</xdr:rowOff>
    </xdr:from>
    <xdr:to>
      <xdr:col>31</xdr:col>
      <xdr:colOff>83820</xdr:colOff>
      <xdr:row>25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83820</xdr:colOff>
      <xdr:row>25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25</xdr:row>
      <xdr:rowOff>53340</xdr:rowOff>
    </xdr:from>
    <xdr:to>
      <xdr:col>25</xdr:col>
      <xdr:colOff>83820</xdr:colOff>
      <xdr:row>25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23</xdr:row>
      <xdr:rowOff>0</xdr:rowOff>
    </xdr:from>
    <xdr:to>
      <xdr:col>49</xdr:col>
      <xdr:colOff>160020</xdr:colOff>
      <xdr:row>23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24</xdr:row>
      <xdr:rowOff>0</xdr:rowOff>
    </xdr:from>
    <xdr:to>
      <xdr:col>49</xdr:col>
      <xdr:colOff>160020</xdr:colOff>
      <xdr:row>24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25</xdr:row>
      <xdr:rowOff>0</xdr:rowOff>
    </xdr:from>
    <xdr:to>
      <xdr:col>49</xdr:col>
      <xdr:colOff>160020</xdr:colOff>
      <xdr:row>25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83820</xdr:colOff>
      <xdr:row>25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26</xdr:row>
      <xdr:rowOff>38100</xdr:rowOff>
    </xdr:from>
    <xdr:to>
      <xdr:col>31</xdr:col>
      <xdr:colOff>83820</xdr:colOff>
      <xdr:row>26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26</xdr:row>
      <xdr:rowOff>0</xdr:rowOff>
    </xdr:from>
    <xdr:to>
      <xdr:col>49</xdr:col>
      <xdr:colOff>160020</xdr:colOff>
      <xdr:row>26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27</xdr:row>
      <xdr:rowOff>0</xdr:rowOff>
    </xdr:from>
    <xdr:to>
      <xdr:col>49</xdr:col>
      <xdr:colOff>160020</xdr:colOff>
      <xdr:row>27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27</xdr:row>
      <xdr:rowOff>22860</xdr:rowOff>
    </xdr:from>
    <xdr:to>
      <xdr:col>5</xdr:col>
      <xdr:colOff>76200</xdr:colOff>
      <xdr:row>27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27</xdr:row>
      <xdr:rowOff>30480</xdr:rowOff>
    </xdr:from>
    <xdr:to>
      <xdr:col>11</xdr:col>
      <xdr:colOff>91440</xdr:colOff>
      <xdr:row>27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27</xdr:row>
      <xdr:rowOff>60960</xdr:rowOff>
    </xdr:from>
    <xdr:to>
      <xdr:col>31</xdr:col>
      <xdr:colOff>83820</xdr:colOff>
      <xdr:row>27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28</xdr:row>
      <xdr:rowOff>0</xdr:rowOff>
    </xdr:from>
    <xdr:to>
      <xdr:col>49</xdr:col>
      <xdr:colOff>160020</xdr:colOff>
      <xdr:row>28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27</xdr:row>
      <xdr:rowOff>0</xdr:rowOff>
    </xdr:from>
    <xdr:to>
      <xdr:col>25</xdr:col>
      <xdr:colOff>83820</xdr:colOff>
      <xdr:row>27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83820</xdr:colOff>
      <xdr:row>26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7620</xdr:colOff>
      <xdr:row>28</xdr:row>
      <xdr:rowOff>53340</xdr:rowOff>
    </xdr:from>
    <xdr:to>
      <xdr:col>31</xdr:col>
      <xdr:colOff>91440</xdr:colOff>
      <xdr:row>28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28</xdr:row>
      <xdr:rowOff>0</xdr:rowOff>
    </xdr:from>
    <xdr:to>
      <xdr:col>5</xdr:col>
      <xdr:colOff>83820</xdr:colOff>
      <xdr:row>28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29</xdr:row>
      <xdr:rowOff>0</xdr:rowOff>
    </xdr:from>
    <xdr:to>
      <xdr:col>49</xdr:col>
      <xdr:colOff>160020</xdr:colOff>
      <xdr:row>29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60960</xdr:colOff>
      <xdr:row>29</xdr:row>
      <xdr:rowOff>30480</xdr:rowOff>
    </xdr:from>
    <xdr:to>
      <xdr:col>25</xdr:col>
      <xdr:colOff>76200</xdr:colOff>
      <xdr:row>29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29</xdr:row>
      <xdr:rowOff>53340</xdr:rowOff>
    </xdr:from>
    <xdr:to>
      <xdr:col>31</xdr:col>
      <xdr:colOff>83820</xdr:colOff>
      <xdr:row>29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30</xdr:row>
      <xdr:rowOff>0</xdr:rowOff>
    </xdr:from>
    <xdr:to>
      <xdr:col>49</xdr:col>
      <xdr:colOff>160020</xdr:colOff>
      <xdr:row>30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83820</xdr:colOff>
      <xdr:row>28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30</xdr:row>
      <xdr:rowOff>0</xdr:rowOff>
    </xdr:from>
    <xdr:to>
      <xdr:col>25</xdr:col>
      <xdr:colOff>83820</xdr:colOff>
      <xdr:row>30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30</xdr:row>
      <xdr:rowOff>0</xdr:rowOff>
    </xdr:from>
    <xdr:to>
      <xdr:col>31</xdr:col>
      <xdr:colOff>83820</xdr:colOff>
      <xdr:row>30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83820</xdr:colOff>
      <xdr:row>30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28</xdr:row>
      <xdr:rowOff>0</xdr:rowOff>
    </xdr:from>
    <xdr:to>
      <xdr:col>15</xdr:col>
      <xdr:colOff>83820</xdr:colOff>
      <xdr:row>28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83820</xdr:colOff>
      <xdr:row>26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25</xdr:row>
      <xdr:rowOff>0</xdr:rowOff>
    </xdr:from>
    <xdr:to>
      <xdr:col>15</xdr:col>
      <xdr:colOff>83820</xdr:colOff>
      <xdr:row>25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83820</xdr:colOff>
      <xdr:row>29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27</xdr:row>
      <xdr:rowOff>0</xdr:rowOff>
    </xdr:from>
    <xdr:to>
      <xdr:col>15</xdr:col>
      <xdr:colOff>83820</xdr:colOff>
      <xdr:row>27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31</xdr:row>
      <xdr:rowOff>0</xdr:rowOff>
    </xdr:from>
    <xdr:to>
      <xdr:col>49</xdr:col>
      <xdr:colOff>160020</xdr:colOff>
      <xdr:row>31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28</xdr:row>
      <xdr:rowOff>0</xdr:rowOff>
    </xdr:from>
    <xdr:to>
      <xdr:col>60</xdr:col>
      <xdr:colOff>83820</xdr:colOff>
      <xdr:row>28</xdr:row>
      <xdr:rowOff>114300</xdr:rowOff>
    </xdr:to>
    <xdr:sp macro="" textlink="">
      <xdr:nvSpPr>
        <xdr:cNvPr id="213" name="Arrow: Down 212">
          <a:extLst>
            <a:ext uri="{FF2B5EF4-FFF2-40B4-BE49-F238E27FC236}">
              <a16:creationId xmlns:a16="http://schemas.microsoft.com/office/drawing/2014/main" id="{B96B0156-EDB4-4873-B6A0-265872DE80EF}"/>
            </a:ext>
          </a:extLst>
        </xdr:cNvPr>
        <xdr:cNvSpPr/>
      </xdr:nvSpPr>
      <xdr:spPr>
        <a:xfrm>
          <a:off x="165963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30</xdr:row>
      <xdr:rowOff>0</xdr:rowOff>
    </xdr:from>
    <xdr:to>
      <xdr:col>60</xdr:col>
      <xdr:colOff>83820</xdr:colOff>
      <xdr:row>30</xdr:row>
      <xdr:rowOff>114300</xdr:rowOff>
    </xdr:to>
    <xdr:sp macro="" textlink="">
      <xdr:nvSpPr>
        <xdr:cNvPr id="215" name="Arrow: Down 214">
          <a:extLst>
            <a:ext uri="{FF2B5EF4-FFF2-40B4-BE49-F238E27FC236}">
              <a16:creationId xmlns:a16="http://schemas.microsoft.com/office/drawing/2014/main" id="{CEC18D2D-EC20-4983-B205-F2EB60EB7075}"/>
            </a:ext>
          </a:extLst>
        </xdr:cNvPr>
        <xdr:cNvSpPr/>
      </xdr:nvSpPr>
      <xdr:spPr>
        <a:xfrm>
          <a:off x="165963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29</xdr:row>
      <xdr:rowOff>0</xdr:rowOff>
    </xdr:from>
    <xdr:to>
      <xdr:col>60</xdr:col>
      <xdr:colOff>83820</xdr:colOff>
      <xdr:row>29</xdr:row>
      <xdr:rowOff>114300</xdr:rowOff>
    </xdr:to>
    <xdr:sp macro="" textlink="">
      <xdr:nvSpPr>
        <xdr:cNvPr id="217" name="Arrow: Down 216">
          <a:extLst>
            <a:ext uri="{FF2B5EF4-FFF2-40B4-BE49-F238E27FC236}">
              <a16:creationId xmlns:a16="http://schemas.microsoft.com/office/drawing/2014/main" id="{FFCE7C52-EC26-4514-BA46-85BCF3E44ABA}"/>
            </a:ext>
          </a:extLst>
        </xdr:cNvPr>
        <xdr:cNvSpPr/>
      </xdr:nvSpPr>
      <xdr:spPr>
        <a:xfrm rot="10800000">
          <a:off x="1659636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31</xdr:row>
      <xdr:rowOff>0</xdr:rowOff>
    </xdr:from>
    <xdr:to>
      <xdr:col>15</xdr:col>
      <xdr:colOff>83820</xdr:colOff>
      <xdr:row>31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25</xdr:col>
      <xdr:colOff>83820</xdr:colOff>
      <xdr:row>31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83820</xdr:colOff>
      <xdr:row>31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31</xdr:row>
      <xdr:rowOff>0</xdr:rowOff>
    </xdr:from>
    <xdr:to>
      <xdr:col>60</xdr:col>
      <xdr:colOff>83820</xdr:colOff>
      <xdr:row>31</xdr:row>
      <xdr:rowOff>114300</xdr:rowOff>
    </xdr:to>
    <xdr:sp macro="" textlink="">
      <xdr:nvSpPr>
        <xdr:cNvPr id="224" name="Arrow: Down 223">
          <a:extLst>
            <a:ext uri="{FF2B5EF4-FFF2-40B4-BE49-F238E27FC236}">
              <a16:creationId xmlns:a16="http://schemas.microsoft.com/office/drawing/2014/main" id="{5FE1F1D4-24C4-4C45-ACB6-2B3B2855D093}"/>
            </a:ext>
          </a:extLst>
        </xdr:cNvPr>
        <xdr:cNvSpPr/>
      </xdr:nvSpPr>
      <xdr:spPr>
        <a:xfrm>
          <a:off x="1669542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32</xdr:row>
      <xdr:rowOff>0</xdr:rowOff>
    </xdr:from>
    <xdr:to>
      <xdr:col>49</xdr:col>
      <xdr:colOff>160020</xdr:colOff>
      <xdr:row>32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32</xdr:row>
      <xdr:rowOff>0</xdr:rowOff>
    </xdr:from>
    <xdr:to>
      <xdr:col>31</xdr:col>
      <xdr:colOff>83820</xdr:colOff>
      <xdr:row>32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32</xdr:row>
      <xdr:rowOff>0</xdr:rowOff>
    </xdr:from>
    <xdr:to>
      <xdr:col>60</xdr:col>
      <xdr:colOff>83820</xdr:colOff>
      <xdr:row>32</xdr:row>
      <xdr:rowOff>114300</xdr:rowOff>
    </xdr:to>
    <xdr:sp macro="" textlink="">
      <xdr:nvSpPr>
        <xdr:cNvPr id="231" name="Arrow: Down 230">
          <a:extLst>
            <a:ext uri="{FF2B5EF4-FFF2-40B4-BE49-F238E27FC236}">
              <a16:creationId xmlns:a16="http://schemas.microsoft.com/office/drawing/2014/main" id="{77D48B51-0B98-49A2-917A-2774795500AC}"/>
            </a:ext>
          </a:extLst>
        </xdr:cNvPr>
        <xdr:cNvSpPr/>
      </xdr:nvSpPr>
      <xdr:spPr>
        <a:xfrm>
          <a:off x="1669542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25</xdr:col>
      <xdr:colOff>83820</xdr:colOff>
      <xdr:row>32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83820</xdr:colOff>
      <xdr:row>32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33</xdr:row>
      <xdr:rowOff>0</xdr:rowOff>
    </xdr:from>
    <xdr:to>
      <xdr:col>49</xdr:col>
      <xdr:colOff>160020</xdr:colOff>
      <xdr:row>33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83820</xdr:colOff>
      <xdr:row>33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33</xdr:row>
      <xdr:rowOff>0</xdr:rowOff>
    </xdr:from>
    <xdr:to>
      <xdr:col>15</xdr:col>
      <xdr:colOff>83820</xdr:colOff>
      <xdr:row>33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33</xdr:row>
      <xdr:rowOff>0</xdr:rowOff>
    </xdr:from>
    <xdr:to>
      <xdr:col>60</xdr:col>
      <xdr:colOff>83820</xdr:colOff>
      <xdr:row>33</xdr:row>
      <xdr:rowOff>114300</xdr:rowOff>
    </xdr:to>
    <xdr:sp macro="" textlink="">
      <xdr:nvSpPr>
        <xdr:cNvPr id="186" name="Arrow: Down 185">
          <a:extLst>
            <a:ext uri="{FF2B5EF4-FFF2-40B4-BE49-F238E27FC236}">
              <a16:creationId xmlns:a16="http://schemas.microsoft.com/office/drawing/2014/main" id="{3B902510-65E6-4D0D-B985-6CF9E72FCBC8}"/>
            </a:ext>
          </a:extLst>
        </xdr:cNvPr>
        <xdr:cNvSpPr/>
      </xdr:nvSpPr>
      <xdr:spPr>
        <a:xfrm>
          <a:off x="1674876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33</xdr:row>
      <xdr:rowOff>0</xdr:rowOff>
    </xdr:from>
    <xdr:to>
      <xdr:col>25</xdr:col>
      <xdr:colOff>83820</xdr:colOff>
      <xdr:row>33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34</xdr:row>
      <xdr:rowOff>0</xdr:rowOff>
    </xdr:from>
    <xdr:to>
      <xdr:col>49</xdr:col>
      <xdr:colOff>160020</xdr:colOff>
      <xdr:row>34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83820</xdr:colOff>
      <xdr:row>34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25</xdr:col>
      <xdr:colOff>83820</xdr:colOff>
      <xdr:row>34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5</xdr:col>
      <xdr:colOff>83820</xdr:colOff>
      <xdr:row>34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83820</xdr:colOff>
      <xdr:row>34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34</xdr:row>
      <xdr:rowOff>0</xdr:rowOff>
    </xdr:from>
    <xdr:to>
      <xdr:col>15</xdr:col>
      <xdr:colOff>83820</xdr:colOff>
      <xdr:row>34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34</xdr:row>
      <xdr:rowOff>0</xdr:rowOff>
    </xdr:from>
    <xdr:to>
      <xdr:col>60</xdr:col>
      <xdr:colOff>160020</xdr:colOff>
      <xdr:row>34</xdr:row>
      <xdr:rowOff>167640</xdr:rowOff>
    </xdr:to>
    <xdr:sp macro="" textlink="">
      <xdr:nvSpPr>
        <xdr:cNvPr id="239" name="Minus Sign 238">
          <a:extLst>
            <a:ext uri="{FF2B5EF4-FFF2-40B4-BE49-F238E27FC236}">
              <a16:creationId xmlns:a16="http://schemas.microsoft.com/office/drawing/2014/main" id="{BD50FB5A-ADA7-45F4-9994-C390B730F7E5}"/>
            </a:ext>
          </a:extLst>
        </xdr:cNvPr>
        <xdr:cNvSpPr/>
      </xdr:nvSpPr>
      <xdr:spPr>
        <a:xfrm>
          <a:off x="1674876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35</xdr:row>
      <xdr:rowOff>0</xdr:rowOff>
    </xdr:from>
    <xdr:to>
      <xdr:col>49</xdr:col>
      <xdr:colOff>160020</xdr:colOff>
      <xdr:row>35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35</xdr:row>
      <xdr:rowOff>0</xdr:rowOff>
    </xdr:from>
    <xdr:to>
      <xdr:col>31</xdr:col>
      <xdr:colOff>83820</xdr:colOff>
      <xdr:row>35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35</xdr:row>
      <xdr:rowOff>0</xdr:rowOff>
    </xdr:from>
    <xdr:to>
      <xdr:col>15</xdr:col>
      <xdr:colOff>83820</xdr:colOff>
      <xdr:row>35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25</xdr:col>
      <xdr:colOff>83820</xdr:colOff>
      <xdr:row>35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35</xdr:row>
      <xdr:rowOff>0</xdr:rowOff>
    </xdr:from>
    <xdr:to>
      <xdr:col>60</xdr:col>
      <xdr:colOff>83820</xdr:colOff>
      <xdr:row>35</xdr:row>
      <xdr:rowOff>114300</xdr:rowOff>
    </xdr:to>
    <xdr:sp macro="" textlink="">
      <xdr:nvSpPr>
        <xdr:cNvPr id="204" name="Arrow: Down 203">
          <a:extLst>
            <a:ext uri="{FF2B5EF4-FFF2-40B4-BE49-F238E27FC236}">
              <a16:creationId xmlns:a16="http://schemas.microsoft.com/office/drawing/2014/main" id="{7527912D-8232-40D8-B977-43F602D20036}"/>
            </a:ext>
          </a:extLst>
        </xdr:cNvPr>
        <xdr:cNvSpPr/>
      </xdr:nvSpPr>
      <xdr:spPr>
        <a:xfrm rot="10800000">
          <a:off x="1674876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33</xdr:row>
      <xdr:rowOff>0</xdr:rowOff>
    </xdr:from>
    <xdr:to>
      <xdr:col>11</xdr:col>
      <xdr:colOff>160020</xdr:colOff>
      <xdr:row>33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6</xdr:col>
      <xdr:colOff>7620</xdr:colOff>
      <xdr:row>33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36</xdr:row>
      <xdr:rowOff>0</xdr:rowOff>
    </xdr:from>
    <xdr:to>
      <xdr:col>49</xdr:col>
      <xdr:colOff>160020</xdr:colOff>
      <xdr:row>36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36</xdr:row>
      <xdr:rowOff>0</xdr:rowOff>
    </xdr:from>
    <xdr:to>
      <xdr:col>15</xdr:col>
      <xdr:colOff>83820</xdr:colOff>
      <xdr:row>36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25</xdr:col>
      <xdr:colOff>83820</xdr:colOff>
      <xdr:row>36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83820</xdr:colOff>
      <xdr:row>36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36</xdr:row>
      <xdr:rowOff>0</xdr:rowOff>
    </xdr:from>
    <xdr:to>
      <xdr:col>60</xdr:col>
      <xdr:colOff>83820</xdr:colOff>
      <xdr:row>36</xdr:row>
      <xdr:rowOff>114300</xdr:rowOff>
    </xdr:to>
    <xdr:sp macro="" textlink="">
      <xdr:nvSpPr>
        <xdr:cNvPr id="229" name="Arrow: Down 228">
          <a:extLst>
            <a:ext uri="{FF2B5EF4-FFF2-40B4-BE49-F238E27FC236}">
              <a16:creationId xmlns:a16="http://schemas.microsoft.com/office/drawing/2014/main" id="{A1C59A83-457F-4911-A0B4-C4DA6531501A}"/>
            </a:ext>
          </a:extLst>
        </xdr:cNvPr>
        <xdr:cNvSpPr/>
      </xdr:nvSpPr>
      <xdr:spPr>
        <a:xfrm>
          <a:off x="1680972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37</xdr:row>
      <xdr:rowOff>0</xdr:rowOff>
    </xdr:from>
    <xdr:to>
      <xdr:col>49</xdr:col>
      <xdr:colOff>160020</xdr:colOff>
      <xdr:row>37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37</xdr:row>
      <xdr:rowOff>0</xdr:rowOff>
    </xdr:from>
    <xdr:to>
      <xdr:col>60</xdr:col>
      <xdr:colOff>83820</xdr:colOff>
      <xdr:row>37</xdr:row>
      <xdr:rowOff>114300</xdr:rowOff>
    </xdr:to>
    <xdr:sp macro="" textlink="">
      <xdr:nvSpPr>
        <xdr:cNvPr id="246" name="Arrow: Down 245">
          <a:extLst>
            <a:ext uri="{FF2B5EF4-FFF2-40B4-BE49-F238E27FC236}">
              <a16:creationId xmlns:a16="http://schemas.microsoft.com/office/drawing/2014/main" id="{DF1706F4-F3E4-4B9D-BBF8-B82527D0D214}"/>
            </a:ext>
          </a:extLst>
        </xdr:cNvPr>
        <xdr:cNvSpPr/>
      </xdr:nvSpPr>
      <xdr:spPr>
        <a:xfrm>
          <a:off x="1680972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25</xdr:col>
      <xdr:colOff>83820</xdr:colOff>
      <xdr:row>37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83820</xdr:colOff>
      <xdr:row>37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9090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37</xdr:row>
      <xdr:rowOff>0</xdr:rowOff>
    </xdr:from>
    <xdr:to>
      <xdr:col>15</xdr:col>
      <xdr:colOff>83820</xdr:colOff>
      <xdr:row>37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38</xdr:row>
      <xdr:rowOff>0</xdr:rowOff>
    </xdr:from>
    <xdr:to>
      <xdr:col>60</xdr:col>
      <xdr:colOff>83820</xdr:colOff>
      <xdr:row>38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66E984-220C-4126-91EA-13F6955D07C6}"/>
            </a:ext>
          </a:extLst>
        </xdr:cNvPr>
        <xdr:cNvSpPr/>
      </xdr:nvSpPr>
      <xdr:spPr>
        <a:xfrm>
          <a:off x="1670304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38</xdr:row>
      <xdr:rowOff>0</xdr:rowOff>
    </xdr:from>
    <xdr:to>
      <xdr:col>15</xdr:col>
      <xdr:colOff>83820</xdr:colOff>
      <xdr:row>38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38</xdr:row>
      <xdr:rowOff>0</xdr:rowOff>
    </xdr:from>
    <xdr:to>
      <xdr:col>31</xdr:col>
      <xdr:colOff>83820</xdr:colOff>
      <xdr:row>38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83820</xdr:colOff>
      <xdr:row>38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39</xdr:row>
      <xdr:rowOff>0</xdr:rowOff>
    </xdr:from>
    <xdr:to>
      <xdr:col>25</xdr:col>
      <xdr:colOff>83820</xdr:colOff>
      <xdr:row>39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83820</xdr:colOff>
      <xdr:row>39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39</xdr:row>
      <xdr:rowOff>0</xdr:rowOff>
    </xdr:from>
    <xdr:to>
      <xdr:col>31</xdr:col>
      <xdr:colOff>83820</xdr:colOff>
      <xdr:row>39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83820</xdr:colOff>
      <xdr:row>39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506523A3-59BD-4C88-9A3E-CF1129CD93EA}"/>
            </a:ext>
          </a:extLst>
        </xdr:cNvPr>
        <xdr:cNvSpPr/>
      </xdr:nvSpPr>
      <xdr:spPr>
        <a:xfrm rot="10800000">
          <a:off x="1670304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40</xdr:row>
      <xdr:rowOff>0</xdr:rowOff>
    </xdr:from>
    <xdr:to>
      <xdr:col>15</xdr:col>
      <xdr:colOff>83820</xdr:colOff>
      <xdr:row>40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40</xdr:row>
      <xdr:rowOff>0</xdr:rowOff>
    </xdr:from>
    <xdr:to>
      <xdr:col>25</xdr:col>
      <xdr:colOff>83820</xdr:colOff>
      <xdr:row>40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40</xdr:row>
      <xdr:rowOff>0</xdr:rowOff>
    </xdr:from>
    <xdr:to>
      <xdr:col>31</xdr:col>
      <xdr:colOff>83820</xdr:colOff>
      <xdr:row>40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502A3930-3193-450B-95DA-04EF66A45C6A}"/>
            </a:ext>
          </a:extLst>
        </xdr:cNvPr>
        <xdr:cNvSpPr/>
      </xdr:nvSpPr>
      <xdr:spPr>
        <a:xfrm>
          <a:off x="167716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83820</xdr:colOff>
      <xdr:row>41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F67AE545-0859-4357-928D-5F3B99AA1765}"/>
            </a:ext>
          </a:extLst>
        </xdr:cNvPr>
        <xdr:cNvSpPr/>
      </xdr:nvSpPr>
      <xdr:spPr>
        <a:xfrm>
          <a:off x="16771620" y="7581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41</xdr:row>
      <xdr:rowOff>0</xdr:rowOff>
    </xdr:from>
    <xdr:to>
      <xdr:col>25</xdr:col>
      <xdr:colOff>83820</xdr:colOff>
      <xdr:row>41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41</xdr:row>
      <xdr:rowOff>0</xdr:rowOff>
    </xdr:from>
    <xdr:to>
      <xdr:col>31</xdr:col>
      <xdr:colOff>83820</xdr:colOff>
      <xdr:row>41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0A6EB19C-91C4-4D1E-B15E-430D6EC82979}"/>
            </a:ext>
          </a:extLst>
        </xdr:cNvPr>
        <xdr:cNvSpPr/>
      </xdr:nvSpPr>
      <xdr:spPr>
        <a:xfrm>
          <a:off x="16771620" y="7581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22860</xdr:colOff>
      <xdr:row>78</xdr:row>
      <xdr:rowOff>22860</xdr:rowOff>
    </xdr:from>
    <xdr:to>
      <xdr:col>34</xdr:col>
      <xdr:colOff>106680</xdr:colOff>
      <xdr:row>78</xdr:row>
      <xdr:rowOff>137160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EDFD7B5E-24B7-43BB-9B27-CB8F5679759C}"/>
            </a:ext>
          </a:extLst>
        </xdr:cNvPr>
        <xdr:cNvSpPr/>
      </xdr:nvSpPr>
      <xdr:spPr>
        <a:xfrm rot="10800000">
          <a:off x="9700260" y="1339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83820</xdr:colOff>
      <xdr:row>42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25</xdr:col>
      <xdr:colOff>83820</xdr:colOff>
      <xdr:row>42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42</xdr:row>
      <xdr:rowOff>0</xdr:rowOff>
    </xdr:from>
    <xdr:to>
      <xdr:col>49</xdr:col>
      <xdr:colOff>83820</xdr:colOff>
      <xdr:row>42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38</xdr:row>
      <xdr:rowOff>0</xdr:rowOff>
    </xdr:from>
    <xdr:to>
      <xdr:col>49</xdr:col>
      <xdr:colOff>83820</xdr:colOff>
      <xdr:row>38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39</xdr:row>
      <xdr:rowOff>0</xdr:rowOff>
    </xdr:from>
    <xdr:to>
      <xdr:col>49</xdr:col>
      <xdr:colOff>83820</xdr:colOff>
      <xdr:row>39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40</xdr:row>
      <xdr:rowOff>0</xdr:rowOff>
    </xdr:from>
    <xdr:to>
      <xdr:col>49</xdr:col>
      <xdr:colOff>83820</xdr:colOff>
      <xdr:row>40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41</xdr:row>
      <xdr:rowOff>0</xdr:rowOff>
    </xdr:from>
    <xdr:to>
      <xdr:col>49</xdr:col>
      <xdr:colOff>83820</xdr:colOff>
      <xdr:row>41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42</xdr:row>
      <xdr:rowOff>0</xdr:rowOff>
    </xdr:from>
    <xdr:to>
      <xdr:col>31</xdr:col>
      <xdr:colOff>83820</xdr:colOff>
      <xdr:row>42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39</xdr:row>
      <xdr:rowOff>0</xdr:rowOff>
    </xdr:from>
    <xdr:to>
      <xdr:col>43</xdr:col>
      <xdr:colOff>83820</xdr:colOff>
      <xdr:row>39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40</xdr:row>
      <xdr:rowOff>0</xdr:rowOff>
    </xdr:from>
    <xdr:to>
      <xdr:col>43</xdr:col>
      <xdr:colOff>83820</xdr:colOff>
      <xdr:row>40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41</xdr:row>
      <xdr:rowOff>0</xdr:rowOff>
    </xdr:from>
    <xdr:to>
      <xdr:col>43</xdr:col>
      <xdr:colOff>83820</xdr:colOff>
      <xdr:row>41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42</xdr:row>
      <xdr:rowOff>0</xdr:rowOff>
    </xdr:from>
    <xdr:to>
      <xdr:col>43</xdr:col>
      <xdr:colOff>83820</xdr:colOff>
      <xdr:row>42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38</xdr:row>
      <xdr:rowOff>0</xdr:rowOff>
    </xdr:from>
    <xdr:to>
      <xdr:col>43</xdr:col>
      <xdr:colOff>160020</xdr:colOff>
      <xdr:row>38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160020</xdr:colOff>
      <xdr:row>42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322E0C88-5438-4BF5-AFB4-BD00C9595DF2}"/>
            </a:ext>
          </a:extLst>
        </xdr:cNvPr>
        <xdr:cNvSpPr/>
      </xdr:nvSpPr>
      <xdr:spPr>
        <a:xfrm>
          <a:off x="1770888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43</xdr:row>
      <xdr:rowOff>0</xdr:rowOff>
    </xdr:from>
    <xdr:to>
      <xdr:col>25</xdr:col>
      <xdr:colOff>83820</xdr:colOff>
      <xdr:row>43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83820</xdr:colOff>
      <xdr:row>43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43</xdr:row>
      <xdr:rowOff>0</xdr:rowOff>
    </xdr:from>
    <xdr:to>
      <xdr:col>43</xdr:col>
      <xdr:colOff>83820</xdr:colOff>
      <xdr:row>43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43</xdr:row>
      <xdr:rowOff>0</xdr:rowOff>
    </xdr:from>
    <xdr:to>
      <xdr:col>49</xdr:col>
      <xdr:colOff>83820</xdr:colOff>
      <xdr:row>43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83820</xdr:colOff>
      <xdr:row>43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83820</xdr:colOff>
      <xdr:row>43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44</xdr:row>
      <xdr:rowOff>0</xdr:rowOff>
    </xdr:from>
    <xdr:to>
      <xdr:col>31</xdr:col>
      <xdr:colOff>83820</xdr:colOff>
      <xdr:row>44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44</xdr:row>
      <xdr:rowOff>0</xdr:rowOff>
    </xdr:from>
    <xdr:to>
      <xdr:col>15</xdr:col>
      <xdr:colOff>83820</xdr:colOff>
      <xdr:row>44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44</xdr:row>
      <xdr:rowOff>0</xdr:rowOff>
    </xdr:from>
    <xdr:to>
      <xdr:col>43</xdr:col>
      <xdr:colOff>83820</xdr:colOff>
      <xdr:row>44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44</xdr:row>
      <xdr:rowOff>0</xdr:rowOff>
    </xdr:from>
    <xdr:to>
      <xdr:col>49</xdr:col>
      <xdr:colOff>160020</xdr:colOff>
      <xdr:row>44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83820</xdr:colOff>
      <xdr:row>44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BCD96C86-1D3C-43CE-B2CE-1327E1DA5FAD}"/>
            </a:ext>
          </a:extLst>
        </xdr:cNvPr>
        <xdr:cNvSpPr/>
      </xdr:nvSpPr>
      <xdr:spPr>
        <a:xfrm rot="10800000">
          <a:off x="177927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45</xdr:row>
      <xdr:rowOff>0</xdr:rowOff>
    </xdr:from>
    <xdr:to>
      <xdr:col>49</xdr:col>
      <xdr:colOff>160020</xdr:colOff>
      <xdr:row>45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45</xdr:row>
      <xdr:rowOff>0</xdr:rowOff>
    </xdr:from>
    <xdr:to>
      <xdr:col>15</xdr:col>
      <xdr:colOff>83820</xdr:colOff>
      <xdr:row>45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45</xdr:row>
      <xdr:rowOff>0</xdr:rowOff>
    </xdr:from>
    <xdr:to>
      <xdr:col>43</xdr:col>
      <xdr:colOff>83820</xdr:colOff>
      <xdr:row>45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920566A3-F6D5-437D-AAEE-435AE50A558E}"/>
            </a:ext>
          </a:extLst>
        </xdr:cNvPr>
        <xdr:cNvSpPr/>
      </xdr:nvSpPr>
      <xdr:spPr>
        <a:xfrm>
          <a:off x="1691640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45</xdr:row>
      <xdr:rowOff>0</xdr:rowOff>
    </xdr:from>
    <xdr:to>
      <xdr:col>31</xdr:col>
      <xdr:colOff>83820</xdr:colOff>
      <xdr:row>45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25</xdr:col>
      <xdr:colOff>83820</xdr:colOff>
      <xdr:row>45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090780BD-5289-45AC-BB69-38E17DFE47C4}"/>
            </a:ext>
          </a:extLst>
        </xdr:cNvPr>
        <xdr:cNvSpPr/>
      </xdr:nvSpPr>
      <xdr:spPr>
        <a:xfrm>
          <a:off x="1695450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25</xdr:col>
      <xdr:colOff>83820</xdr:colOff>
      <xdr:row>46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46</xdr:row>
      <xdr:rowOff>0</xdr:rowOff>
    </xdr:from>
    <xdr:to>
      <xdr:col>31</xdr:col>
      <xdr:colOff>83820</xdr:colOff>
      <xdr:row>46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46</xdr:row>
      <xdr:rowOff>0</xdr:rowOff>
    </xdr:from>
    <xdr:to>
      <xdr:col>43</xdr:col>
      <xdr:colOff>83820</xdr:colOff>
      <xdr:row>46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46</xdr:row>
      <xdr:rowOff>0</xdr:rowOff>
    </xdr:from>
    <xdr:to>
      <xdr:col>49</xdr:col>
      <xdr:colOff>83820</xdr:colOff>
      <xdr:row>46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46</xdr:row>
      <xdr:rowOff>0</xdr:rowOff>
    </xdr:from>
    <xdr:to>
      <xdr:col>15</xdr:col>
      <xdr:colOff>83820</xdr:colOff>
      <xdr:row>46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47</xdr:row>
      <xdr:rowOff>0</xdr:rowOff>
    </xdr:from>
    <xdr:to>
      <xdr:col>60</xdr:col>
      <xdr:colOff>83820</xdr:colOff>
      <xdr:row>47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A857E984-014F-4841-847A-A9BA8975E08D}"/>
            </a:ext>
          </a:extLst>
        </xdr:cNvPr>
        <xdr:cNvSpPr/>
      </xdr:nvSpPr>
      <xdr:spPr>
        <a:xfrm>
          <a:off x="170078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47</xdr:row>
      <xdr:rowOff>0</xdr:rowOff>
    </xdr:from>
    <xdr:to>
      <xdr:col>15</xdr:col>
      <xdr:colOff>83820</xdr:colOff>
      <xdr:row>47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47</xdr:row>
      <xdr:rowOff>0</xdr:rowOff>
    </xdr:from>
    <xdr:to>
      <xdr:col>43</xdr:col>
      <xdr:colOff>83820</xdr:colOff>
      <xdr:row>47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DA2EEFB9-0451-411E-93D4-5C68573887FD}"/>
            </a:ext>
          </a:extLst>
        </xdr:cNvPr>
        <xdr:cNvSpPr/>
      </xdr:nvSpPr>
      <xdr:spPr>
        <a:xfrm rot="10800000">
          <a:off x="121310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47</xdr:row>
      <xdr:rowOff>0</xdr:rowOff>
    </xdr:from>
    <xdr:to>
      <xdr:col>25</xdr:col>
      <xdr:colOff>83820</xdr:colOff>
      <xdr:row>47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83820</xdr:colOff>
      <xdr:row>47</xdr:row>
      <xdr:rowOff>114300</xdr:rowOff>
    </xdr:to>
    <xdr:sp macro="" textlink="">
      <xdr:nvSpPr>
        <xdr:cNvPr id="318" name="Arrow: Down 317">
          <a:extLst>
            <a:ext uri="{FF2B5EF4-FFF2-40B4-BE49-F238E27FC236}">
              <a16:creationId xmlns:a16="http://schemas.microsoft.com/office/drawing/2014/main" id="{9FBB4625-A08D-4794-8973-214BF4A352C9}"/>
            </a:ext>
          </a:extLst>
        </xdr:cNvPr>
        <xdr:cNvSpPr/>
      </xdr:nvSpPr>
      <xdr:spPr>
        <a:xfrm>
          <a:off x="85725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47</xdr:row>
      <xdr:rowOff>0</xdr:rowOff>
    </xdr:from>
    <xdr:to>
      <xdr:col>49</xdr:col>
      <xdr:colOff>160020</xdr:colOff>
      <xdr:row>47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BP128"/>
  <sheetViews>
    <sheetView tabSelected="1" topLeftCell="A28" zoomScaleNormal="100" workbookViewId="0">
      <selection activeCell="BA62" sqref="BA62"/>
    </sheetView>
  </sheetViews>
  <sheetFormatPr defaultRowHeight="14.4" x14ac:dyDescent="0.3"/>
  <cols>
    <col min="1" max="1" width="3.33203125" customWidth="1"/>
    <col min="2" max="2" width="12.109375" customWidth="1"/>
    <col min="3" max="3" width="1.77734375" customWidth="1"/>
    <col min="4" max="4" width="11.88671875" customWidth="1"/>
    <col min="5" max="5" width="1.5546875" customWidth="1"/>
    <col min="6" max="6" width="2.21875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.21875" customWidth="1"/>
    <col min="14" max="14" width="8.88671875" customWidth="1"/>
    <col min="15" max="15" width="1.77734375" customWidth="1"/>
    <col min="16" max="16" width="2.5546875" customWidth="1"/>
    <col min="17" max="17" width="1.6640625" customWidth="1"/>
    <col min="18" max="18" width="8" customWidth="1"/>
    <col min="19" max="19" width="2.33203125" customWidth="1"/>
    <col min="20" max="20" width="5.6640625" customWidth="1"/>
    <col min="21" max="22" width="1" customWidth="1"/>
    <col min="23" max="23" width="1.5546875" customWidth="1"/>
    <col min="24" max="24" width="8.21875" customWidth="1"/>
    <col min="25" max="25" width="1" customWidth="1"/>
    <col min="26" max="26" width="1.44140625" customWidth="1"/>
    <col min="27" max="27" width="1.21875" customWidth="1"/>
    <col min="28" max="28" width="9.44140625" customWidth="1"/>
    <col min="29" max="29" width="1.33203125" customWidth="1"/>
    <col min="30" max="30" width="7" customWidth="1"/>
    <col min="31" max="31" width="1.5546875" customWidth="1"/>
    <col min="32" max="32" width="2.21875" customWidth="1"/>
    <col min="33" max="33" width="1.33203125" customWidth="1"/>
    <col min="34" max="34" width="7.44140625" customWidth="1"/>
    <col min="35" max="35" width="1.88671875" customWidth="1"/>
    <col min="36" max="36" width="10.6640625" customWidth="1"/>
    <col min="37" max="37" width="1.109375" customWidth="1"/>
    <col min="38" max="38" width="10.109375" customWidth="1"/>
    <col min="39" max="39" width="0.6640625" customWidth="1"/>
    <col min="40" max="40" width="7.5546875" customWidth="1"/>
    <col min="41" max="41" width="1.109375" customWidth="1"/>
    <col min="42" max="42" width="6.6640625" customWidth="1"/>
    <col min="43" max="43" width="1.109375" customWidth="1"/>
    <col min="44" max="44" width="2.88671875" customWidth="1"/>
    <col min="45" max="45" width="0.88671875" customWidth="1"/>
    <col min="46" max="46" width="8.33203125" customWidth="1"/>
    <col min="47" max="47" width="1.44140625" customWidth="1"/>
    <col min="48" max="48" width="6.88671875" customWidth="1"/>
    <col min="49" max="49" width="1.109375" customWidth="1"/>
    <col min="50" max="50" width="3.44140625" customWidth="1"/>
    <col min="51" max="51" width="0.77734375" customWidth="1"/>
    <col min="52" max="52" width="1.88671875" customWidth="1"/>
    <col min="54" max="54" width="1.77734375" customWidth="1"/>
    <col min="55" max="55" width="9.6640625" bestFit="1" customWidth="1"/>
    <col min="56" max="56" width="2.109375" customWidth="1"/>
    <col min="57" max="57" width="9.77734375" customWidth="1"/>
    <col min="58" max="58" width="1.33203125" customWidth="1"/>
    <col min="59" max="59" width="9" bestFit="1" customWidth="1"/>
    <col min="60" max="60" width="1.109375" customWidth="1"/>
    <col min="61" max="61" width="3.21875" customWidth="1"/>
    <col min="62" max="62" width="1.44140625" customWidth="1"/>
    <col min="63" max="63" width="7.77734375" customWidth="1"/>
    <col min="64" max="64" width="1" customWidth="1"/>
    <col min="65" max="65" width="7.21875" customWidth="1"/>
    <col min="66" max="66" width="1.44140625" customWidth="1"/>
    <col min="67" max="67" width="4.77734375" customWidth="1"/>
    <col min="68" max="68" width="12.21875" customWidth="1"/>
  </cols>
  <sheetData>
    <row r="1" spans="2:68" ht="15.6" x14ac:dyDescent="0.3">
      <c r="B1" s="325" t="s">
        <v>5</v>
      </c>
      <c r="C1" s="325"/>
      <c r="D1" s="325"/>
    </row>
    <row r="2" spans="2:68" ht="16.2" thickBot="1" x14ac:dyDescent="0.35">
      <c r="B2" s="325" t="s">
        <v>6</v>
      </c>
      <c r="C2" s="325"/>
      <c r="D2" s="325"/>
      <c r="E2" s="14"/>
      <c r="F2" s="14"/>
    </row>
    <row r="3" spans="2:68" ht="16.2" thickBot="1" x14ac:dyDescent="0.35">
      <c r="B3" s="330" t="s">
        <v>14</v>
      </c>
      <c r="C3" s="330"/>
      <c r="E3" s="14"/>
      <c r="F3" s="14"/>
      <c r="J3" s="326" t="s">
        <v>11</v>
      </c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18"/>
      <c r="V3" s="19"/>
      <c r="X3" s="344" t="s">
        <v>15</v>
      </c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  <c r="AU3" s="345"/>
      <c r="AV3" s="345"/>
      <c r="AW3" s="345"/>
      <c r="AX3" s="345"/>
      <c r="AY3" s="345"/>
      <c r="AZ3" s="345"/>
      <c r="BA3" s="345"/>
      <c r="BB3" s="345"/>
      <c r="BC3" s="345"/>
      <c r="BD3" s="345"/>
      <c r="BE3" s="345"/>
      <c r="BF3" s="345"/>
      <c r="BG3" s="345"/>
      <c r="BH3" s="345"/>
      <c r="BI3" s="345"/>
      <c r="BJ3" s="345"/>
      <c r="BK3" s="345"/>
      <c r="BL3" s="345"/>
      <c r="BM3" s="346"/>
    </row>
    <row r="5" spans="2:68" x14ac:dyDescent="0.3">
      <c r="D5" s="17" t="s">
        <v>7</v>
      </c>
      <c r="E5" s="50"/>
      <c r="F5" s="331" t="s">
        <v>12</v>
      </c>
      <c r="G5" s="331"/>
      <c r="H5" s="331"/>
      <c r="I5" s="331"/>
      <c r="J5" s="331"/>
      <c r="K5" s="331"/>
      <c r="L5" s="332"/>
      <c r="M5" s="4"/>
      <c r="N5" s="13" t="s">
        <v>7</v>
      </c>
      <c r="O5" s="51"/>
      <c r="P5" s="333">
        <v>1.2500000000000001E-2</v>
      </c>
      <c r="Q5" s="333"/>
      <c r="R5" s="333"/>
      <c r="S5" s="333"/>
      <c r="T5" s="333"/>
      <c r="U5" s="333"/>
      <c r="V5" s="334"/>
      <c r="W5" s="4"/>
      <c r="X5" s="11" t="s">
        <v>7</v>
      </c>
      <c r="Y5" s="52"/>
      <c r="Z5" s="52"/>
      <c r="AA5" s="12"/>
      <c r="AB5" s="347" t="s">
        <v>28</v>
      </c>
      <c r="AC5" s="347"/>
      <c r="AD5" s="347"/>
      <c r="AE5" s="347"/>
      <c r="AF5" s="347"/>
      <c r="AG5" s="347"/>
      <c r="AH5" s="348"/>
      <c r="AI5" s="4"/>
      <c r="AJ5" s="158" t="s">
        <v>7</v>
      </c>
      <c r="AK5" s="159"/>
      <c r="AL5" s="159"/>
      <c r="AM5" s="159"/>
      <c r="AN5" s="349" t="s">
        <v>27</v>
      </c>
      <c r="AO5" s="349"/>
      <c r="AP5" s="349"/>
      <c r="AQ5" s="349"/>
      <c r="AR5" s="349"/>
      <c r="AS5" s="349"/>
      <c r="AT5" s="349"/>
      <c r="AU5" s="350"/>
      <c r="AV5" s="350"/>
      <c r="AW5" s="350"/>
      <c r="AX5" s="350"/>
      <c r="AY5" s="350"/>
      <c r="AZ5" s="4"/>
      <c r="BA5" s="336" t="s">
        <v>7</v>
      </c>
      <c r="BB5" s="337"/>
      <c r="BC5" s="342">
        <v>0.7</v>
      </c>
      <c r="BD5" s="342"/>
      <c r="BE5" s="342"/>
      <c r="BF5" s="342"/>
      <c r="BG5" s="342"/>
      <c r="BH5" s="342"/>
      <c r="BI5" s="342"/>
      <c r="BJ5" s="342"/>
      <c r="BK5" s="342"/>
      <c r="BL5" s="342"/>
      <c r="BM5" s="343"/>
    </row>
    <row r="6" spans="2:68" ht="16.2" x14ac:dyDescent="0.3">
      <c r="D6" s="328" t="s">
        <v>21</v>
      </c>
      <c r="E6" s="329"/>
      <c r="F6" s="329"/>
      <c r="G6" s="329"/>
      <c r="H6" s="329"/>
      <c r="I6" s="329"/>
      <c r="J6" s="329"/>
      <c r="K6" s="79"/>
      <c r="L6" s="80"/>
      <c r="M6" s="4"/>
      <c r="N6" s="178"/>
      <c r="O6" s="335" t="s">
        <v>38</v>
      </c>
      <c r="P6" s="335"/>
      <c r="Q6" s="335"/>
      <c r="R6" s="335"/>
      <c r="S6" s="335"/>
      <c r="T6" s="175"/>
      <c r="U6" s="176"/>
      <c r="V6" s="177"/>
      <c r="W6" s="4"/>
      <c r="X6" s="351" t="s">
        <v>83</v>
      </c>
      <c r="Y6" s="352"/>
      <c r="Z6" s="352"/>
      <c r="AA6" s="352"/>
      <c r="AB6" s="352"/>
      <c r="AC6" s="352"/>
      <c r="AD6" s="352"/>
      <c r="AE6" s="352"/>
      <c r="AF6" s="352"/>
      <c r="AG6" s="352"/>
      <c r="AH6" s="353"/>
      <c r="AJ6" s="328" t="s">
        <v>26</v>
      </c>
      <c r="AK6" s="329"/>
      <c r="AL6" s="329"/>
      <c r="AM6" s="329"/>
      <c r="AN6" s="329"/>
      <c r="AO6" s="329"/>
      <c r="AP6" s="329"/>
      <c r="AQ6" s="329"/>
      <c r="AR6" s="329"/>
      <c r="AS6" s="329"/>
      <c r="AT6" s="329"/>
      <c r="AU6" s="329"/>
      <c r="AV6" s="329"/>
      <c r="AW6" s="329"/>
      <c r="AX6" s="329"/>
      <c r="AY6" s="329"/>
      <c r="BA6" s="338" t="s">
        <v>13</v>
      </c>
      <c r="BB6" s="339"/>
      <c r="BC6" s="339"/>
      <c r="BD6" s="339"/>
      <c r="BE6" s="339"/>
      <c r="BF6" s="339"/>
      <c r="BG6" s="339"/>
      <c r="BH6" s="339"/>
      <c r="BI6" s="339"/>
      <c r="BJ6" s="340"/>
      <c r="BK6" s="340"/>
      <c r="BL6" s="340"/>
      <c r="BM6" s="341"/>
    </row>
    <row r="7" spans="2:68" x14ac:dyDescent="0.3">
      <c r="D7" s="86" t="s">
        <v>1</v>
      </c>
      <c r="E7" s="20"/>
      <c r="F7" s="87" t="s">
        <v>16</v>
      </c>
      <c r="G7" s="20"/>
      <c r="H7" s="113" t="s">
        <v>2</v>
      </c>
      <c r="I7" s="20"/>
      <c r="J7" s="88" t="s">
        <v>3</v>
      </c>
      <c r="K7" s="20"/>
      <c r="L7" s="89" t="s">
        <v>16</v>
      </c>
      <c r="N7" s="77" t="s">
        <v>1</v>
      </c>
      <c r="O7" s="54"/>
      <c r="P7" s="76" t="s">
        <v>16</v>
      </c>
      <c r="Q7" s="54"/>
      <c r="R7" s="114" t="s">
        <v>2</v>
      </c>
      <c r="S7" s="54"/>
      <c r="T7" s="78" t="s">
        <v>3</v>
      </c>
      <c r="U7" s="71"/>
      <c r="V7" s="81" t="s">
        <v>16</v>
      </c>
      <c r="X7" s="27" t="s">
        <v>1</v>
      </c>
      <c r="Y7" s="9"/>
      <c r="Z7" s="53" t="s">
        <v>16</v>
      </c>
      <c r="AA7" s="9"/>
      <c r="AB7" s="115" t="s">
        <v>2</v>
      </c>
      <c r="AC7" s="9"/>
      <c r="AD7" s="10" t="s">
        <v>3</v>
      </c>
      <c r="AE7" s="9"/>
      <c r="AF7" s="53" t="s">
        <v>16</v>
      </c>
      <c r="AG7" s="9"/>
      <c r="AH7" s="61" t="s">
        <v>17</v>
      </c>
      <c r="AJ7" s="319" t="s">
        <v>1</v>
      </c>
      <c r="AK7" s="320"/>
      <c r="AL7" s="320"/>
      <c r="AM7" s="102"/>
      <c r="AN7" s="320" t="s">
        <v>25</v>
      </c>
      <c r="AO7" s="320"/>
      <c r="AP7" s="320"/>
      <c r="AQ7" s="320"/>
      <c r="AR7" s="320"/>
      <c r="AS7" s="320"/>
      <c r="AT7" s="320"/>
      <c r="AU7" s="102"/>
      <c r="AV7" s="110"/>
      <c r="AW7" s="109"/>
      <c r="AX7" s="101"/>
      <c r="AY7" s="102"/>
      <c r="BA7" s="310" t="s">
        <v>40</v>
      </c>
      <c r="BB7" s="311"/>
      <c r="BC7" s="311"/>
      <c r="BD7" s="311"/>
      <c r="BE7" s="311"/>
      <c r="BF7" s="311"/>
      <c r="BG7" s="311"/>
      <c r="BH7" s="192"/>
      <c r="BI7" s="193"/>
      <c r="BJ7" s="6"/>
      <c r="BK7" s="310" t="s">
        <v>4</v>
      </c>
      <c r="BL7" s="311"/>
      <c r="BM7" s="312"/>
      <c r="BO7" s="93" t="s">
        <v>19</v>
      </c>
    </row>
    <row r="8" spans="2:68" x14ac:dyDescent="0.3">
      <c r="B8" s="3" t="s">
        <v>0</v>
      </c>
      <c r="D8" s="21"/>
      <c r="E8" s="22"/>
      <c r="F8" s="22"/>
      <c r="G8" s="22"/>
      <c r="H8" s="23">
        <f>85435-71593</f>
        <v>13842</v>
      </c>
      <c r="I8" s="22"/>
      <c r="J8" s="63"/>
      <c r="K8" s="22"/>
      <c r="L8" s="66"/>
      <c r="N8" s="55"/>
      <c r="O8" s="56"/>
      <c r="P8" s="56"/>
      <c r="Q8" s="56"/>
      <c r="R8" s="57">
        <f>1295-1092</f>
        <v>203</v>
      </c>
      <c r="S8" s="56"/>
      <c r="T8" s="72"/>
      <c r="U8" s="72"/>
      <c r="V8" s="82"/>
      <c r="X8" s="28"/>
      <c r="Y8" s="29"/>
      <c r="Z8" s="29"/>
      <c r="AA8" s="29"/>
      <c r="AB8" s="29"/>
      <c r="AC8" s="29"/>
      <c r="AD8" s="29"/>
      <c r="AE8" s="29"/>
      <c r="AF8" s="29"/>
      <c r="AG8" s="29"/>
      <c r="AH8" s="30"/>
      <c r="AJ8" s="108" t="s">
        <v>39</v>
      </c>
      <c r="AK8" s="102"/>
      <c r="AL8" s="160" t="s">
        <v>2</v>
      </c>
      <c r="AM8" s="103"/>
      <c r="AN8" s="109" t="s">
        <v>39</v>
      </c>
      <c r="AO8" s="102"/>
      <c r="AP8" s="101" t="s">
        <v>10</v>
      </c>
      <c r="AQ8" s="293"/>
      <c r="AR8" s="101" t="s">
        <v>16</v>
      </c>
      <c r="AS8" s="102"/>
      <c r="AT8" s="179" t="s">
        <v>2</v>
      </c>
      <c r="AU8" s="103"/>
      <c r="AV8" s="180" t="s">
        <v>23</v>
      </c>
      <c r="AW8" s="102"/>
      <c r="AX8" s="181" t="s">
        <v>16</v>
      </c>
      <c r="AY8" s="103"/>
      <c r="BA8" s="38" t="s">
        <v>8</v>
      </c>
      <c r="BB8" s="6"/>
      <c r="BC8" s="5" t="s">
        <v>41</v>
      </c>
      <c r="BD8" s="6"/>
      <c r="BE8" s="5" t="s">
        <v>9</v>
      </c>
      <c r="BF8" s="6"/>
      <c r="BG8" s="16" t="s">
        <v>10</v>
      </c>
      <c r="BH8" s="213"/>
      <c r="BI8" s="216" t="s">
        <v>16</v>
      </c>
      <c r="BJ8" s="7"/>
      <c r="BK8" s="5" t="s">
        <v>4</v>
      </c>
      <c r="BL8" s="7"/>
      <c r="BM8" s="39" t="s">
        <v>10</v>
      </c>
    </row>
    <row r="9" spans="2:68" x14ac:dyDescent="0.3">
      <c r="B9" s="2">
        <v>43910</v>
      </c>
      <c r="D9" s="24">
        <v>5594</v>
      </c>
      <c r="E9" s="23"/>
      <c r="F9" s="23"/>
      <c r="G9" s="23"/>
      <c r="H9" s="23">
        <f>+H8+D9</f>
        <v>19436</v>
      </c>
      <c r="I9" s="23"/>
      <c r="J9" s="64">
        <f>+D9/H8</f>
        <v>0.40413235081635601</v>
      </c>
      <c r="K9" s="23"/>
      <c r="L9" s="67"/>
      <c r="M9" s="1"/>
      <c r="N9" s="58">
        <f>49+3</f>
        <v>52</v>
      </c>
      <c r="O9" s="57"/>
      <c r="P9" s="57"/>
      <c r="Q9" s="57"/>
      <c r="R9" s="57">
        <f>+R8+N9</f>
        <v>255</v>
      </c>
      <c r="S9" s="57"/>
      <c r="T9" s="73">
        <f>+R9/H9</f>
        <v>1.3119983535706935E-2</v>
      </c>
      <c r="U9" s="73"/>
      <c r="V9" s="83"/>
      <c r="W9" s="1"/>
      <c r="X9" s="31"/>
      <c r="Y9" s="32"/>
      <c r="Z9" s="32"/>
      <c r="AA9" s="32"/>
      <c r="AB9" s="32">
        <v>176</v>
      </c>
      <c r="AC9" s="32"/>
      <c r="AD9" s="32"/>
      <c r="AE9" s="32"/>
      <c r="AF9" s="32"/>
      <c r="AG9" s="32"/>
      <c r="AH9" s="30"/>
      <c r="AI9" s="1"/>
      <c r="AJ9" s="104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11"/>
      <c r="AW9" s="105"/>
      <c r="AX9" s="105"/>
      <c r="AY9" s="105"/>
      <c r="AZ9" s="1"/>
      <c r="BA9" s="41"/>
      <c r="BB9" s="8"/>
      <c r="BC9" s="8"/>
      <c r="BD9" s="8"/>
      <c r="BE9" s="8"/>
      <c r="BF9" s="7"/>
      <c r="BG9" s="47"/>
      <c r="BH9" s="47"/>
      <c r="BI9" s="47"/>
      <c r="BJ9" s="7"/>
      <c r="BK9" s="7"/>
      <c r="BL9" s="7"/>
      <c r="BM9" s="40"/>
      <c r="BO9">
        <v>1</v>
      </c>
    </row>
    <row r="10" spans="2:68" x14ac:dyDescent="0.3">
      <c r="B10" s="2">
        <f>1+B9</f>
        <v>43911</v>
      </c>
      <c r="D10" s="24">
        <v>4824</v>
      </c>
      <c r="E10" s="23"/>
      <c r="F10" s="23"/>
      <c r="G10" s="23"/>
      <c r="H10" s="23">
        <f t="shared" ref="H10:H15" si="0">+H9+D10</f>
        <v>24260</v>
      </c>
      <c r="I10" s="23"/>
      <c r="J10" s="64">
        <f>+D10/H9</f>
        <v>0.24819921794607944</v>
      </c>
      <c r="K10" s="98"/>
      <c r="L10" s="68"/>
      <c r="M10" s="1"/>
      <c r="N10" s="58">
        <v>46</v>
      </c>
      <c r="O10" s="57"/>
      <c r="P10" s="57"/>
      <c r="Q10" s="57"/>
      <c r="R10" s="57">
        <f t="shared" ref="R10:R15" si="1">+R9+N10</f>
        <v>301</v>
      </c>
      <c r="S10" s="57"/>
      <c r="T10" s="73">
        <f>+R10/H10</f>
        <v>1.2407254740313274E-2</v>
      </c>
      <c r="U10" s="73"/>
      <c r="V10" s="83"/>
      <c r="W10" s="1"/>
      <c r="X10" s="31">
        <f t="shared" ref="X10:X16" si="2">+AB10-AB9</f>
        <v>0</v>
      </c>
      <c r="Y10" s="32"/>
      <c r="Z10" s="32"/>
      <c r="AA10" s="32"/>
      <c r="AB10" s="32">
        <v>176</v>
      </c>
      <c r="AC10" s="32"/>
      <c r="AD10" s="32"/>
      <c r="AE10" s="32"/>
      <c r="AF10" s="32"/>
      <c r="AG10" s="32"/>
      <c r="AH10" s="30"/>
      <c r="AI10" s="1"/>
      <c r="AJ10" s="104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11"/>
      <c r="AW10" s="105"/>
      <c r="AX10" s="105"/>
      <c r="AY10" s="105"/>
      <c r="AZ10" s="1"/>
      <c r="BA10" s="41"/>
      <c r="BB10" s="8"/>
      <c r="BC10" s="8"/>
      <c r="BD10" s="8"/>
      <c r="BE10" s="8"/>
      <c r="BF10" s="7"/>
      <c r="BG10" s="47"/>
      <c r="BH10" s="47"/>
      <c r="BI10" s="47"/>
      <c r="BJ10" s="7"/>
      <c r="BK10" s="7"/>
      <c r="BL10" s="7"/>
      <c r="BM10" s="40"/>
      <c r="BO10">
        <f>+BO9+1</f>
        <v>2</v>
      </c>
    </row>
    <row r="11" spans="2:68" x14ac:dyDescent="0.3">
      <c r="B11" s="2">
        <f t="shared" ref="B11:B52" si="3">1+B10</f>
        <v>43912</v>
      </c>
      <c r="D11" s="24">
        <v>9339</v>
      </c>
      <c r="E11" s="23"/>
      <c r="F11" s="23"/>
      <c r="G11" s="23"/>
      <c r="H11" s="23">
        <f t="shared" si="0"/>
        <v>33599</v>
      </c>
      <c r="I11" s="23"/>
      <c r="J11" s="64">
        <f t="shared" ref="J11:J16" si="4">+D11/H10</f>
        <v>0.38495465787304206</v>
      </c>
      <c r="K11" s="98"/>
      <c r="L11" s="68"/>
      <c r="M11" s="1"/>
      <c r="N11" s="58">
        <f>117-4</f>
        <v>113</v>
      </c>
      <c r="O11" s="57"/>
      <c r="P11" s="57"/>
      <c r="Q11" s="57"/>
      <c r="R11" s="57">
        <f t="shared" si="1"/>
        <v>414</v>
      </c>
      <c r="S11" s="57"/>
      <c r="T11" s="73">
        <f t="shared" ref="T11:T16" si="5">+R11/H11</f>
        <v>1.2321795291526534E-2</v>
      </c>
      <c r="U11" s="73"/>
      <c r="V11" s="83"/>
      <c r="W11" s="1"/>
      <c r="X11" s="31">
        <f t="shared" si="2"/>
        <v>2</v>
      </c>
      <c r="Y11" s="32"/>
      <c r="Z11" s="32"/>
      <c r="AA11" s="32"/>
      <c r="AB11" s="32">
        <v>178</v>
      </c>
      <c r="AC11" s="32"/>
      <c r="AD11" s="33">
        <f t="shared" ref="AD11:AD16" si="6">+X11/AB10</f>
        <v>1.1363636363636364E-2</v>
      </c>
      <c r="AE11" s="33"/>
      <c r="AF11" s="33"/>
      <c r="AG11" s="32"/>
      <c r="AH11" s="34">
        <f>+AB11/H11</f>
        <v>5.2977767195452243E-3</v>
      </c>
      <c r="AI11" s="1"/>
      <c r="AJ11" s="104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11"/>
      <c r="AW11" s="105"/>
      <c r="AX11" s="105"/>
      <c r="AY11" s="105"/>
      <c r="AZ11" s="1"/>
      <c r="BA11" s="41"/>
      <c r="BB11" s="8"/>
      <c r="BC11" s="8"/>
      <c r="BD11" s="8"/>
      <c r="BE11" s="8"/>
      <c r="BF11" s="7"/>
      <c r="BG11" s="47"/>
      <c r="BH11" s="47"/>
      <c r="BI11" s="47"/>
      <c r="BJ11" s="7"/>
      <c r="BK11" s="7"/>
      <c r="BL11" s="7"/>
      <c r="BM11" s="40"/>
      <c r="BO11">
        <f t="shared" ref="BO11:BO52" si="7">+BO10+1</f>
        <v>3</v>
      </c>
    </row>
    <row r="12" spans="2:68" x14ac:dyDescent="0.3">
      <c r="B12" s="2">
        <f t="shared" si="3"/>
        <v>43913</v>
      </c>
      <c r="D12" s="24">
        <v>10168</v>
      </c>
      <c r="E12" s="23"/>
      <c r="F12" s="23"/>
      <c r="G12" s="23"/>
      <c r="H12" s="23">
        <f t="shared" si="0"/>
        <v>43767</v>
      </c>
      <c r="I12" s="23"/>
      <c r="J12" s="64">
        <f t="shared" si="4"/>
        <v>0.30262805440638113</v>
      </c>
      <c r="K12" s="98"/>
      <c r="L12" s="68"/>
      <c r="M12" s="1"/>
      <c r="N12" s="58">
        <f>140+1</f>
        <v>141</v>
      </c>
      <c r="O12" s="57"/>
      <c r="P12" s="57"/>
      <c r="Q12" s="57"/>
      <c r="R12" s="57">
        <f t="shared" si="1"/>
        <v>555</v>
      </c>
      <c r="S12" s="57"/>
      <c r="T12" s="73">
        <f t="shared" si="5"/>
        <v>1.2680786894235383E-2</v>
      </c>
      <c r="U12" s="73"/>
      <c r="V12" s="83"/>
      <c r="W12" s="1"/>
      <c r="X12" s="31">
        <f t="shared" si="2"/>
        <v>117</v>
      </c>
      <c r="Y12" s="32"/>
      <c r="Z12" s="32"/>
      <c r="AA12" s="32"/>
      <c r="AB12" s="32">
        <v>295</v>
      </c>
      <c r="AC12" s="32"/>
      <c r="AD12" s="33">
        <f t="shared" si="6"/>
        <v>0.65730337078651691</v>
      </c>
      <c r="AE12" s="33"/>
      <c r="AF12" s="33"/>
      <c r="AG12" s="32"/>
      <c r="AH12" s="34">
        <f t="shared" ref="AH12:AH16" si="8">+AB12/H12</f>
        <v>6.740238078917906E-3</v>
      </c>
      <c r="AI12" s="1"/>
      <c r="AJ12" s="104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11"/>
      <c r="AW12" s="105"/>
      <c r="AX12" s="105"/>
      <c r="AY12" s="105"/>
      <c r="AZ12" s="1"/>
      <c r="BA12" s="41"/>
      <c r="BB12" s="8"/>
      <c r="BC12" s="8"/>
      <c r="BD12" s="8"/>
      <c r="BE12" s="8"/>
      <c r="BF12" s="7"/>
      <c r="BG12" s="47"/>
      <c r="BH12" s="47"/>
      <c r="BI12" s="47"/>
      <c r="BJ12" s="7"/>
      <c r="BK12" s="7"/>
      <c r="BL12" s="7"/>
      <c r="BM12" s="40"/>
      <c r="BO12">
        <f t="shared" si="7"/>
        <v>4</v>
      </c>
    </row>
    <row r="13" spans="2:68" x14ac:dyDescent="0.3">
      <c r="B13" s="2">
        <f t="shared" si="3"/>
        <v>43914</v>
      </c>
      <c r="D13" s="24">
        <v>11089</v>
      </c>
      <c r="E13" s="23"/>
      <c r="F13" s="23"/>
      <c r="G13" s="23"/>
      <c r="H13" s="23">
        <f t="shared" si="0"/>
        <v>54856</v>
      </c>
      <c r="I13" s="23"/>
      <c r="J13" s="64">
        <f t="shared" si="4"/>
        <v>0.25336440697329038</v>
      </c>
      <c r="K13" s="98"/>
      <c r="L13" s="68"/>
      <c r="M13" s="1"/>
      <c r="N13" s="58">
        <v>225</v>
      </c>
      <c r="O13" s="57"/>
      <c r="P13" s="57"/>
      <c r="Q13" s="57"/>
      <c r="R13" s="57">
        <f t="shared" si="1"/>
        <v>780</v>
      </c>
      <c r="S13" s="57"/>
      <c r="T13" s="73">
        <f t="shared" si="5"/>
        <v>1.4219046230129795E-2</v>
      </c>
      <c r="U13" s="73"/>
      <c r="V13" s="83"/>
      <c r="W13" s="1"/>
      <c r="X13" s="31">
        <f t="shared" si="2"/>
        <v>83</v>
      </c>
      <c r="Y13" s="32"/>
      <c r="Z13" s="32"/>
      <c r="AA13" s="32"/>
      <c r="AB13" s="32">
        <v>378</v>
      </c>
      <c r="AC13" s="32"/>
      <c r="AD13" s="33">
        <f t="shared" si="6"/>
        <v>0.28135593220338984</v>
      </c>
      <c r="AE13" s="33"/>
      <c r="AF13" s="33"/>
      <c r="AG13" s="32"/>
      <c r="AH13" s="34">
        <f t="shared" si="8"/>
        <v>6.8907685576782849E-3</v>
      </c>
      <c r="AI13" s="1"/>
      <c r="AJ13" s="104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11"/>
      <c r="AW13" s="105"/>
      <c r="AX13" s="105"/>
      <c r="AY13" s="105"/>
      <c r="AZ13" s="1"/>
      <c r="BA13" s="41"/>
      <c r="BB13" s="8"/>
      <c r="BC13" s="8"/>
      <c r="BD13" s="8"/>
      <c r="BE13" s="8"/>
      <c r="BF13" s="7"/>
      <c r="BG13" s="47"/>
      <c r="BH13" s="47"/>
      <c r="BI13" s="47"/>
      <c r="BJ13" s="7"/>
      <c r="BK13" s="7"/>
      <c r="BL13" s="7"/>
      <c r="BM13" s="40"/>
      <c r="BO13">
        <f t="shared" si="7"/>
        <v>5</v>
      </c>
      <c r="BP13" s="91"/>
    </row>
    <row r="14" spans="2:68" x14ac:dyDescent="0.3">
      <c r="B14" s="2">
        <f t="shared" si="3"/>
        <v>43915</v>
      </c>
      <c r="D14" s="24">
        <v>13355</v>
      </c>
      <c r="E14" s="23"/>
      <c r="F14" s="23"/>
      <c r="G14" s="23"/>
      <c r="H14" s="23">
        <f t="shared" si="0"/>
        <v>68211</v>
      </c>
      <c r="I14" s="23"/>
      <c r="J14" s="64">
        <f t="shared" si="4"/>
        <v>0.24345559282485052</v>
      </c>
      <c r="K14" s="98"/>
      <c r="L14" s="68"/>
      <c r="M14" s="1"/>
      <c r="N14" s="58">
        <v>247</v>
      </c>
      <c r="O14" s="57"/>
      <c r="P14" s="57"/>
      <c r="Q14" s="57"/>
      <c r="R14" s="57">
        <f t="shared" si="1"/>
        <v>1027</v>
      </c>
      <c r="S14" s="57"/>
      <c r="T14" s="73">
        <f t="shared" si="5"/>
        <v>1.5056222603392415E-2</v>
      </c>
      <c r="U14" s="73"/>
      <c r="V14" s="83"/>
      <c r="W14" s="1"/>
      <c r="X14" s="31">
        <f t="shared" si="2"/>
        <v>16</v>
      </c>
      <c r="Y14" s="32"/>
      <c r="Z14" s="32"/>
      <c r="AA14" s="32"/>
      <c r="AB14" s="32">
        <v>394</v>
      </c>
      <c r="AC14" s="32"/>
      <c r="AD14" s="33">
        <f t="shared" si="6"/>
        <v>4.2328042328042326E-2</v>
      </c>
      <c r="AE14" s="33"/>
      <c r="AF14" s="33"/>
      <c r="AG14" s="32"/>
      <c r="AH14" s="34">
        <f t="shared" si="8"/>
        <v>5.7761944554397381E-3</v>
      </c>
      <c r="AI14" s="1"/>
      <c r="AJ14" s="104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11"/>
      <c r="AW14" s="105"/>
      <c r="AX14" s="105"/>
      <c r="AY14" s="105"/>
      <c r="AZ14" s="1"/>
      <c r="BA14" s="41"/>
      <c r="BB14" s="8"/>
      <c r="BC14" s="8"/>
      <c r="BD14" s="8"/>
      <c r="BE14" s="8"/>
      <c r="BF14" s="7"/>
      <c r="BG14" s="47"/>
      <c r="BH14" s="47"/>
      <c r="BI14" s="47"/>
      <c r="BJ14" s="7"/>
      <c r="BK14" s="7"/>
      <c r="BL14" s="7"/>
      <c r="BM14" s="40"/>
      <c r="BO14">
        <f t="shared" si="7"/>
        <v>6</v>
      </c>
      <c r="BP14" s="91"/>
    </row>
    <row r="15" spans="2:68" x14ac:dyDescent="0.3">
      <c r="B15" s="2">
        <f t="shared" si="3"/>
        <v>43916</v>
      </c>
      <c r="D15" s="24">
        <v>17224</v>
      </c>
      <c r="E15" s="23"/>
      <c r="F15" s="23"/>
      <c r="G15" s="23"/>
      <c r="H15" s="23">
        <f t="shared" si="0"/>
        <v>85435</v>
      </c>
      <c r="I15" s="23"/>
      <c r="J15" s="64">
        <f t="shared" si="4"/>
        <v>0.25251059213323362</v>
      </c>
      <c r="K15" s="98"/>
      <c r="L15" s="68"/>
      <c r="M15" s="1"/>
      <c r="N15" s="58">
        <v>268</v>
      </c>
      <c r="O15" s="57"/>
      <c r="P15" s="57"/>
      <c r="Q15" s="57"/>
      <c r="R15" s="57">
        <f t="shared" si="1"/>
        <v>1295</v>
      </c>
      <c r="S15" s="57"/>
      <c r="T15" s="73">
        <f t="shared" si="5"/>
        <v>1.5157722244981565E-2</v>
      </c>
      <c r="U15" s="73"/>
      <c r="V15" s="83"/>
      <c r="W15" s="1"/>
      <c r="X15" s="31">
        <f t="shared" si="2"/>
        <v>1474</v>
      </c>
      <c r="Y15" s="32"/>
      <c r="Z15" s="32"/>
      <c r="AA15" s="32"/>
      <c r="AB15" s="32">
        <v>1868</v>
      </c>
      <c r="AC15" s="32"/>
      <c r="AD15" s="33">
        <f t="shared" si="6"/>
        <v>3.7411167512690353</v>
      </c>
      <c r="AE15" s="33"/>
      <c r="AF15" s="33"/>
      <c r="AG15" s="32"/>
      <c r="AH15" s="34">
        <f t="shared" si="8"/>
        <v>2.1864575408205068E-2</v>
      </c>
      <c r="AI15" s="1"/>
      <c r="AJ15" s="104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11"/>
      <c r="AW15" s="105"/>
      <c r="AX15" s="105"/>
      <c r="AY15" s="105"/>
      <c r="AZ15" s="1"/>
      <c r="BA15" s="41"/>
      <c r="BB15" s="8"/>
      <c r="BC15" s="8"/>
      <c r="BD15" s="8"/>
      <c r="BE15" s="8"/>
      <c r="BF15" s="7"/>
      <c r="BG15" s="47"/>
      <c r="BH15" s="47"/>
      <c r="BI15" s="47"/>
      <c r="BJ15" s="7"/>
      <c r="BK15" s="7"/>
      <c r="BL15" s="7"/>
      <c r="BM15" s="40"/>
      <c r="BO15">
        <f t="shared" si="7"/>
        <v>7</v>
      </c>
      <c r="BP15" s="91"/>
    </row>
    <row r="16" spans="2:68" x14ac:dyDescent="0.3">
      <c r="B16" s="2">
        <f t="shared" si="3"/>
        <v>43917</v>
      </c>
      <c r="D16" s="24">
        <v>18691</v>
      </c>
      <c r="E16" s="23"/>
      <c r="F16" s="23"/>
      <c r="G16" s="23"/>
      <c r="H16" s="23">
        <f t="shared" ref="H16:H21" si="9">+H15+D16</f>
        <v>104126</v>
      </c>
      <c r="I16" s="23"/>
      <c r="J16" s="64">
        <f t="shared" si="4"/>
        <v>0.21877450693509687</v>
      </c>
      <c r="K16" s="98"/>
      <c r="L16" s="68"/>
      <c r="M16" s="1"/>
      <c r="N16" s="58">
        <f>401-1</f>
        <v>400</v>
      </c>
      <c r="O16" s="57"/>
      <c r="P16" s="57"/>
      <c r="Q16" s="57"/>
      <c r="R16" s="57">
        <f t="shared" ref="R16" si="10">+R15+N16</f>
        <v>1695</v>
      </c>
      <c r="S16" s="57"/>
      <c r="T16" s="73">
        <f t="shared" si="5"/>
        <v>1.6278355069819256E-2</v>
      </c>
      <c r="U16" s="73"/>
      <c r="V16" s="83"/>
      <c r="W16" s="1"/>
      <c r="X16" s="31">
        <f t="shared" si="2"/>
        <v>654</v>
      </c>
      <c r="Y16" s="32"/>
      <c r="Z16" s="32"/>
      <c r="AA16" s="32"/>
      <c r="AB16" s="32">
        <v>2522</v>
      </c>
      <c r="AC16" s="32"/>
      <c r="AD16" s="33">
        <f t="shared" si="6"/>
        <v>0.3501070663811563</v>
      </c>
      <c r="AE16" s="33"/>
      <c r="AF16" s="33"/>
      <c r="AG16" s="32"/>
      <c r="AH16" s="34">
        <f t="shared" si="8"/>
        <v>2.4220655744002458E-2</v>
      </c>
      <c r="AI16" s="1"/>
      <c r="AJ16" s="104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11"/>
      <c r="AW16" s="105"/>
      <c r="AX16" s="105"/>
      <c r="AY16" s="105"/>
      <c r="AZ16" s="1"/>
      <c r="BA16" s="41">
        <v>44870</v>
      </c>
      <c r="BB16" s="8"/>
      <c r="BC16" s="8">
        <v>8825</v>
      </c>
      <c r="BD16" s="8"/>
      <c r="BE16" s="8">
        <f t="shared" ref="BE16:BE22" si="11">SUM(BA16:BC16)</f>
        <v>53695</v>
      </c>
      <c r="BF16" s="7"/>
      <c r="BG16" s="48">
        <f t="shared" ref="BG16:BG27" si="12">+BE16/H16</f>
        <v>0.51567331886368439</v>
      </c>
      <c r="BH16" s="48"/>
      <c r="BI16" s="48"/>
      <c r="BJ16" s="70"/>
      <c r="BK16" s="7"/>
      <c r="BL16" s="7"/>
      <c r="BM16" s="42"/>
      <c r="BO16">
        <f t="shared" si="7"/>
        <v>8</v>
      </c>
      <c r="BP16" s="91"/>
    </row>
    <row r="17" spans="2:68" x14ac:dyDescent="0.3">
      <c r="B17" s="2">
        <f t="shared" si="3"/>
        <v>43918</v>
      </c>
      <c r="D17" s="24">
        <v>19452</v>
      </c>
      <c r="E17" s="23"/>
      <c r="F17" s="23"/>
      <c r="G17" s="23"/>
      <c r="H17" s="23">
        <f t="shared" si="9"/>
        <v>123578</v>
      </c>
      <c r="I17" s="23"/>
      <c r="J17" s="64">
        <f t="shared" ref="J17" si="13">+D17/H16</f>
        <v>0.18681213145612047</v>
      </c>
      <c r="K17" s="98"/>
      <c r="L17" s="68"/>
      <c r="M17" s="1"/>
      <c r="N17" s="58">
        <v>525</v>
      </c>
      <c r="O17" s="57"/>
      <c r="P17" s="57"/>
      <c r="Q17" s="57"/>
      <c r="R17" s="57">
        <f t="shared" ref="R17" si="14">+R16+N17</f>
        <v>2220</v>
      </c>
      <c r="S17" s="57"/>
      <c r="T17" s="73">
        <f t="shared" ref="T17" si="15">+R17/H17</f>
        <v>1.7964362588810307E-2</v>
      </c>
      <c r="U17" s="73"/>
      <c r="V17" s="83"/>
      <c r="W17" s="1"/>
      <c r="X17" s="31">
        <f t="shared" ref="X17" si="16">+AB17-AB16</f>
        <v>709</v>
      </c>
      <c r="Y17" s="32"/>
      <c r="Z17" s="32"/>
      <c r="AA17" s="32"/>
      <c r="AB17" s="32">
        <v>3231</v>
      </c>
      <c r="AC17" s="32"/>
      <c r="AD17" s="33">
        <f t="shared" ref="AD17" si="17">+X17/AB16</f>
        <v>0.28112609040444092</v>
      </c>
      <c r="AE17" s="33"/>
      <c r="AF17" s="33"/>
      <c r="AG17" s="32"/>
      <c r="AH17" s="34">
        <f t="shared" ref="AH17" si="18">+AB17/H17</f>
        <v>2.6145430416417162E-2</v>
      </c>
      <c r="AI17" s="1"/>
      <c r="AJ17" s="104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11"/>
      <c r="AW17" s="105"/>
      <c r="AX17" s="105"/>
      <c r="AY17" s="105"/>
      <c r="AZ17" s="1"/>
      <c r="BA17" s="41">
        <v>52318</v>
      </c>
      <c r="BB17" s="8"/>
      <c r="BC17" s="8">
        <v>11124</v>
      </c>
      <c r="BD17" s="8"/>
      <c r="BE17" s="8">
        <f t="shared" si="11"/>
        <v>63442</v>
      </c>
      <c r="BF17" s="7"/>
      <c r="BG17" s="48">
        <f t="shared" si="12"/>
        <v>0.51337616727896551</v>
      </c>
      <c r="BH17" s="48"/>
      <c r="BI17" s="48"/>
      <c r="BJ17" s="70"/>
      <c r="BK17" s="8">
        <f>728+140</f>
        <v>868</v>
      </c>
      <c r="BL17" s="7"/>
      <c r="BM17" s="42">
        <f t="shared" ref="BM17:BM33" si="19">+BK17/R17</f>
        <v>0.39099099099099099</v>
      </c>
      <c r="BO17">
        <f t="shared" si="7"/>
        <v>9</v>
      </c>
      <c r="BP17" s="91"/>
    </row>
    <row r="18" spans="2:68" x14ac:dyDescent="0.3">
      <c r="B18" s="62">
        <f t="shared" si="3"/>
        <v>43919</v>
      </c>
      <c r="D18" s="24">
        <v>19913</v>
      </c>
      <c r="E18" s="23"/>
      <c r="F18" s="23"/>
      <c r="G18" s="23"/>
      <c r="H18" s="23">
        <f t="shared" si="9"/>
        <v>143491</v>
      </c>
      <c r="I18" s="23"/>
      <c r="J18" s="64">
        <f t="shared" ref="J18" si="20">+D18/H17</f>
        <v>0.16113709559954037</v>
      </c>
      <c r="K18" s="98"/>
      <c r="L18" s="68"/>
      <c r="M18" s="1"/>
      <c r="N18" s="58">
        <v>363</v>
      </c>
      <c r="O18" s="57"/>
      <c r="P18" s="57"/>
      <c r="Q18" s="57"/>
      <c r="R18" s="57">
        <f t="shared" ref="R18" si="21">+R17+N18</f>
        <v>2583</v>
      </c>
      <c r="S18" s="57"/>
      <c r="T18" s="73">
        <f t="shared" ref="T18" si="22">+R18/H18</f>
        <v>1.8001128990668403E-2</v>
      </c>
      <c r="U18" s="73"/>
      <c r="V18" s="83"/>
      <c r="W18" s="1"/>
      <c r="X18" s="31">
        <f t="shared" ref="X18" si="23">+AB18-AB17</f>
        <v>1328</v>
      </c>
      <c r="Y18" s="32"/>
      <c r="Z18" s="32"/>
      <c r="AA18" s="32"/>
      <c r="AB18" s="32">
        <v>4559</v>
      </c>
      <c r="AC18" s="32"/>
      <c r="AD18" s="33">
        <f t="shared" ref="AD18:AD23" si="24">+X18/AB17</f>
        <v>0.41101826060043328</v>
      </c>
      <c r="AE18" s="33"/>
      <c r="AF18" s="33"/>
      <c r="AG18" s="32"/>
      <c r="AH18" s="34">
        <f t="shared" ref="AH18" si="25">+AB18/H18</f>
        <v>3.1772027513920734E-2</v>
      </c>
      <c r="AI18" s="1"/>
      <c r="AJ18" s="104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11"/>
      <c r="AW18" s="105"/>
      <c r="AX18" s="105"/>
      <c r="AY18" s="105"/>
      <c r="AZ18" s="1"/>
      <c r="BA18" s="41">
        <v>59513</v>
      </c>
      <c r="BB18" s="8"/>
      <c r="BC18" s="8">
        <v>13386</v>
      </c>
      <c r="BD18" s="8"/>
      <c r="BE18" s="8">
        <f t="shared" si="11"/>
        <v>72899</v>
      </c>
      <c r="BF18" s="7"/>
      <c r="BG18" s="48">
        <f t="shared" si="12"/>
        <v>0.50803883170373054</v>
      </c>
      <c r="BH18" s="48"/>
      <c r="BI18" s="48"/>
      <c r="BJ18" s="70"/>
      <c r="BK18" s="8">
        <f>965+161</f>
        <v>1126</v>
      </c>
      <c r="BL18" s="7"/>
      <c r="BM18" s="42">
        <f t="shared" si="19"/>
        <v>0.4359272164150213</v>
      </c>
      <c r="BO18">
        <f t="shared" si="7"/>
        <v>10</v>
      </c>
      <c r="BP18" s="91"/>
    </row>
    <row r="19" spans="2:68" x14ac:dyDescent="0.3">
      <c r="B19" s="62">
        <f t="shared" si="3"/>
        <v>43920</v>
      </c>
      <c r="D19" s="24">
        <v>20353</v>
      </c>
      <c r="E19" s="23"/>
      <c r="F19" s="23"/>
      <c r="G19" s="23"/>
      <c r="H19" s="23">
        <f t="shared" si="9"/>
        <v>163844</v>
      </c>
      <c r="I19" s="23"/>
      <c r="J19" s="64">
        <f t="shared" ref="J19" si="26">+D19/H18</f>
        <v>0.14184164860513901</v>
      </c>
      <c r="K19" s="98"/>
      <c r="L19" s="68"/>
      <c r="M19" s="1"/>
      <c r="N19" s="58">
        <f>573-15</f>
        <v>558</v>
      </c>
      <c r="O19" s="57"/>
      <c r="P19" s="57"/>
      <c r="Q19" s="57"/>
      <c r="R19" s="57">
        <f t="shared" ref="R19" si="27">+R18+N19</f>
        <v>3141</v>
      </c>
      <c r="S19" s="57"/>
      <c r="T19" s="73">
        <f t="shared" ref="T19" si="28">+R19/H19</f>
        <v>1.9170674544078514E-2</v>
      </c>
      <c r="U19" s="73"/>
      <c r="V19" s="83"/>
      <c r="W19" s="1"/>
      <c r="X19" s="31">
        <f t="shared" ref="X19" si="29">+AB19-AB18</f>
        <v>947</v>
      </c>
      <c r="Y19" s="32"/>
      <c r="Z19" s="32"/>
      <c r="AA19" s="32"/>
      <c r="AB19" s="32">
        <v>5506</v>
      </c>
      <c r="AC19" s="32"/>
      <c r="AD19" s="33">
        <f t="shared" si="24"/>
        <v>0.20772099144549244</v>
      </c>
      <c r="AE19" s="33"/>
      <c r="AF19" s="33"/>
      <c r="AG19" s="32"/>
      <c r="AH19" s="34">
        <f t="shared" ref="AH19" si="30">+AB19/H19</f>
        <v>3.3605136593344888E-2</v>
      </c>
      <c r="AI19" s="1"/>
      <c r="AJ19" s="104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11"/>
      <c r="AW19" s="105"/>
      <c r="AX19" s="105"/>
      <c r="AY19" s="105"/>
      <c r="AZ19" s="1"/>
      <c r="BA19" s="41">
        <v>66467</v>
      </c>
      <c r="BB19" s="8"/>
      <c r="BC19" s="8">
        <v>16636</v>
      </c>
      <c r="BD19" s="8"/>
      <c r="BE19" s="8">
        <f t="shared" si="11"/>
        <v>83103</v>
      </c>
      <c r="BF19" s="7"/>
      <c r="BG19" s="48">
        <f t="shared" si="12"/>
        <v>0.50720807597470763</v>
      </c>
      <c r="BH19" s="48"/>
      <c r="BI19" s="48"/>
      <c r="BJ19" s="70"/>
      <c r="BK19" s="8">
        <f>1218+198</f>
        <v>1416</v>
      </c>
      <c r="BL19" s="7"/>
      <c r="BM19" s="42">
        <f t="shared" si="19"/>
        <v>0.45081184336198665</v>
      </c>
      <c r="BO19">
        <f t="shared" si="7"/>
        <v>11</v>
      </c>
      <c r="BP19" s="91"/>
    </row>
    <row r="20" spans="2:68" x14ac:dyDescent="0.3">
      <c r="B20" s="62">
        <f t="shared" si="3"/>
        <v>43921</v>
      </c>
      <c r="D20" s="24">
        <v>24742</v>
      </c>
      <c r="E20" s="23"/>
      <c r="F20" s="23"/>
      <c r="G20" s="23"/>
      <c r="H20" s="23">
        <f t="shared" si="9"/>
        <v>188586</v>
      </c>
      <c r="I20" s="23"/>
      <c r="J20" s="64">
        <f t="shared" ref="J20" si="31">+D20/H19</f>
        <v>0.1510094968384561</v>
      </c>
      <c r="K20" s="98"/>
      <c r="L20" s="68"/>
      <c r="M20" s="1"/>
      <c r="N20" s="58">
        <f>748+164</f>
        <v>912</v>
      </c>
      <c r="O20" s="57"/>
      <c r="P20" s="57"/>
      <c r="Q20" s="57"/>
      <c r="R20" s="57">
        <f t="shared" ref="R20" si="32">+R19+N20</f>
        <v>4053</v>
      </c>
      <c r="S20" s="57"/>
      <c r="T20" s="73">
        <f t="shared" ref="T20" si="33">+R20/H20</f>
        <v>2.1491521109732431E-2</v>
      </c>
      <c r="U20" s="74"/>
      <c r="V20" s="84"/>
      <c r="W20" s="1"/>
      <c r="X20" s="31">
        <f t="shared" ref="X20" si="34">+AB20-AB19</f>
        <v>1745</v>
      </c>
      <c r="Y20" s="32"/>
      <c r="Z20" s="32"/>
      <c r="AA20" s="32"/>
      <c r="AB20" s="32">
        <v>7251</v>
      </c>
      <c r="AC20" s="32"/>
      <c r="AD20" s="33">
        <f t="shared" si="24"/>
        <v>0.31692698873955683</v>
      </c>
      <c r="AE20" s="33"/>
      <c r="AF20" s="33"/>
      <c r="AG20" s="32"/>
      <c r="AH20" s="34">
        <f t="shared" ref="AH20" si="35">+AB20/H20</f>
        <v>3.8449301644872896E-2</v>
      </c>
      <c r="AI20" s="1"/>
      <c r="AJ20" s="104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11"/>
      <c r="AW20" s="105"/>
      <c r="AX20" s="105"/>
      <c r="AY20" s="105"/>
      <c r="AZ20" s="1"/>
      <c r="BA20" s="41">
        <v>75795</v>
      </c>
      <c r="BB20" s="8"/>
      <c r="BC20" s="8">
        <v>18696</v>
      </c>
      <c r="BD20" s="8"/>
      <c r="BE20" s="8">
        <f t="shared" si="11"/>
        <v>94491</v>
      </c>
      <c r="BF20" s="7"/>
      <c r="BG20" s="48">
        <f t="shared" si="12"/>
        <v>0.50104991886990546</v>
      </c>
      <c r="BH20" s="48"/>
      <c r="BI20" s="48"/>
      <c r="BJ20" s="7"/>
      <c r="BK20" s="8">
        <f>1550+267</f>
        <v>1817</v>
      </c>
      <c r="BL20" s="7"/>
      <c r="BM20" s="42">
        <f t="shared" si="19"/>
        <v>0.44830989390574882</v>
      </c>
      <c r="BO20">
        <f t="shared" si="7"/>
        <v>12</v>
      </c>
      <c r="BP20" s="91"/>
    </row>
    <row r="21" spans="2:68" x14ac:dyDescent="0.3">
      <c r="B21" s="62">
        <f t="shared" si="3"/>
        <v>43922</v>
      </c>
      <c r="D21" s="24">
        <v>26473</v>
      </c>
      <c r="E21" s="23"/>
      <c r="F21" s="23"/>
      <c r="G21" s="23"/>
      <c r="H21" s="23">
        <f t="shared" si="9"/>
        <v>215059</v>
      </c>
      <c r="I21" s="23"/>
      <c r="J21" s="64">
        <f t="shared" ref="J21" si="36">+D21/H20</f>
        <v>0.14037627395458835</v>
      </c>
      <c r="K21" s="98"/>
      <c r="L21" s="68"/>
      <c r="M21" s="1"/>
      <c r="N21" s="58">
        <f>1046+3</f>
        <v>1049</v>
      </c>
      <c r="O21" s="57"/>
      <c r="P21" s="57"/>
      <c r="Q21" s="57"/>
      <c r="R21" s="57">
        <f t="shared" ref="R21" si="37">+R20+N21</f>
        <v>5102</v>
      </c>
      <c r="S21" s="57"/>
      <c r="T21" s="73">
        <f t="shared" ref="T21" si="38">+R21/H21</f>
        <v>2.3723722327361328E-2</v>
      </c>
      <c r="U21" s="74"/>
      <c r="V21" s="84"/>
      <c r="W21" s="1"/>
      <c r="X21" s="31">
        <f t="shared" ref="X21" si="39">+AB21-AB20</f>
        <v>1627</v>
      </c>
      <c r="Y21" s="32"/>
      <c r="Z21" s="32"/>
      <c r="AA21" s="32"/>
      <c r="AB21" s="32">
        <v>8878</v>
      </c>
      <c r="AC21" s="32"/>
      <c r="AD21" s="33">
        <f t="shared" si="24"/>
        <v>0.22438284374569026</v>
      </c>
      <c r="AE21" s="33"/>
      <c r="AF21" s="33"/>
      <c r="AG21" s="32"/>
      <c r="AH21" s="34">
        <f t="shared" ref="AH21" si="40">+AB21/H21</f>
        <v>4.1281694790731849E-2</v>
      </c>
      <c r="AI21" s="1"/>
      <c r="AJ21" s="104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11"/>
      <c r="AW21" s="105"/>
      <c r="AX21" s="105"/>
      <c r="AY21" s="105"/>
      <c r="AZ21" s="1"/>
      <c r="BA21" s="41">
        <v>83712</v>
      </c>
      <c r="BB21" s="8"/>
      <c r="BC21" s="8">
        <v>22255</v>
      </c>
      <c r="BD21" s="8"/>
      <c r="BE21" s="8">
        <f t="shared" si="11"/>
        <v>105967</v>
      </c>
      <c r="BF21" s="7"/>
      <c r="BG21" s="48">
        <f t="shared" si="12"/>
        <v>0.49273455191366089</v>
      </c>
      <c r="BH21" s="48"/>
      <c r="BI21" s="48"/>
      <c r="BJ21" s="7"/>
      <c r="BK21" s="8">
        <f>1941+355</f>
        <v>2296</v>
      </c>
      <c r="BL21" s="7"/>
      <c r="BM21" s="42">
        <f t="shared" si="19"/>
        <v>0.45001960015680126</v>
      </c>
      <c r="BO21">
        <f t="shared" si="7"/>
        <v>13</v>
      </c>
    </row>
    <row r="22" spans="2:68" x14ac:dyDescent="0.3">
      <c r="B22" s="62">
        <f t="shared" si="3"/>
        <v>43923</v>
      </c>
      <c r="D22" s="24">
        <f>29874-56</f>
        <v>29818</v>
      </c>
      <c r="E22" s="23"/>
      <c r="F22" s="23"/>
      <c r="G22" s="23"/>
      <c r="H22" s="23">
        <f t="shared" ref="H22" si="41">+H21+D22</f>
        <v>244877</v>
      </c>
      <c r="I22" s="23"/>
      <c r="J22" s="64">
        <f t="shared" ref="J22" si="42">+D22/H21</f>
        <v>0.1386503238646139</v>
      </c>
      <c r="K22" s="98"/>
      <c r="L22" s="68"/>
      <c r="M22" s="1"/>
      <c r="N22" s="58">
        <f>968+6</f>
        <v>974</v>
      </c>
      <c r="O22" s="57"/>
      <c r="P22" s="57"/>
      <c r="Q22" s="57"/>
      <c r="R22" s="57">
        <f t="shared" ref="R22" si="43">+R21+N22</f>
        <v>6076</v>
      </c>
      <c r="S22" s="57"/>
      <c r="T22" s="73">
        <f t="shared" ref="T22" si="44">+R22/H22</f>
        <v>2.4812456866100122E-2</v>
      </c>
      <c r="U22" s="74"/>
      <c r="V22" s="84"/>
      <c r="W22" s="1"/>
      <c r="X22" s="31">
        <f t="shared" ref="X22" si="45">+AB22-AB21</f>
        <v>1525</v>
      </c>
      <c r="Y22" s="32"/>
      <c r="Z22" s="32"/>
      <c r="AA22" s="32"/>
      <c r="AB22" s="32">
        <v>10403</v>
      </c>
      <c r="AC22" s="32"/>
      <c r="AD22" s="33">
        <f t="shared" si="24"/>
        <v>0.17177292182924081</v>
      </c>
      <c r="AE22" s="33"/>
      <c r="AF22" s="33"/>
      <c r="AG22" s="32"/>
      <c r="AH22" s="34">
        <f t="shared" ref="AH22" si="46">+AB22/H22</f>
        <v>4.2482552465115141E-2</v>
      </c>
      <c r="AI22" s="1"/>
      <c r="AJ22" s="104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11"/>
      <c r="AW22" s="105"/>
      <c r="AX22" s="105"/>
      <c r="AY22" s="105"/>
      <c r="AZ22" s="1"/>
      <c r="BA22" s="41">
        <v>92506</v>
      </c>
      <c r="BB22" s="8"/>
      <c r="BC22" s="8">
        <v>25590</v>
      </c>
      <c r="BD22" s="8"/>
      <c r="BE22" s="8">
        <f t="shared" si="11"/>
        <v>118096</v>
      </c>
      <c r="BF22" s="7"/>
      <c r="BG22" s="48">
        <f t="shared" si="12"/>
        <v>0.48226660731714288</v>
      </c>
      <c r="BH22" s="48"/>
      <c r="BI22" s="48"/>
      <c r="BJ22" s="7"/>
      <c r="BK22" s="8">
        <f>2373+537</f>
        <v>2910</v>
      </c>
      <c r="BL22" s="7"/>
      <c r="BM22" s="42">
        <f t="shared" si="19"/>
        <v>0.47893350888742592</v>
      </c>
      <c r="BO22">
        <f t="shared" si="7"/>
        <v>14</v>
      </c>
    </row>
    <row r="23" spans="2:68" x14ac:dyDescent="0.3">
      <c r="B23" s="62">
        <f t="shared" si="3"/>
        <v>43924</v>
      </c>
      <c r="D23" s="24">
        <v>32284</v>
      </c>
      <c r="E23" s="23"/>
      <c r="F23" s="23"/>
      <c r="G23" s="23"/>
      <c r="H23" s="23">
        <f>+H22+D23+2310</f>
        <v>279471</v>
      </c>
      <c r="I23" s="218" t="s">
        <v>51</v>
      </c>
      <c r="J23" s="64">
        <f t="shared" ref="J23" si="47">+D23/H22</f>
        <v>0.13183761643600664</v>
      </c>
      <c r="K23" s="98"/>
      <c r="L23" s="68"/>
      <c r="M23" s="1"/>
      <c r="N23" s="58">
        <f>7121-6076</f>
        <v>1045</v>
      </c>
      <c r="O23" s="57"/>
      <c r="P23" s="57"/>
      <c r="Q23" s="57"/>
      <c r="R23" s="57">
        <f>+R22+N23+21</f>
        <v>7142</v>
      </c>
      <c r="S23" s="217" t="s">
        <v>51</v>
      </c>
      <c r="T23" s="73">
        <f t="shared" ref="T23" si="48">+R23/H23</f>
        <v>2.5555424355299835E-2</v>
      </c>
      <c r="U23" s="74"/>
      <c r="V23" s="84"/>
      <c r="W23" s="1"/>
      <c r="X23" s="31">
        <f t="shared" ref="X23" si="49">+AB23-AB22</f>
        <v>1835</v>
      </c>
      <c r="Y23" s="32"/>
      <c r="Z23" s="32"/>
      <c r="AA23" s="32"/>
      <c r="AB23" s="32">
        <v>12238</v>
      </c>
      <c r="AC23" s="32"/>
      <c r="AD23" s="33">
        <f t="shared" si="24"/>
        <v>0.17639142555032203</v>
      </c>
      <c r="AE23" s="33"/>
      <c r="AF23" s="33"/>
      <c r="AG23" s="32"/>
      <c r="AH23" s="34">
        <f t="shared" ref="AH23" si="50">+AB23/H23</f>
        <v>4.3789874441355278E-2</v>
      </c>
      <c r="AI23" s="1"/>
      <c r="AJ23" s="104">
        <v>698344</v>
      </c>
      <c r="AK23" s="105"/>
      <c r="AL23" s="105">
        <f>+AJ23</f>
        <v>698344</v>
      </c>
      <c r="AM23" s="105"/>
      <c r="AN23" s="105">
        <f t="shared" ref="AN23:AN30" si="51">+D23</f>
        <v>32284</v>
      </c>
      <c r="AO23" s="105"/>
      <c r="AP23" s="105"/>
      <c r="AQ23" s="105"/>
      <c r="AR23" s="105"/>
      <c r="AS23" s="105"/>
      <c r="AT23" s="105">
        <f>+AN23</f>
        <v>32284</v>
      </c>
      <c r="AU23" s="105"/>
      <c r="AV23" s="116">
        <f t="shared" ref="AV23:AV30" si="52">+AT23/AL23</f>
        <v>4.6229365470312624E-2</v>
      </c>
      <c r="AW23" s="105"/>
      <c r="AX23" s="105"/>
      <c r="AY23" s="105"/>
      <c r="AZ23" s="1"/>
      <c r="BA23" s="41">
        <v>103060</v>
      </c>
      <c r="BB23" s="8"/>
      <c r="BC23" s="8">
        <v>29895</v>
      </c>
      <c r="BD23" s="8"/>
      <c r="BE23" s="8">
        <f t="shared" ref="BE23" si="53">SUM(BA23:BC23)</f>
        <v>132955</v>
      </c>
      <c r="BF23" s="7"/>
      <c r="BG23" s="48">
        <f t="shared" si="12"/>
        <v>0.47573809089315172</v>
      </c>
      <c r="BH23" s="48"/>
      <c r="BI23" s="48"/>
      <c r="BJ23" s="7"/>
      <c r="BK23" s="8">
        <f>2935+646</f>
        <v>3581</v>
      </c>
      <c r="BL23" s="7"/>
      <c r="BM23" s="42">
        <f t="shared" si="19"/>
        <v>0.50140016802016241</v>
      </c>
      <c r="BO23">
        <f t="shared" si="7"/>
        <v>15</v>
      </c>
    </row>
    <row r="24" spans="2:68" x14ac:dyDescent="0.3">
      <c r="B24" s="62">
        <f t="shared" si="3"/>
        <v>43925</v>
      </c>
      <c r="D24" s="24">
        <v>34196</v>
      </c>
      <c r="E24" s="23"/>
      <c r="F24" s="23"/>
      <c r="G24" s="23"/>
      <c r="H24" s="23">
        <f t="shared" ref="H24" si="54">+H23+D24</f>
        <v>313667</v>
      </c>
      <c r="I24" s="23"/>
      <c r="J24" s="64">
        <f t="shared" ref="J24" si="55">+D24/H23</f>
        <v>0.12235974394481001</v>
      </c>
      <c r="K24" s="23"/>
      <c r="L24" s="67"/>
      <c r="M24" s="1"/>
      <c r="N24" s="58">
        <f>1331-1</f>
        <v>1330</v>
      </c>
      <c r="O24" s="57"/>
      <c r="P24" s="57"/>
      <c r="Q24" s="57"/>
      <c r="R24" s="57">
        <f t="shared" ref="R24" si="56">+R23+N24</f>
        <v>8472</v>
      </c>
      <c r="S24" s="57"/>
      <c r="T24" s="73">
        <f t="shared" ref="T24" si="57">+R24/H24</f>
        <v>2.7009535590291615E-2</v>
      </c>
      <c r="U24" s="74"/>
      <c r="V24" s="84"/>
      <c r="W24" s="1"/>
      <c r="X24" s="31">
        <f t="shared" ref="X24" si="58">+AB24-AB23</f>
        <v>2587</v>
      </c>
      <c r="Y24" s="32"/>
      <c r="Z24" s="32"/>
      <c r="AA24" s="32"/>
      <c r="AB24" s="32">
        <v>14825</v>
      </c>
      <c r="AC24" s="32"/>
      <c r="AD24" s="33">
        <f t="shared" ref="AD24" si="59">+X24/AB23</f>
        <v>0.21139075012256905</v>
      </c>
      <c r="AE24" s="33"/>
      <c r="AF24" s="33"/>
      <c r="AG24" s="32"/>
      <c r="AH24" s="34">
        <f t="shared" ref="AH24" si="60">+AB24/H24</f>
        <v>4.726349918862998E-2</v>
      </c>
      <c r="AI24" s="1"/>
      <c r="AJ24" s="104">
        <v>934611</v>
      </c>
      <c r="AK24" s="105"/>
      <c r="AL24" s="105">
        <f>+AL23+AJ24</f>
        <v>1632955</v>
      </c>
      <c r="AM24" s="105"/>
      <c r="AN24" s="105">
        <f t="shared" si="51"/>
        <v>34196</v>
      </c>
      <c r="AO24" s="105"/>
      <c r="AP24" s="105"/>
      <c r="AQ24" s="105"/>
      <c r="AR24" s="105"/>
      <c r="AS24" s="105"/>
      <c r="AT24" s="105">
        <f t="shared" ref="AT24:AT30" si="61">+AT23+AN24</f>
        <v>66480</v>
      </c>
      <c r="AU24" s="105"/>
      <c r="AV24" s="116">
        <f t="shared" si="52"/>
        <v>4.0711470922346296E-2</v>
      </c>
      <c r="AW24" s="105"/>
      <c r="AX24" s="133"/>
      <c r="AY24" s="105"/>
      <c r="AZ24" s="1"/>
      <c r="BA24" s="41">
        <v>113833</v>
      </c>
      <c r="BB24" s="8"/>
      <c r="BC24" s="8">
        <v>34124</v>
      </c>
      <c r="BD24" s="8"/>
      <c r="BE24" s="8">
        <f t="shared" ref="BE24" si="62">SUM(BA24:BC24)</f>
        <v>147957</v>
      </c>
      <c r="BF24" s="7"/>
      <c r="BG24" s="48">
        <f t="shared" si="12"/>
        <v>0.47170088023285839</v>
      </c>
      <c r="BH24" s="48"/>
      <c r="BI24" s="48"/>
      <c r="BJ24" s="7"/>
      <c r="BK24" s="8">
        <f>3565+846</f>
        <v>4411</v>
      </c>
      <c r="BL24" s="7"/>
      <c r="BM24" s="42">
        <f t="shared" si="19"/>
        <v>0.52065627950897075</v>
      </c>
      <c r="BO24">
        <f t="shared" si="7"/>
        <v>16</v>
      </c>
    </row>
    <row r="25" spans="2:68" x14ac:dyDescent="0.3">
      <c r="B25" s="62">
        <f t="shared" si="3"/>
        <v>43926</v>
      </c>
      <c r="D25" s="24">
        <v>25316</v>
      </c>
      <c r="E25" s="23"/>
      <c r="F25" s="23"/>
      <c r="G25" s="23"/>
      <c r="H25" s="23">
        <f t="shared" ref="H25" si="63">+H24+D25</f>
        <v>338983</v>
      </c>
      <c r="I25" s="23"/>
      <c r="J25" s="64">
        <f t="shared" ref="J25" si="64">+D25/H24</f>
        <v>8.0709797332840241E-2</v>
      </c>
      <c r="K25" s="23"/>
      <c r="L25" s="67"/>
      <c r="M25" s="1"/>
      <c r="N25" s="58">
        <v>1165</v>
      </c>
      <c r="O25" s="57"/>
      <c r="P25" s="57"/>
      <c r="Q25" s="57"/>
      <c r="R25" s="57">
        <f t="shared" ref="R25" si="65">+R24+N25</f>
        <v>9637</v>
      </c>
      <c r="S25" s="57"/>
      <c r="T25" s="73">
        <f t="shared" ref="T25" si="66">+R25/H25</f>
        <v>2.842915426437314E-2</v>
      </c>
      <c r="U25" s="74"/>
      <c r="V25" s="84"/>
      <c r="W25" s="1"/>
      <c r="X25" s="31">
        <f t="shared" ref="X25" si="67">+AB25-AB24</f>
        <v>3152</v>
      </c>
      <c r="Y25" s="32"/>
      <c r="Z25" s="32"/>
      <c r="AA25" s="32"/>
      <c r="AB25" s="32">
        <v>17977</v>
      </c>
      <c r="AC25" s="32"/>
      <c r="AD25" s="33">
        <f t="shared" ref="AD25" si="68">+X25/AB24</f>
        <v>0.21261382799325465</v>
      </c>
      <c r="AE25" s="33"/>
      <c r="AF25" s="33"/>
      <c r="AG25" s="32"/>
      <c r="AH25" s="34">
        <f t="shared" ref="AH25" si="69">+AB25/H25</f>
        <v>5.3032157954823696E-2</v>
      </c>
      <c r="AI25" s="1"/>
      <c r="AJ25" s="104">
        <v>139414</v>
      </c>
      <c r="AK25" s="105"/>
      <c r="AL25" s="105">
        <f>+AL24+AJ25</f>
        <v>1772369</v>
      </c>
      <c r="AM25" s="105"/>
      <c r="AN25" s="105">
        <f t="shared" si="51"/>
        <v>25316</v>
      </c>
      <c r="AO25" s="105"/>
      <c r="AP25" s="105"/>
      <c r="AQ25" s="105"/>
      <c r="AR25" s="105"/>
      <c r="AS25" s="105"/>
      <c r="AT25" s="105">
        <f t="shared" si="61"/>
        <v>91796</v>
      </c>
      <c r="AU25" s="105"/>
      <c r="AV25" s="116">
        <f t="shared" si="52"/>
        <v>5.1792826437384087E-2</v>
      </c>
      <c r="AW25" s="105"/>
      <c r="AX25" s="133"/>
      <c r="AY25" s="105"/>
      <c r="AZ25" s="1"/>
      <c r="BA25" s="41">
        <v>123160</v>
      </c>
      <c r="BB25" s="8"/>
      <c r="BC25" s="8">
        <v>37505</v>
      </c>
      <c r="BD25" s="8"/>
      <c r="BE25" s="8">
        <f t="shared" ref="BE25:BE26" si="70">SUM(BA25:BC25)</f>
        <v>160665</v>
      </c>
      <c r="BF25" s="7"/>
      <c r="BG25" s="48">
        <f t="shared" si="12"/>
        <v>0.47396182109427315</v>
      </c>
      <c r="BH25" s="48"/>
      <c r="BI25" s="48"/>
      <c r="BJ25" s="7"/>
      <c r="BK25" s="8">
        <f>4150+914</f>
        <v>5064</v>
      </c>
      <c r="BL25" s="7"/>
      <c r="BM25" s="42">
        <f t="shared" si="19"/>
        <v>0.52547473280066415</v>
      </c>
      <c r="BO25">
        <f t="shared" si="7"/>
        <v>17</v>
      </c>
    </row>
    <row r="26" spans="2:68" x14ac:dyDescent="0.3">
      <c r="B26" s="62">
        <f t="shared" si="3"/>
        <v>43927</v>
      </c>
      <c r="D26" s="24">
        <v>31210</v>
      </c>
      <c r="E26" s="23"/>
      <c r="F26" s="23"/>
      <c r="G26" s="23"/>
      <c r="H26" s="23">
        <f t="shared" ref="H26" si="71">+H25+D26</f>
        <v>370193</v>
      </c>
      <c r="I26" s="23"/>
      <c r="J26" s="64">
        <f t="shared" ref="J26" si="72">+D26/H25</f>
        <v>9.2069513810427078E-2</v>
      </c>
      <c r="K26" s="23"/>
      <c r="L26" s="67"/>
      <c r="M26" s="1"/>
      <c r="N26" s="58">
        <v>1255</v>
      </c>
      <c r="O26" s="57"/>
      <c r="P26" s="57"/>
      <c r="Q26" s="57"/>
      <c r="R26" s="57">
        <f t="shared" ref="R26" si="73">+R25+N26</f>
        <v>10892</v>
      </c>
      <c r="S26" s="57"/>
      <c r="T26" s="73">
        <f t="shared" ref="T26" si="74">+R26/H26</f>
        <v>2.9422490430667247E-2</v>
      </c>
      <c r="U26" s="74"/>
      <c r="V26" s="84"/>
      <c r="W26" s="1"/>
      <c r="X26" s="31">
        <f t="shared" ref="X26" si="75">+AB26-AB25</f>
        <v>1694</v>
      </c>
      <c r="Y26" s="32"/>
      <c r="Z26" s="32"/>
      <c r="AA26" s="32"/>
      <c r="AB26" s="32">
        <v>19671</v>
      </c>
      <c r="AC26" s="32"/>
      <c r="AD26" s="33">
        <f t="shared" ref="AD26" si="76">+X26/AB25</f>
        <v>9.4231518050842747E-2</v>
      </c>
      <c r="AE26" s="33"/>
      <c r="AF26" s="33"/>
      <c r="AG26" s="32"/>
      <c r="AH26" s="34">
        <f t="shared" ref="AH26" si="77">+AB26/H26</f>
        <v>5.3137147379880227E-2</v>
      </c>
      <c r="AI26" s="1"/>
      <c r="AJ26" s="104">
        <f t="shared" ref="AJ26:AJ33" si="78">+AL26-AL25</f>
        <v>142171</v>
      </c>
      <c r="AK26" s="105"/>
      <c r="AL26" s="105">
        <v>1914540</v>
      </c>
      <c r="AM26" s="105"/>
      <c r="AN26" s="105">
        <f t="shared" si="51"/>
        <v>31210</v>
      </c>
      <c r="AO26" s="105"/>
      <c r="AP26" s="105"/>
      <c r="AQ26" s="105"/>
      <c r="AR26" s="105"/>
      <c r="AS26" s="105"/>
      <c r="AT26" s="105">
        <f t="shared" si="61"/>
        <v>123006</v>
      </c>
      <c r="AU26" s="105"/>
      <c r="AV26" s="116">
        <f t="shared" si="52"/>
        <v>6.4248331191826755E-2</v>
      </c>
      <c r="AW26" s="105"/>
      <c r="AX26" s="133"/>
      <c r="AY26" s="105"/>
      <c r="AZ26" s="1"/>
      <c r="BA26" s="41">
        <v>131560</v>
      </c>
      <c r="BB26" s="8"/>
      <c r="BC26" s="8">
        <v>41090</v>
      </c>
      <c r="BD26" s="8"/>
      <c r="BE26" s="8">
        <f t="shared" si="70"/>
        <v>172650</v>
      </c>
      <c r="BF26" s="7"/>
      <c r="BG26" s="48">
        <f t="shared" si="12"/>
        <v>0.4663783485911403</v>
      </c>
      <c r="BH26" s="48"/>
      <c r="BI26" s="48"/>
      <c r="BJ26" s="7"/>
      <c r="BK26" s="8">
        <f>4758+1003</f>
        <v>5761</v>
      </c>
      <c r="BL26" s="7"/>
      <c r="BM26" s="42">
        <f t="shared" si="19"/>
        <v>0.52892030848329052</v>
      </c>
      <c r="BO26">
        <f t="shared" si="7"/>
        <v>18</v>
      </c>
    </row>
    <row r="27" spans="2:68" x14ac:dyDescent="0.3">
      <c r="B27" s="62">
        <f t="shared" si="3"/>
        <v>43928</v>
      </c>
      <c r="D27" s="24">
        <v>33460</v>
      </c>
      <c r="E27" s="23"/>
      <c r="F27" s="23"/>
      <c r="G27" s="23"/>
      <c r="H27" s="23">
        <f t="shared" ref="H27" si="79">+H26+D27</f>
        <v>403653</v>
      </c>
      <c r="I27" s="23"/>
      <c r="J27" s="64">
        <f t="shared" ref="J27" si="80">+D27/H26</f>
        <v>9.0385285513232286E-2</v>
      </c>
      <c r="K27" s="23"/>
      <c r="L27" s="67"/>
      <c r="M27" s="1"/>
      <c r="N27" s="58">
        <v>1970</v>
      </c>
      <c r="O27" s="57"/>
      <c r="P27" s="57"/>
      <c r="Q27" s="57"/>
      <c r="R27" s="57">
        <f t="shared" ref="R27" si="81">+R26+N27</f>
        <v>12862</v>
      </c>
      <c r="S27" s="57"/>
      <c r="T27" s="73">
        <f t="shared" ref="T27" si="82">+R27/H27</f>
        <v>3.1864002001719301E-2</v>
      </c>
      <c r="U27" s="74"/>
      <c r="V27" s="84"/>
      <c r="W27" s="1"/>
      <c r="X27" s="31">
        <f t="shared" ref="X27" si="83">+AB27-AB26</f>
        <v>2003</v>
      </c>
      <c r="Y27" s="32"/>
      <c r="Z27" s="32"/>
      <c r="AA27" s="32"/>
      <c r="AB27" s="32">
        <v>21674</v>
      </c>
      <c r="AC27" s="32"/>
      <c r="AD27" s="33">
        <f t="shared" ref="AD27" si="84">+X27/AB26</f>
        <v>0.10182502160540897</v>
      </c>
      <c r="AE27" s="33"/>
      <c r="AF27" s="33"/>
      <c r="AG27" s="32"/>
      <c r="AH27" s="34">
        <f t="shared" ref="AH27" si="85">+AB27/H27</f>
        <v>5.3694633757212257E-2</v>
      </c>
      <c r="AI27" s="1"/>
      <c r="AJ27" s="104">
        <f t="shared" si="78"/>
        <v>161199</v>
      </c>
      <c r="AK27" s="105"/>
      <c r="AL27" s="105">
        <v>2075739</v>
      </c>
      <c r="AM27" s="105"/>
      <c r="AN27" s="105">
        <f t="shared" si="51"/>
        <v>33460</v>
      </c>
      <c r="AO27" s="105"/>
      <c r="AP27" s="105"/>
      <c r="AQ27" s="105"/>
      <c r="AR27" s="105"/>
      <c r="AS27" s="105"/>
      <c r="AT27" s="105">
        <f t="shared" si="61"/>
        <v>156466</v>
      </c>
      <c r="AU27" s="105"/>
      <c r="AV27" s="116">
        <f t="shared" si="52"/>
        <v>7.5378455576544059E-2</v>
      </c>
      <c r="AW27" s="105"/>
      <c r="AX27" s="133"/>
      <c r="AY27" s="105"/>
      <c r="AZ27" s="1"/>
      <c r="BA27" s="41">
        <v>139876</v>
      </c>
      <c r="BB27" s="8"/>
      <c r="BC27" s="8">
        <f>44416</f>
        <v>44416</v>
      </c>
      <c r="BD27" s="194" t="s">
        <v>44</v>
      </c>
      <c r="BE27" s="8">
        <f t="shared" ref="BE27" si="86">SUM(BA27:BC27)</f>
        <v>184292</v>
      </c>
      <c r="BF27" s="7"/>
      <c r="BG27" s="48">
        <f t="shared" si="12"/>
        <v>0.45656046158457886</v>
      </c>
      <c r="BH27" s="48"/>
      <c r="BI27" s="48"/>
      <c r="BJ27" s="7"/>
      <c r="BK27" s="8">
        <f>5489+1232+277</f>
        <v>6998</v>
      </c>
      <c r="BL27" s="7"/>
      <c r="BM27" s="42">
        <f t="shared" si="19"/>
        <v>0.54408334629140098</v>
      </c>
      <c r="BO27">
        <f t="shared" si="7"/>
        <v>19</v>
      </c>
    </row>
    <row r="28" spans="2:68" x14ac:dyDescent="0.3">
      <c r="B28" s="62">
        <f t="shared" si="3"/>
        <v>43929</v>
      </c>
      <c r="D28" s="24">
        <v>31935</v>
      </c>
      <c r="E28" s="23"/>
      <c r="F28" s="23"/>
      <c r="G28" s="23"/>
      <c r="H28" s="23">
        <f t="shared" ref="H28" si="87">+H27+D28</f>
        <v>435588</v>
      </c>
      <c r="I28" s="23"/>
      <c r="J28" s="64">
        <f t="shared" ref="J28" si="88">+D28/H27</f>
        <v>7.9114982423021757E-2</v>
      </c>
      <c r="K28" s="23"/>
      <c r="L28" s="67"/>
      <c r="M28" s="1"/>
      <c r="N28" s="58">
        <f>1940+10</f>
        <v>1950</v>
      </c>
      <c r="O28" s="57"/>
      <c r="P28" s="57"/>
      <c r="Q28" s="57"/>
      <c r="R28" s="57">
        <f t="shared" ref="R28" si="89">+R27+N28</f>
        <v>14812</v>
      </c>
      <c r="S28" s="57"/>
      <c r="T28" s="73">
        <f t="shared" ref="T28" si="90">+R28/H28</f>
        <v>3.4004609860694049E-2</v>
      </c>
      <c r="U28" s="74"/>
      <c r="V28" s="84"/>
      <c r="W28" s="1"/>
      <c r="X28" s="31">
        <f t="shared" ref="X28" si="91">+AB28-AB27</f>
        <v>1217</v>
      </c>
      <c r="Y28" s="32"/>
      <c r="Z28" s="32"/>
      <c r="AA28" s="32"/>
      <c r="AB28" s="32">
        <v>22891</v>
      </c>
      <c r="AC28" s="32"/>
      <c r="AD28" s="33">
        <f t="shared" ref="AD28" si="92">+X28/AB27</f>
        <v>5.6150226077327677E-2</v>
      </c>
      <c r="AE28" s="33"/>
      <c r="AF28" s="33"/>
      <c r="AG28" s="32"/>
      <c r="AH28" s="34">
        <f t="shared" ref="AH28" si="93">+AB28/H28</f>
        <v>5.2551952762702372E-2</v>
      </c>
      <c r="AI28" s="1"/>
      <c r="AJ28" s="104">
        <f t="shared" si="78"/>
        <v>133302</v>
      </c>
      <c r="AK28" s="105"/>
      <c r="AL28" s="105">
        <v>2209041</v>
      </c>
      <c r="AM28" s="105"/>
      <c r="AN28" s="105">
        <f t="shared" si="51"/>
        <v>31935</v>
      </c>
      <c r="AO28" s="105"/>
      <c r="AP28" s="105"/>
      <c r="AQ28" s="105"/>
      <c r="AR28" s="105"/>
      <c r="AS28" s="105"/>
      <c r="AT28" s="105">
        <f t="shared" si="61"/>
        <v>188401</v>
      </c>
      <c r="AU28" s="105"/>
      <c r="AV28" s="116">
        <f t="shared" si="52"/>
        <v>8.528633013149145E-2</v>
      </c>
      <c r="AW28" s="105"/>
      <c r="AX28" s="133"/>
      <c r="AY28" s="105"/>
      <c r="AZ28" s="1"/>
      <c r="BA28" s="41">
        <v>151069</v>
      </c>
      <c r="BB28" s="8"/>
      <c r="BC28" s="8">
        <f>47437+8781</f>
        <v>56218</v>
      </c>
      <c r="BD28" s="194"/>
      <c r="BE28" s="8">
        <f t="shared" ref="BE28" si="94">SUM(BA28:BC28)</f>
        <v>207287</v>
      </c>
      <c r="BF28" s="7"/>
      <c r="BG28" s="48">
        <f t="shared" ref="BG28" si="95">+BE28/H28</f>
        <v>0.47587858251375154</v>
      </c>
      <c r="BH28" s="48"/>
      <c r="BI28" s="48"/>
      <c r="BJ28" s="7"/>
      <c r="BK28" s="8">
        <f>6268+1504+335</f>
        <v>8107</v>
      </c>
      <c r="BL28" s="7"/>
      <c r="BM28" s="42">
        <f t="shared" si="19"/>
        <v>0.54732649203348638</v>
      </c>
      <c r="BO28">
        <f t="shared" si="7"/>
        <v>20</v>
      </c>
    </row>
    <row r="29" spans="2:68" x14ac:dyDescent="0.3">
      <c r="B29" s="62">
        <f t="shared" si="3"/>
        <v>43930</v>
      </c>
      <c r="D29" s="24">
        <v>33536</v>
      </c>
      <c r="E29" s="23"/>
      <c r="F29" s="23"/>
      <c r="G29" s="23"/>
      <c r="H29" s="23">
        <f t="shared" ref="H29:H36" si="96">+H28+D29</f>
        <v>469124</v>
      </c>
      <c r="I29" s="23"/>
      <c r="J29" s="64">
        <f t="shared" ref="J29" si="97">+D29/H28</f>
        <v>7.699018338429893E-2</v>
      </c>
      <c r="K29" s="23"/>
      <c r="L29" s="67"/>
      <c r="M29" s="1"/>
      <c r="N29" s="58">
        <v>1900</v>
      </c>
      <c r="O29" s="57"/>
      <c r="P29" s="57"/>
      <c r="Q29" s="57"/>
      <c r="R29" s="57">
        <f t="shared" ref="R29" si="98">+R28+N29</f>
        <v>16712</v>
      </c>
      <c r="S29" s="57"/>
      <c r="T29" s="73">
        <f t="shared" ref="T29" si="99">+R29/H29</f>
        <v>3.5623843589328193E-2</v>
      </c>
      <c r="U29" s="74"/>
      <c r="V29" s="84"/>
      <c r="W29" s="1"/>
      <c r="X29" s="31">
        <f t="shared" ref="X29" si="100">+AB29-AB28</f>
        <v>3037</v>
      </c>
      <c r="Y29" s="32"/>
      <c r="Z29" s="32"/>
      <c r="AA29" s="32"/>
      <c r="AB29" s="32">
        <v>25928</v>
      </c>
      <c r="AC29" s="32"/>
      <c r="AD29" s="33">
        <f t="shared" ref="AD29" si="101">+X29/AB28</f>
        <v>0.13267222926040803</v>
      </c>
      <c r="AE29" s="33"/>
      <c r="AF29" s="33"/>
      <c r="AG29" s="32"/>
      <c r="AH29" s="34">
        <f t="shared" ref="AH29" si="102">+AB29/H29</f>
        <v>5.5268969398282755E-2</v>
      </c>
      <c r="AI29" s="1"/>
      <c r="AJ29" s="104">
        <f t="shared" si="78"/>
        <v>144055</v>
      </c>
      <c r="AK29" s="105"/>
      <c r="AL29" s="105">
        <v>2353096</v>
      </c>
      <c r="AM29" s="105"/>
      <c r="AN29" s="105">
        <f t="shared" si="51"/>
        <v>33536</v>
      </c>
      <c r="AO29" s="105"/>
      <c r="AP29" s="105"/>
      <c r="AQ29" s="105"/>
      <c r="AR29" s="105"/>
      <c r="AS29" s="105"/>
      <c r="AT29" s="105">
        <f t="shared" si="61"/>
        <v>221937</v>
      </c>
      <c r="AU29" s="105"/>
      <c r="AV29" s="116">
        <f t="shared" si="52"/>
        <v>9.4317018940153735E-2</v>
      </c>
      <c r="AW29" s="105"/>
      <c r="AX29" s="133"/>
      <c r="AY29" s="105"/>
      <c r="AZ29" s="1"/>
      <c r="BA29" s="41">
        <v>161790</v>
      </c>
      <c r="BB29" s="8"/>
      <c r="BC29" s="8">
        <f>51027+9784</f>
        <v>60811</v>
      </c>
      <c r="BD29" s="194"/>
      <c r="BE29" s="8">
        <f t="shared" ref="BE29" si="103">SUM(BA29:BC29)</f>
        <v>222601</v>
      </c>
      <c r="BF29" s="7"/>
      <c r="BG29" s="48">
        <f t="shared" ref="BG29" si="104">+BE29/H29</f>
        <v>0.47450354277333923</v>
      </c>
      <c r="BH29" s="48"/>
      <c r="BI29" s="48"/>
      <c r="BJ29" s="7"/>
      <c r="BK29" s="8">
        <f>7067+1209+380</f>
        <v>8656</v>
      </c>
      <c r="BL29" s="7"/>
      <c r="BM29" s="42">
        <f t="shared" si="19"/>
        <v>0.51795117280995695</v>
      </c>
      <c r="BO29">
        <f t="shared" si="7"/>
        <v>21</v>
      </c>
    </row>
    <row r="30" spans="2:68" x14ac:dyDescent="0.3">
      <c r="B30" s="62">
        <f t="shared" si="3"/>
        <v>43931</v>
      </c>
      <c r="D30" s="24">
        <v>33752</v>
      </c>
      <c r="E30" s="23"/>
      <c r="F30" s="23"/>
      <c r="G30" s="23"/>
      <c r="H30" s="23">
        <f t="shared" si="96"/>
        <v>502876</v>
      </c>
      <c r="I30" s="23"/>
      <c r="J30" s="64">
        <f t="shared" ref="J30" si="105">+D30/H29</f>
        <v>7.1946862663176472E-2</v>
      </c>
      <c r="K30" s="23"/>
      <c r="L30" s="67"/>
      <c r="M30" s="1"/>
      <c r="N30" s="58">
        <v>2035</v>
      </c>
      <c r="O30" s="57"/>
      <c r="P30" s="57"/>
      <c r="Q30" s="57"/>
      <c r="R30" s="57">
        <f t="shared" ref="R30" si="106">+R29+N30</f>
        <v>18747</v>
      </c>
      <c r="S30" s="57"/>
      <c r="T30" s="73">
        <f t="shared" ref="T30" si="107">+R30/H30</f>
        <v>3.7279567925293709E-2</v>
      </c>
      <c r="U30" s="74"/>
      <c r="V30" s="84"/>
      <c r="W30" s="1"/>
      <c r="X30" s="31">
        <f t="shared" ref="X30" si="108">+AB30-AB29</f>
        <v>1386</v>
      </c>
      <c r="Y30" s="32"/>
      <c r="Z30" s="32"/>
      <c r="AA30" s="32"/>
      <c r="AB30" s="32">
        <v>27314</v>
      </c>
      <c r="AC30" s="32"/>
      <c r="AD30" s="33">
        <f t="shared" ref="AD30" si="109">+X30/AB29</f>
        <v>5.3455723542116633E-2</v>
      </c>
      <c r="AE30" s="33"/>
      <c r="AF30" s="33"/>
      <c r="AG30" s="32"/>
      <c r="AH30" s="34">
        <f t="shared" ref="AH30" si="110">+AB30/H30</f>
        <v>5.4315576802233555E-2</v>
      </c>
      <c r="AI30" s="1"/>
      <c r="AJ30" s="104">
        <f t="shared" si="78"/>
        <v>185792</v>
      </c>
      <c r="AK30" s="105"/>
      <c r="AL30" s="105">
        <v>2538888</v>
      </c>
      <c r="AM30" s="105"/>
      <c r="AN30" s="105">
        <f t="shared" si="51"/>
        <v>33752</v>
      </c>
      <c r="AO30" s="105"/>
      <c r="AP30" s="105"/>
      <c r="AQ30" s="105"/>
      <c r="AR30" s="105"/>
      <c r="AS30" s="105"/>
      <c r="AT30" s="105">
        <f t="shared" si="61"/>
        <v>255689</v>
      </c>
      <c r="AU30" s="105"/>
      <c r="AV30" s="116">
        <f t="shared" si="52"/>
        <v>0.10070905057647285</v>
      </c>
      <c r="AW30" s="105"/>
      <c r="AX30" s="133"/>
      <c r="AY30" s="105"/>
      <c r="AZ30" s="1"/>
      <c r="BA30" s="41">
        <v>174481</v>
      </c>
      <c r="BB30" s="8"/>
      <c r="BC30" s="8">
        <f>54588+10538</f>
        <v>65126</v>
      </c>
      <c r="BD30" s="194"/>
      <c r="BE30" s="8">
        <f t="shared" ref="BE30" si="111">SUM(BA30:BC30)</f>
        <v>239607</v>
      </c>
      <c r="BF30" s="7"/>
      <c r="BG30" s="48">
        <f t="shared" ref="BG30" si="112">+BE30/H30</f>
        <v>0.47647332543211446</v>
      </c>
      <c r="BH30" s="48"/>
      <c r="BI30" s="48"/>
      <c r="BJ30" s="7"/>
      <c r="BK30" s="8">
        <f>7884+1932+448</f>
        <v>10264</v>
      </c>
      <c r="BL30" s="7"/>
      <c r="BM30" s="42">
        <f t="shared" si="19"/>
        <v>0.54750093348269058</v>
      </c>
      <c r="BO30">
        <f t="shared" si="7"/>
        <v>22</v>
      </c>
    </row>
    <row r="31" spans="2:68" x14ac:dyDescent="0.3">
      <c r="B31" s="62">
        <f t="shared" si="3"/>
        <v>43932</v>
      </c>
      <c r="D31" s="24">
        <v>30003</v>
      </c>
      <c r="E31" s="23"/>
      <c r="F31" s="23"/>
      <c r="G31" s="23"/>
      <c r="H31" s="23">
        <f t="shared" si="96"/>
        <v>532879</v>
      </c>
      <c r="I31" s="23"/>
      <c r="J31" s="64">
        <f t="shared" ref="J31" si="113">+D31/H30</f>
        <v>5.9662819462451978E-2</v>
      </c>
      <c r="K31" s="23"/>
      <c r="L31" s="67"/>
      <c r="M31" s="1"/>
      <c r="N31" s="58">
        <v>1830</v>
      </c>
      <c r="O31" s="57"/>
      <c r="P31" s="57"/>
      <c r="Q31" s="57"/>
      <c r="R31" s="57">
        <f t="shared" ref="R31" si="114">+R30+N31</f>
        <v>20577</v>
      </c>
      <c r="S31" s="57"/>
      <c r="T31" s="73">
        <f t="shared" ref="T31" si="115">+R31/H31</f>
        <v>3.8614769957157256E-2</v>
      </c>
      <c r="U31" s="74"/>
      <c r="V31" s="84"/>
      <c r="W31" s="1"/>
      <c r="X31" s="31">
        <f t="shared" ref="X31" si="116">+AB31-AB30</f>
        <v>3139</v>
      </c>
      <c r="Y31" s="32"/>
      <c r="Z31" s="32"/>
      <c r="AA31" s="32"/>
      <c r="AB31" s="32">
        <v>30453</v>
      </c>
      <c r="AC31" s="32"/>
      <c r="AD31" s="33">
        <f t="shared" ref="AD31" si="117">+X31/AB30</f>
        <v>0.1149227502379732</v>
      </c>
      <c r="AE31" s="33"/>
      <c r="AF31" s="33"/>
      <c r="AG31" s="32"/>
      <c r="AH31" s="34">
        <f t="shared" ref="AH31" si="118">+AB31/H31</f>
        <v>5.7148058001910376E-2</v>
      </c>
      <c r="AI31" s="1"/>
      <c r="AJ31" s="104">
        <f t="shared" si="78"/>
        <v>131786</v>
      </c>
      <c r="AK31" s="105"/>
      <c r="AL31" s="105">
        <v>2670674</v>
      </c>
      <c r="AM31" s="105"/>
      <c r="AN31" s="105">
        <f t="shared" ref="AN31" si="119">+D31</f>
        <v>30003</v>
      </c>
      <c r="AO31" s="105"/>
      <c r="AP31" s="105"/>
      <c r="AQ31" s="105"/>
      <c r="AR31" s="105"/>
      <c r="AS31" s="105"/>
      <c r="AT31" s="105">
        <f t="shared" ref="AT31" si="120">+AT30+AN31</f>
        <v>285692</v>
      </c>
      <c r="AU31" s="105"/>
      <c r="AV31" s="116">
        <f t="shared" ref="AV31" si="121">+AT31/AL31</f>
        <v>0.10697374520439409</v>
      </c>
      <c r="AW31" s="105"/>
      <c r="AX31" s="133"/>
      <c r="AY31" s="105"/>
      <c r="AZ31" s="1"/>
      <c r="BA31" s="41">
        <v>181825</v>
      </c>
      <c r="BB31" s="8"/>
      <c r="BC31" s="8">
        <f>58151+11510</f>
        <v>69661</v>
      </c>
      <c r="BD31" s="194"/>
      <c r="BE31" s="8">
        <f t="shared" ref="BE31" si="122">SUM(BA31:BC31)</f>
        <v>251486</v>
      </c>
      <c r="BF31" s="7"/>
      <c r="BG31" s="48">
        <f t="shared" ref="BG31" si="123">+BE31/H31</f>
        <v>0.47193828242434022</v>
      </c>
      <c r="BH31" s="48"/>
      <c r="BI31" s="48"/>
      <c r="BJ31" s="7"/>
      <c r="BK31" s="8">
        <f>8650+2183+494</f>
        <v>11327</v>
      </c>
      <c r="BL31" s="7"/>
      <c r="BM31" s="42">
        <f t="shared" si="19"/>
        <v>0.55046897020945718</v>
      </c>
      <c r="BO31">
        <f t="shared" si="7"/>
        <v>23</v>
      </c>
    </row>
    <row r="32" spans="2:68" x14ac:dyDescent="0.3">
      <c r="B32" s="62">
        <f t="shared" si="3"/>
        <v>43933</v>
      </c>
      <c r="D32" s="24">
        <v>27421</v>
      </c>
      <c r="E32" s="23"/>
      <c r="F32" s="23"/>
      <c r="G32" s="23"/>
      <c r="H32" s="23">
        <f t="shared" si="96"/>
        <v>560300</v>
      </c>
      <c r="I32" s="23"/>
      <c r="J32" s="64">
        <f t="shared" ref="J32" si="124">+D32/H31</f>
        <v>5.14582109634645E-2</v>
      </c>
      <c r="K32" s="23"/>
      <c r="L32" s="67"/>
      <c r="M32" s="1"/>
      <c r="N32" s="58">
        <v>1528</v>
      </c>
      <c r="O32" s="57"/>
      <c r="P32" s="57"/>
      <c r="Q32" s="57"/>
      <c r="R32" s="57">
        <f t="shared" ref="R32" si="125">+R31+N32</f>
        <v>22105</v>
      </c>
      <c r="S32" s="57"/>
      <c r="T32" s="73">
        <f t="shared" ref="T32" si="126">+R32/H32</f>
        <v>3.9452079243262536E-2</v>
      </c>
      <c r="U32" s="74"/>
      <c r="V32" s="84"/>
      <c r="W32" s="1"/>
      <c r="X32" s="31">
        <f t="shared" ref="X32" si="127">+AB32-AB31</f>
        <v>2181</v>
      </c>
      <c r="Y32" s="32"/>
      <c r="Z32" s="32"/>
      <c r="AA32" s="32"/>
      <c r="AB32" s="32">
        <v>32634</v>
      </c>
      <c r="AC32" s="32"/>
      <c r="AD32" s="33">
        <f t="shared" ref="AD32" si="128">+X32/AB31</f>
        <v>7.1618559747808092E-2</v>
      </c>
      <c r="AE32" s="33"/>
      <c r="AF32" s="33"/>
      <c r="AG32" s="32"/>
      <c r="AH32" s="34">
        <f t="shared" ref="AH32" si="129">+AB32/H32</f>
        <v>5.8243797965375689E-2</v>
      </c>
      <c r="AI32" s="1"/>
      <c r="AJ32" s="104">
        <f t="shared" si="78"/>
        <v>161584</v>
      </c>
      <c r="AK32" s="105"/>
      <c r="AL32" s="105">
        <v>2832258</v>
      </c>
      <c r="AM32" s="105"/>
      <c r="AN32" s="105">
        <f t="shared" ref="AN32" si="130">+D32</f>
        <v>27421</v>
      </c>
      <c r="AO32" s="105"/>
      <c r="AP32" s="105"/>
      <c r="AQ32" s="105"/>
      <c r="AR32" s="105"/>
      <c r="AS32" s="105"/>
      <c r="AT32" s="105">
        <f t="shared" ref="AT32" si="131">+AT31+AN32</f>
        <v>313113</v>
      </c>
      <c r="AU32" s="105"/>
      <c r="AV32" s="116">
        <f t="shared" ref="AV32:AV37" si="132">+AT32/AL32</f>
        <v>0.1105524284863879</v>
      </c>
      <c r="AW32" s="105"/>
      <c r="AX32" s="133"/>
      <c r="AY32" s="105"/>
      <c r="AZ32" s="1"/>
      <c r="BA32" s="41">
        <v>189033</v>
      </c>
      <c r="BB32" s="8"/>
      <c r="BC32" s="8">
        <f>61850+12035</f>
        <v>73885</v>
      </c>
      <c r="BD32" s="194"/>
      <c r="BE32" s="8">
        <f t="shared" ref="BE32" si="133">SUM(BA32:BC32)</f>
        <v>262918</v>
      </c>
      <c r="BF32" s="7"/>
      <c r="BG32" s="48">
        <f t="shared" ref="BG32" si="134">+BE32/H32</f>
        <v>0.4692450472960914</v>
      </c>
      <c r="BH32" s="48"/>
      <c r="BI32" s="48"/>
      <c r="BJ32" s="7"/>
      <c r="BK32" s="8">
        <f>9385+2350+554</f>
        <v>12289</v>
      </c>
      <c r="BL32" s="7"/>
      <c r="BM32" s="42">
        <f t="shared" si="19"/>
        <v>0.55593757068536531</v>
      </c>
      <c r="BO32">
        <f t="shared" si="7"/>
        <v>24</v>
      </c>
    </row>
    <row r="33" spans="2:67" x14ac:dyDescent="0.3">
      <c r="B33" s="62">
        <f t="shared" si="3"/>
        <v>43934</v>
      </c>
      <c r="D33" s="24">
        <v>26641</v>
      </c>
      <c r="E33" s="23"/>
      <c r="F33" s="23"/>
      <c r="G33" s="23"/>
      <c r="H33" s="23">
        <f t="shared" si="96"/>
        <v>586941</v>
      </c>
      <c r="I33" s="23"/>
      <c r="J33" s="64">
        <f t="shared" ref="J33" si="135">+D33/H32</f>
        <v>4.7547742280920936E-2</v>
      </c>
      <c r="K33" s="23"/>
      <c r="L33" s="67"/>
      <c r="M33" s="1"/>
      <c r="N33" s="58">
        <v>1535</v>
      </c>
      <c r="O33" s="57"/>
      <c r="P33" s="57"/>
      <c r="Q33" s="57"/>
      <c r="R33" s="57">
        <f t="shared" ref="R33" si="136">+R32+N33</f>
        <v>23640</v>
      </c>
      <c r="S33" s="57"/>
      <c r="T33" s="73">
        <f t="shared" ref="T33" si="137">+R33/H33</f>
        <v>4.0276620648412705E-2</v>
      </c>
      <c r="U33" s="74"/>
      <c r="V33" s="84"/>
      <c r="W33" s="1"/>
      <c r="X33" s="31">
        <f t="shared" ref="X33" si="138">+AB33-AB32</f>
        <v>3620</v>
      </c>
      <c r="Y33" s="32"/>
      <c r="Z33" s="32"/>
      <c r="AA33" s="32"/>
      <c r="AB33" s="32">
        <v>36254</v>
      </c>
      <c r="AC33" s="32"/>
      <c r="AD33" s="33">
        <f t="shared" ref="AD33" si="139">+X33/AB32</f>
        <v>0.11092725378439665</v>
      </c>
      <c r="AE33" s="33"/>
      <c r="AF33" s="33"/>
      <c r="AG33" s="32"/>
      <c r="AH33" s="34">
        <f t="shared" ref="AH33" si="140">+AB33/H33</f>
        <v>6.1767707486783167E-2</v>
      </c>
      <c r="AI33" s="1"/>
      <c r="AJ33" s="104">
        <f t="shared" si="78"/>
        <v>111697</v>
      </c>
      <c r="AK33" s="105"/>
      <c r="AL33" s="105">
        <v>2943955</v>
      </c>
      <c r="AM33" s="105"/>
      <c r="AN33" s="105">
        <f t="shared" ref="AN33" si="141">+D33</f>
        <v>26641</v>
      </c>
      <c r="AO33" s="105"/>
      <c r="AP33" s="105"/>
      <c r="AQ33" s="105"/>
      <c r="AR33" s="105"/>
      <c r="AS33" s="105"/>
      <c r="AT33" s="105">
        <f t="shared" ref="AT33" si="142">+AT32+AN33</f>
        <v>339754</v>
      </c>
      <c r="AU33" s="105"/>
      <c r="AV33" s="116">
        <f t="shared" si="132"/>
        <v>0.11540733469091749</v>
      </c>
      <c r="AW33" s="105"/>
      <c r="AX33" s="133"/>
      <c r="AY33" s="105"/>
      <c r="AZ33" s="1"/>
      <c r="BA33" s="41">
        <v>195749</v>
      </c>
      <c r="BB33" s="8"/>
      <c r="BC33" s="8">
        <f>64584+13381</f>
        <v>77965</v>
      </c>
      <c r="BD33" s="194"/>
      <c r="BE33" s="8">
        <f t="shared" ref="BE33" si="143">SUM(BA33:BC33)</f>
        <v>273714</v>
      </c>
      <c r="BF33" s="7"/>
      <c r="BG33" s="48">
        <f t="shared" ref="BG33" si="144">+BE33/H33</f>
        <v>0.46633988765480688</v>
      </c>
      <c r="BH33" s="48"/>
      <c r="BI33" s="48"/>
      <c r="BJ33" s="7"/>
      <c r="BK33" s="8">
        <f>10058+2443+602</f>
        <v>13103</v>
      </c>
      <c r="BL33" s="7"/>
      <c r="BM33" s="42">
        <f t="shared" si="19"/>
        <v>0.55427241962774954</v>
      </c>
      <c r="BO33">
        <f t="shared" si="7"/>
        <v>25</v>
      </c>
    </row>
    <row r="34" spans="2:67" x14ac:dyDescent="0.3">
      <c r="B34" s="62">
        <f t="shared" si="3"/>
        <v>43935</v>
      </c>
      <c r="D34" s="24">
        <v>30720</v>
      </c>
      <c r="E34" s="23"/>
      <c r="F34" s="23"/>
      <c r="G34" s="23"/>
      <c r="H34" s="23">
        <f>+H33+D34+5109-168</f>
        <v>622602</v>
      </c>
      <c r="I34" s="260" t="s">
        <v>73</v>
      </c>
      <c r="J34" s="64">
        <f t="shared" ref="J34" si="145">+D34/H33</f>
        <v>5.2339161857835798E-2</v>
      </c>
      <c r="K34" s="23"/>
      <c r="L34" s="67"/>
      <c r="M34" s="1"/>
      <c r="N34" s="58">
        <v>2407</v>
      </c>
      <c r="O34" s="57"/>
      <c r="P34" s="57"/>
      <c r="Q34" s="57"/>
      <c r="R34" s="57">
        <f>+R33+N34+3778+317</f>
        <v>30142</v>
      </c>
      <c r="S34" s="261" t="s">
        <v>73</v>
      </c>
      <c r="T34" s="73">
        <f t="shared" ref="T34" si="146">+R34/H34</f>
        <v>4.8412950809666531E-2</v>
      </c>
      <c r="U34" s="74"/>
      <c r="V34" s="84"/>
      <c r="W34" s="1"/>
      <c r="X34" s="31">
        <f t="shared" ref="X34" si="147">+AB34-AB33</f>
        <v>2566</v>
      </c>
      <c r="Y34" s="32"/>
      <c r="Z34" s="32"/>
      <c r="AA34" s="32"/>
      <c r="AB34" s="32">
        <v>38820</v>
      </c>
      <c r="AC34" s="32"/>
      <c r="AD34" s="33">
        <f t="shared" ref="AD34" si="148">+X34/AB33</f>
        <v>7.0778396866552656E-2</v>
      </c>
      <c r="AE34" s="33"/>
      <c r="AF34" s="33"/>
      <c r="AG34" s="32"/>
      <c r="AH34" s="34">
        <f t="shared" ref="AH34" si="149">+AB34/H34</f>
        <v>6.23512291961799E-2</v>
      </c>
      <c r="AI34" s="1"/>
      <c r="AJ34" s="104">
        <f t="shared" ref="AJ34" si="150">+AL34-AL33</f>
        <v>121064</v>
      </c>
      <c r="AK34" s="105"/>
      <c r="AL34" s="105">
        <v>3065019</v>
      </c>
      <c r="AM34" s="105"/>
      <c r="AN34" s="105">
        <f t="shared" ref="AN34" si="151">+D34</f>
        <v>30720</v>
      </c>
      <c r="AO34" s="105"/>
      <c r="AP34" s="105"/>
      <c r="AQ34" s="105"/>
      <c r="AR34" s="105"/>
      <c r="AS34" s="105"/>
      <c r="AT34" s="105">
        <f t="shared" ref="AT34" si="152">+AT33+AN34</f>
        <v>370474</v>
      </c>
      <c r="AU34" s="105"/>
      <c r="AV34" s="116">
        <f t="shared" si="132"/>
        <v>0.12087168138272553</v>
      </c>
      <c r="AW34" s="105"/>
      <c r="AX34" s="133"/>
      <c r="AY34" s="105"/>
      <c r="AZ34" s="1"/>
      <c r="BA34" s="41">
        <v>203020</v>
      </c>
      <c r="BB34" s="8"/>
      <c r="BC34" s="8">
        <f>68824+13989</f>
        <v>82813</v>
      </c>
      <c r="BD34" s="194"/>
      <c r="BE34" s="8">
        <f t="shared" ref="BE34" si="153">SUM(BA34:BC34)</f>
        <v>285833</v>
      </c>
      <c r="BF34" s="7"/>
      <c r="BG34" s="48">
        <f t="shared" ref="BG34" si="154">+BE34/H34</f>
        <v>0.45909425282925531</v>
      </c>
      <c r="BH34" s="48"/>
      <c r="BI34" s="48"/>
      <c r="BJ34" s="7"/>
      <c r="BK34" s="8">
        <f>10842+2805+671+3778</f>
        <v>18096</v>
      </c>
      <c r="BL34" s="7"/>
      <c r="BM34" s="42">
        <f t="shared" ref="BM34" si="155">+BK34/R34</f>
        <v>0.60035830402760271</v>
      </c>
      <c r="BO34">
        <f t="shared" si="7"/>
        <v>26</v>
      </c>
    </row>
    <row r="35" spans="2:67" x14ac:dyDescent="0.3">
      <c r="B35" s="62">
        <f t="shared" si="3"/>
        <v>43936</v>
      </c>
      <c r="D35" s="24">
        <v>30342</v>
      </c>
      <c r="E35" s="23"/>
      <c r="F35" s="23"/>
      <c r="G35" s="23"/>
      <c r="H35" s="23">
        <f t="shared" si="96"/>
        <v>652944</v>
      </c>
      <c r="I35" s="23"/>
      <c r="J35" s="64">
        <f t="shared" ref="J35" si="156">+D35/H34</f>
        <v>4.8734183314541234E-2</v>
      </c>
      <c r="K35" s="23"/>
      <c r="L35" s="67"/>
      <c r="M35" s="1"/>
      <c r="N35" s="58">
        <v>2618</v>
      </c>
      <c r="O35" s="57"/>
      <c r="P35" s="57"/>
      <c r="Q35" s="57"/>
      <c r="R35" s="57">
        <f>+R34+N35</f>
        <v>32760</v>
      </c>
      <c r="S35" s="57"/>
      <c r="T35" s="73">
        <f t="shared" ref="T35" si="157">+R35/H35</f>
        <v>5.0172756009703744E-2</v>
      </c>
      <c r="U35" s="74"/>
      <c r="V35" s="84"/>
      <c r="W35" s="1"/>
      <c r="X35" s="31">
        <f t="shared" ref="X35" si="158">+AB35-AB34</f>
        <v>9881</v>
      </c>
      <c r="Y35" s="32"/>
      <c r="Z35" s="32"/>
      <c r="AA35" s="32"/>
      <c r="AB35" s="32">
        <v>48701</v>
      </c>
      <c r="AC35" s="32"/>
      <c r="AD35" s="33">
        <f t="shared" ref="AD35" si="159">+X35/AB34</f>
        <v>0.25453374549201441</v>
      </c>
      <c r="AE35" s="33"/>
      <c r="AF35" s="33"/>
      <c r="AG35" s="32"/>
      <c r="AH35" s="34">
        <f t="shared" ref="AH35" si="160">+AB35/H35</f>
        <v>7.4586794579627039E-2</v>
      </c>
      <c r="AI35" s="1"/>
      <c r="AJ35" s="104">
        <f t="shared" ref="AJ35" si="161">+AL35-AL34</f>
        <v>193860</v>
      </c>
      <c r="AK35" s="105"/>
      <c r="AL35" s="105">
        <v>3258879</v>
      </c>
      <c r="AM35" s="105"/>
      <c r="AN35" s="105">
        <f t="shared" ref="AN35" si="162">+D35</f>
        <v>30342</v>
      </c>
      <c r="AO35" s="105"/>
      <c r="AP35" s="105"/>
      <c r="AQ35" s="105"/>
      <c r="AR35" s="105"/>
      <c r="AS35" s="105"/>
      <c r="AT35" s="105">
        <f t="shared" ref="AT35" si="163">+AT34+AN35</f>
        <v>400816</v>
      </c>
      <c r="AU35" s="105"/>
      <c r="AV35" s="116">
        <f t="shared" si="132"/>
        <v>0.12299198589453612</v>
      </c>
      <c r="AW35" s="105"/>
      <c r="AX35" s="133"/>
      <c r="AY35" s="105"/>
      <c r="AZ35" s="1"/>
      <c r="BA35" s="41">
        <v>214639</v>
      </c>
      <c r="BB35" s="8"/>
      <c r="BC35" s="8">
        <f>71030+14755</f>
        <v>85785</v>
      </c>
      <c r="BD35" s="194"/>
      <c r="BE35" s="8">
        <f t="shared" ref="BE35" si="164">SUM(BA35:BC35)</f>
        <v>300424</v>
      </c>
      <c r="BF35" s="7"/>
      <c r="BG35" s="48">
        <f t="shared" ref="BG35" si="165">+BE35/H35</f>
        <v>0.4601068391776324</v>
      </c>
      <c r="BH35" s="48"/>
      <c r="BI35" s="48"/>
      <c r="BJ35" s="7"/>
      <c r="BK35" s="8">
        <f>11620+3156+868-145</f>
        <v>15499</v>
      </c>
      <c r="BL35" s="7"/>
      <c r="BM35" s="42">
        <f t="shared" ref="BM35" si="166">+BK35/R35</f>
        <v>0.47310744810744809</v>
      </c>
      <c r="BO35">
        <f t="shared" si="7"/>
        <v>27</v>
      </c>
    </row>
    <row r="36" spans="2:67" x14ac:dyDescent="0.3">
      <c r="B36" s="62">
        <f t="shared" si="3"/>
        <v>43937</v>
      </c>
      <c r="D36" s="24">
        <v>29567</v>
      </c>
      <c r="E36" s="23"/>
      <c r="F36" s="23"/>
      <c r="G36" s="23"/>
      <c r="H36" s="23">
        <f t="shared" si="96"/>
        <v>682511</v>
      </c>
      <c r="I36" s="23"/>
      <c r="J36" s="64">
        <f t="shared" ref="J36" si="167">+D36/H35</f>
        <v>4.5282596976157219E-2</v>
      </c>
      <c r="K36" s="23"/>
      <c r="L36" s="67"/>
      <c r="M36" s="1"/>
      <c r="N36" s="58">
        <v>2176</v>
      </c>
      <c r="O36" s="57"/>
      <c r="P36" s="57"/>
      <c r="Q36" s="57"/>
      <c r="R36" s="57">
        <f t="shared" ref="R36" si="168">+R35+N36</f>
        <v>34936</v>
      </c>
      <c r="S36" s="57"/>
      <c r="T36" s="73">
        <f t="shared" ref="T36" si="169">+R36/H36</f>
        <v>5.1187453389029629E-2</v>
      </c>
      <c r="U36" s="74"/>
      <c r="V36" s="84"/>
      <c r="W36" s="1"/>
      <c r="X36" s="31">
        <f t="shared" ref="X36" si="170">+AB36-AB35</f>
        <v>8807</v>
      </c>
      <c r="Y36" s="32"/>
      <c r="Z36" s="32"/>
      <c r="AA36" s="32"/>
      <c r="AB36" s="32">
        <v>57508</v>
      </c>
      <c r="AC36" s="32"/>
      <c r="AD36" s="33">
        <f t="shared" ref="AD36" si="171">+X36/AB35</f>
        <v>0.1808381758074783</v>
      </c>
      <c r="AE36" s="33"/>
      <c r="AF36" s="33"/>
      <c r="AG36" s="32"/>
      <c r="AH36" s="34">
        <f t="shared" ref="AH36" si="172">+AB36/H36</f>
        <v>8.4259447833075221E-2</v>
      </c>
      <c r="AI36" s="1"/>
      <c r="AJ36" s="104">
        <f t="shared" ref="AJ36" si="173">+AL36-AL35</f>
        <v>139261</v>
      </c>
      <c r="AK36" s="105"/>
      <c r="AL36" s="105">
        <v>3398140</v>
      </c>
      <c r="AM36" s="105"/>
      <c r="AN36" s="105">
        <f t="shared" ref="AN36" si="174">+D36</f>
        <v>29567</v>
      </c>
      <c r="AO36" s="105"/>
      <c r="AP36" s="105"/>
      <c r="AQ36" s="105"/>
      <c r="AR36" s="105"/>
      <c r="AS36" s="105"/>
      <c r="AT36" s="105">
        <f t="shared" ref="AT36" si="175">+AT35+AN36</f>
        <v>430383</v>
      </c>
      <c r="AU36" s="105"/>
      <c r="AV36" s="116">
        <f t="shared" si="132"/>
        <v>0.12665252167362145</v>
      </c>
      <c r="AW36" s="105"/>
      <c r="AX36" s="133"/>
      <c r="AY36" s="105"/>
      <c r="AZ36" s="1"/>
      <c r="BA36" s="41">
        <v>223691</v>
      </c>
      <c r="BB36" s="8"/>
      <c r="BC36" s="8">
        <f>75317+15884</f>
        <v>91201</v>
      </c>
      <c r="BD36" s="194"/>
      <c r="BE36" s="8">
        <f t="shared" ref="BE36" si="176">SUM(BA36:BC36)</f>
        <v>314892</v>
      </c>
      <c r="BF36" s="7"/>
      <c r="BG36" s="48">
        <f t="shared" ref="BG36" si="177">+BE36/H36</f>
        <v>0.46137278373535373</v>
      </c>
      <c r="BH36" s="48"/>
      <c r="BI36" s="48"/>
      <c r="BJ36" s="7"/>
      <c r="BK36" s="8">
        <f>14832+3518+446</f>
        <v>18796</v>
      </c>
      <c r="BL36" s="7"/>
      <c r="BM36" s="42">
        <f t="shared" ref="BM36" si="178">+BK36/R36</f>
        <v>0.5380123654682849</v>
      </c>
      <c r="BO36">
        <f t="shared" si="7"/>
        <v>28</v>
      </c>
    </row>
    <row r="37" spans="2:67" x14ac:dyDescent="0.3">
      <c r="B37" s="62">
        <f t="shared" si="3"/>
        <v>43938</v>
      </c>
      <c r="D37" s="24">
        <v>32165</v>
      </c>
      <c r="E37" s="23"/>
      <c r="F37" s="23"/>
      <c r="G37" s="23"/>
      <c r="H37" s="23">
        <f t="shared" ref="H37" si="179">+H36+D37</f>
        <v>714676</v>
      </c>
      <c r="I37" s="23"/>
      <c r="J37" s="64">
        <f t="shared" ref="J37" si="180">+D37/H36</f>
        <v>4.7127445564979907E-2</v>
      </c>
      <c r="K37" s="23"/>
      <c r="L37" s="67"/>
      <c r="M37" s="1"/>
      <c r="N37" s="58">
        <v>2528</v>
      </c>
      <c r="O37" s="57"/>
      <c r="P37" s="57"/>
      <c r="Q37" s="57"/>
      <c r="R37" s="57">
        <f t="shared" ref="R37" si="181">+R36+N37</f>
        <v>37464</v>
      </c>
      <c r="S37" s="57"/>
      <c r="T37" s="73">
        <f t="shared" ref="T37" si="182">+R37/H37</f>
        <v>5.2420957188991937E-2</v>
      </c>
      <c r="U37" s="74"/>
      <c r="V37" s="84"/>
      <c r="W37" s="1"/>
      <c r="X37" s="31">
        <f t="shared" ref="X37" si="183">+AB37-AB36</f>
        <v>3002</v>
      </c>
      <c r="Y37" s="32"/>
      <c r="Z37" s="32"/>
      <c r="AA37" s="32"/>
      <c r="AB37" s="32">
        <v>60510</v>
      </c>
      <c r="AC37" s="32"/>
      <c r="AD37" s="33">
        <f t="shared" ref="AD37" si="184">+X37/AB36</f>
        <v>5.2201432844126032E-2</v>
      </c>
      <c r="AE37" s="33"/>
      <c r="AF37" s="33"/>
      <c r="AG37" s="32"/>
      <c r="AH37" s="34">
        <f t="shared" ref="AH37" si="185">+AB37/H37</f>
        <v>8.4667737548203656E-2</v>
      </c>
      <c r="AI37" s="1"/>
      <c r="AJ37" s="104">
        <f t="shared" ref="AJ37" si="186">+AL37-AL36</f>
        <v>174117</v>
      </c>
      <c r="AK37" s="105"/>
      <c r="AL37" s="105">
        <v>3572257</v>
      </c>
      <c r="AM37" s="105"/>
      <c r="AN37" s="105">
        <f t="shared" ref="AN37" si="187">+D37</f>
        <v>32165</v>
      </c>
      <c r="AO37" s="105"/>
      <c r="AP37" s="105"/>
      <c r="AQ37" s="105"/>
      <c r="AR37" s="105"/>
      <c r="AS37" s="105"/>
      <c r="AT37" s="105">
        <f t="shared" ref="AT37" si="188">+AT36+AN37</f>
        <v>462548</v>
      </c>
      <c r="AU37" s="105"/>
      <c r="AV37" s="116">
        <f t="shared" si="132"/>
        <v>0.12948340502936939</v>
      </c>
      <c r="AW37" s="105"/>
      <c r="AX37" s="133"/>
      <c r="AY37" s="105"/>
      <c r="AZ37" s="1"/>
      <c r="BA37" s="41">
        <v>230597</v>
      </c>
      <c r="BB37" s="8"/>
      <c r="BC37" s="8">
        <f>78467+16809</f>
        <v>95276</v>
      </c>
      <c r="BD37" s="194"/>
      <c r="BE37" s="8">
        <f t="shared" ref="BE37" si="189">SUM(BA37:BC37)</f>
        <v>325873</v>
      </c>
      <c r="BF37" s="7"/>
      <c r="BG37" s="48">
        <f t="shared" ref="BG37" si="190">+BE37/H37</f>
        <v>0.45597305632202567</v>
      </c>
      <c r="BH37" s="48"/>
      <c r="BI37" s="48"/>
      <c r="BJ37" s="7"/>
      <c r="BK37" s="8">
        <f>17131+3840+1036</f>
        <v>22007</v>
      </c>
      <c r="BL37" s="7"/>
      <c r="BM37" s="42">
        <f t="shared" ref="BM37" si="191">+BK37/R37</f>
        <v>0.58741725389707455</v>
      </c>
      <c r="BO37">
        <f t="shared" si="7"/>
        <v>29</v>
      </c>
    </row>
    <row r="38" spans="2:67" x14ac:dyDescent="0.3">
      <c r="B38" s="262">
        <f t="shared" si="3"/>
        <v>43939</v>
      </c>
      <c r="C38" s="263"/>
      <c r="D38" s="266">
        <v>29057</v>
      </c>
      <c r="E38" s="265"/>
      <c r="F38" s="265"/>
      <c r="G38" s="265"/>
      <c r="H38" s="265">
        <f t="shared" ref="H38" si="192">+H37+D38</f>
        <v>743733</v>
      </c>
      <c r="I38" s="265"/>
      <c r="J38" s="267">
        <f t="shared" ref="J38:J39" si="193">+D38/H37</f>
        <v>4.0657584695722254E-2</v>
      </c>
      <c r="K38" s="265"/>
      <c r="L38" s="268"/>
      <c r="M38" s="265"/>
      <c r="N38" s="266">
        <v>1867</v>
      </c>
      <c r="O38" s="265"/>
      <c r="P38" s="265"/>
      <c r="Q38" s="265"/>
      <c r="R38" s="265">
        <f t="shared" ref="R38:R39" si="194">+R37+N38</f>
        <v>39331</v>
      </c>
      <c r="S38" s="265"/>
      <c r="T38" s="267">
        <f t="shared" ref="T38:T39" si="195">+R38/H38</f>
        <v>5.2883225566164205E-2</v>
      </c>
      <c r="U38" s="265"/>
      <c r="V38" s="268"/>
      <c r="W38" s="265"/>
      <c r="X38" s="266">
        <f t="shared" ref="X38:X39" si="196">+AB38-AB37</f>
        <v>7759</v>
      </c>
      <c r="Y38" s="265"/>
      <c r="Z38" s="265"/>
      <c r="AA38" s="265"/>
      <c r="AB38" s="265">
        <v>68269</v>
      </c>
      <c r="AC38" s="265"/>
      <c r="AD38" s="267">
        <f t="shared" ref="AD38:AD39" si="197">+X38/AB37</f>
        <v>0.12822673938192033</v>
      </c>
      <c r="AE38" s="267"/>
      <c r="AF38" s="267"/>
      <c r="AG38" s="265"/>
      <c r="AH38" s="269">
        <f t="shared" ref="AH38:AH39" si="198">+AB38/H38</f>
        <v>9.1792350211702317E-2</v>
      </c>
      <c r="AI38" s="265"/>
      <c r="AJ38" s="266">
        <f t="shared" ref="AJ38:AJ39" si="199">+AL38-AL37</f>
        <v>149888</v>
      </c>
      <c r="AK38" s="265"/>
      <c r="AL38" s="265">
        <v>3722145</v>
      </c>
      <c r="AM38" s="265"/>
      <c r="AN38" s="265">
        <f t="shared" ref="AN38:AN39" si="200">+D38</f>
        <v>29057</v>
      </c>
      <c r="AO38" s="265"/>
      <c r="AP38" s="265"/>
      <c r="AQ38" s="265"/>
      <c r="AR38" s="265"/>
      <c r="AS38" s="265"/>
      <c r="AT38" s="265">
        <f t="shared" ref="AT38:AT39" si="201">+AT37+AN38</f>
        <v>491605</v>
      </c>
      <c r="AU38" s="265"/>
      <c r="AV38" s="267">
        <f t="shared" ref="AV38:AV39" si="202">+AT38/AL38</f>
        <v>0.13207572515310392</v>
      </c>
      <c r="AW38" s="265"/>
      <c r="AX38" s="270"/>
      <c r="AY38" s="265"/>
      <c r="AZ38" s="265"/>
      <c r="BA38" s="266">
        <v>238767</v>
      </c>
      <c r="BB38" s="265"/>
      <c r="BC38" s="265">
        <f>81420+17550</f>
        <v>98970</v>
      </c>
      <c r="BD38" s="271"/>
      <c r="BE38" s="265">
        <f t="shared" ref="BE38:BE39" si="203">SUM(BA38:BC38)</f>
        <v>337737</v>
      </c>
      <c r="BF38" s="263"/>
      <c r="BG38" s="267">
        <f t="shared" ref="BG38:BG39" si="204">+BE38/H38</f>
        <v>0.45411054773688947</v>
      </c>
      <c r="BH38" s="267"/>
      <c r="BI38" s="267"/>
      <c r="BJ38" s="263"/>
      <c r="BK38" s="265">
        <f>17671+4070+1086</f>
        <v>22827</v>
      </c>
      <c r="BL38" s="263"/>
      <c r="BM38" s="269">
        <f t="shared" ref="BM38:BM39" si="205">+BK38/R38</f>
        <v>0.58038188706109684</v>
      </c>
      <c r="BN38" s="263"/>
      <c r="BO38" s="264">
        <f t="shared" si="7"/>
        <v>30</v>
      </c>
    </row>
    <row r="39" spans="2:67" x14ac:dyDescent="0.3">
      <c r="B39" s="62">
        <f t="shared" si="3"/>
        <v>43940</v>
      </c>
      <c r="C39" s="99"/>
      <c r="D39" s="24">
        <v>26183</v>
      </c>
      <c r="E39" s="23"/>
      <c r="F39" s="23"/>
      <c r="G39" s="23"/>
      <c r="H39" s="23">
        <f>+H38+D39</f>
        <v>769916</v>
      </c>
      <c r="I39" s="23"/>
      <c r="J39" s="64">
        <f t="shared" si="193"/>
        <v>3.5204838295463559E-2</v>
      </c>
      <c r="K39" s="23"/>
      <c r="L39" s="67"/>
      <c r="M39" s="1"/>
      <c r="N39" s="58">
        <v>1570</v>
      </c>
      <c r="O39" s="57"/>
      <c r="P39" s="57"/>
      <c r="Q39" s="57"/>
      <c r="R39" s="57">
        <f t="shared" si="194"/>
        <v>40901</v>
      </c>
      <c r="S39" s="57"/>
      <c r="T39" s="73">
        <f t="shared" si="195"/>
        <v>5.312397716114485E-2</v>
      </c>
      <c r="U39" s="74"/>
      <c r="V39" s="84"/>
      <c r="W39" s="1"/>
      <c r="X39" s="31">
        <f t="shared" si="196"/>
        <v>2734</v>
      </c>
      <c r="Y39" s="32"/>
      <c r="Z39" s="32"/>
      <c r="AA39" s="32"/>
      <c r="AB39" s="32">
        <v>71003</v>
      </c>
      <c r="AC39" s="32"/>
      <c r="AD39" s="33">
        <f t="shared" si="197"/>
        <v>4.004745931535543E-2</v>
      </c>
      <c r="AE39" s="33"/>
      <c r="AF39" s="33"/>
      <c r="AG39" s="32"/>
      <c r="AH39" s="34">
        <f t="shared" si="198"/>
        <v>9.2221748866110065E-2</v>
      </c>
      <c r="AI39" s="1"/>
      <c r="AJ39" s="104">
        <f t="shared" si="199"/>
        <v>139404</v>
      </c>
      <c r="AK39" s="105"/>
      <c r="AL39" s="105">
        <v>3861549</v>
      </c>
      <c r="AM39" s="105"/>
      <c r="AN39" s="105">
        <f t="shared" si="200"/>
        <v>26183</v>
      </c>
      <c r="AO39" s="105"/>
      <c r="AP39" s="294">
        <f>+AN39/AJ39</f>
        <v>0.18782100944018823</v>
      </c>
      <c r="AQ39" s="105"/>
      <c r="AR39" s="105"/>
      <c r="AS39" s="105"/>
      <c r="AT39" s="105">
        <f t="shared" si="201"/>
        <v>517788</v>
      </c>
      <c r="AU39" s="105"/>
      <c r="AV39" s="116">
        <f t="shared" si="202"/>
        <v>0.13408815995860729</v>
      </c>
      <c r="AW39" s="105"/>
      <c r="AX39" s="133"/>
      <c r="AY39" s="105"/>
      <c r="AZ39" s="1"/>
      <c r="BA39" s="41">
        <v>242570</v>
      </c>
      <c r="BB39" s="8"/>
      <c r="BC39" s="8">
        <f>85301+17550</f>
        <v>102851</v>
      </c>
      <c r="BD39" s="194"/>
      <c r="BE39" s="8">
        <f t="shared" si="203"/>
        <v>345421</v>
      </c>
      <c r="BF39" s="7"/>
      <c r="BG39" s="48">
        <f t="shared" si="204"/>
        <v>0.44864764467812074</v>
      </c>
      <c r="BH39" s="48"/>
      <c r="BI39" s="48"/>
      <c r="BJ39" s="7"/>
      <c r="BK39" s="8">
        <f>17428+4362+1086</f>
        <v>22876</v>
      </c>
      <c r="BL39" s="7"/>
      <c r="BM39" s="42">
        <f t="shared" si="205"/>
        <v>0.55930172856409377</v>
      </c>
      <c r="BO39">
        <f t="shared" si="7"/>
        <v>31</v>
      </c>
    </row>
    <row r="40" spans="2:67" x14ac:dyDescent="0.3">
      <c r="B40" s="62">
        <f t="shared" si="3"/>
        <v>43941</v>
      </c>
      <c r="C40" s="99"/>
      <c r="D40" s="24">
        <v>28143</v>
      </c>
      <c r="E40" s="23"/>
      <c r="F40" s="23"/>
      <c r="G40" s="23"/>
      <c r="H40" s="23">
        <f t="shared" ref="H40" si="206">+H39+D40</f>
        <v>798059</v>
      </c>
      <c r="I40" s="23"/>
      <c r="J40" s="64">
        <f t="shared" ref="J40" si="207">+D40/H39</f>
        <v>3.6553338286254601E-2</v>
      </c>
      <c r="K40" s="23"/>
      <c r="L40" s="67"/>
      <c r="M40" s="1"/>
      <c r="N40" s="58">
        <v>1952</v>
      </c>
      <c r="O40" s="57"/>
      <c r="P40" s="57"/>
      <c r="Q40" s="57"/>
      <c r="R40" s="57">
        <f t="shared" ref="R40" si="208">+R39+N40</f>
        <v>42853</v>
      </c>
      <c r="S40" s="57"/>
      <c r="T40" s="73">
        <f t="shared" ref="T40" si="209">+R40/H40</f>
        <v>5.369653120884546E-2</v>
      </c>
      <c r="U40" s="74"/>
      <c r="V40" s="84"/>
      <c r="W40" s="1"/>
      <c r="X40" s="31">
        <f t="shared" ref="X40" si="210">+AB40-AB39</f>
        <v>1386</v>
      </c>
      <c r="Y40" s="32"/>
      <c r="Z40" s="32"/>
      <c r="AA40" s="32"/>
      <c r="AB40" s="32">
        <v>72389</v>
      </c>
      <c r="AC40" s="32"/>
      <c r="AD40" s="33">
        <f t="shared" ref="AD40" si="211">+X40/AB39</f>
        <v>1.9520301959072152E-2</v>
      </c>
      <c r="AE40" s="33"/>
      <c r="AF40" s="33"/>
      <c r="AG40" s="32"/>
      <c r="AH40" s="34">
        <f t="shared" ref="AH40" si="212">+AB40/H40</f>
        <v>9.0706326224000988E-2</v>
      </c>
      <c r="AI40" s="1"/>
      <c r="AJ40" s="104">
        <f t="shared" ref="AJ40" si="213">+AL40-AL39</f>
        <v>164811</v>
      </c>
      <c r="AK40" s="105"/>
      <c r="AL40" s="105">
        <v>4026360</v>
      </c>
      <c r="AM40" s="105"/>
      <c r="AN40" s="105">
        <f t="shared" ref="AN40" si="214">+D40</f>
        <v>28143</v>
      </c>
      <c r="AO40" s="105"/>
      <c r="AP40" s="294">
        <f t="shared" ref="AP40:AP43" si="215">+AN40/AJ40</f>
        <v>0.17075923330360232</v>
      </c>
      <c r="AQ40" s="105"/>
      <c r="AR40" s="105"/>
      <c r="AS40" s="105"/>
      <c r="AT40" s="105">
        <f t="shared" ref="AT40" si="216">+AT39+AN40</f>
        <v>545931</v>
      </c>
      <c r="AU40" s="105"/>
      <c r="AV40" s="116">
        <f t="shared" ref="AV40" si="217">+AT40/AL40</f>
        <v>0.13558921705957738</v>
      </c>
      <c r="AW40" s="105"/>
      <c r="AX40" s="133"/>
      <c r="AY40" s="105"/>
      <c r="AZ40" s="1"/>
      <c r="BA40" s="41">
        <v>253060</v>
      </c>
      <c r="BB40" s="8"/>
      <c r="BC40" s="8">
        <f>88722+19815</f>
        <v>108537</v>
      </c>
      <c r="BD40" s="194"/>
      <c r="BE40" s="8">
        <f t="shared" ref="BE40" si="218">SUM(BA40:BC40)</f>
        <v>361597</v>
      </c>
      <c r="BF40" s="7"/>
      <c r="BG40" s="48">
        <f t="shared" ref="BG40" si="219">+BE40/H40</f>
        <v>0.45309557313431714</v>
      </c>
      <c r="BH40" s="48"/>
      <c r="BI40" s="48"/>
      <c r="BJ40" s="7"/>
      <c r="BK40" s="8">
        <f>18611+4496+1331</f>
        <v>24438</v>
      </c>
      <c r="BL40" s="7"/>
      <c r="BM40" s="42">
        <f t="shared" ref="BM40" si="220">+BK40/R40</f>
        <v>0.57027512659557089</v>
      </c>
      <c r="BO40">
        <f t="shared" si="7"/>
        <v>32</v>
      </c>
    </row>
    <row r="41" spans="2:67" x14ac:dyDescent="0.3">
      <c r="B41" s="62">
        <f t="shared" si="3"/>
        <v>43942</v>
      </c>
      <c r="C41" s="99"/>
      <c r="D41" s="24">
        <v>26105</v>
      </c>
      <c r="E41" s="23"/>
      <c r="F41" s="23"/>
      <c r="G41" s="23"/>
      <c r="H41" s="23">
        <f t="shared" ref="H41" si="221">+H40+D41</f>
        <v>824164</v>
      </c>
      <c r="I41" s="23"/>
      <c r="J41" s="64">
        <f t="shared" ref="J41" si="222">+D41/H40</f>
        <v>3.2710614127526912E-2</v>
      </c>
      <c r="K41" s="23"/>
      <c r="L41" s="67"/>
      <c r="M41" s="1"/>
      <c r="N41" s="58">
        <v>2683</v>
      </c>
      <c r="O41" s="57"/>
      <c r="P41" s="57"/>
      <c r="Q41" s="57"/>
      <c r="R41" s="57">
        <f t="shared" ref="R41" si="223">+R40+N41</f>
        <v>45536</v>
      </c>
      <c r="S41" s="57"/>
      <c r="T41" s="73">
        <f t="shared" ref="T41" si="224">+R41/H41</f>
        <v>5.5251139336345678E-2</v>
      </c>
      <c r="U41" s="74"/>
      <c r="V41" s="84"/>
      <c r="W41" s="1"/>
      <c r="X41" s="31">
        <f t="shared" ref="X41" si="225">+AB41-AB40</f>
        <v>10534</v>
      </c>
      <c r="Y41" s="32"/>
      <c r="Z41" s="32"/>
      <c r="AA41" s="32"/>
      <c r="AB41" s="32">
        <v>82923</v>
      </c>
      <c r="AC41" s="32"/>
      <c r="AD41" s="33">
        <f t="shared" ref="AD41" si="226">+X41/AB40</f>
        <v>0.14551934686209231</v>
      </c>
      <c r="AE41" s="33"/>
      <c r="AF41" s="33"/>
      <c r="AG41" s="32"/>
      <c r="AH41" s="34">
        <f t="shared" ref="AH41" si="227">+AB41/H41</f>
        <v>0.10061468348532573</v>
      </c>
      <c r="AI41" s="1"/>
      <c r="AJ41" s="104">
        <f t="shared" ref="AJ41" si="228">+AL41-AL40</f>
        <v>161032</v>
      </c>
      <c r="AK41" s="105"/>
      <c r="AL41" s="105">
        <v>4187392</v>
      </c>
      <c r="AM41" s="105"/>
      <c r="AN41" s="105">
        <f t="shared" ref="AN41" si="229">+D41</f>
        <v>26105</v>
      </c>
      <c r="AO41" s="105"/>
      <c r="AP41" s="294">
        <f t="shared" si="215"/>
        <v>0.16211063639525064</v>
      </c>
      <c r="AQ41" s="105"/>
      <c r="AR41" s="105"/>
      <c r="AS41" s="105"/>
      <c r="AT41" s="105">
        <f t="shared" ref="AT41" si="230">+AT40+AN41</f>
        <v>572036</v>
      </c>
      <c r="AU41" s="105"/>
      <c r="AV41" s="116">
        <f t="shared" ref="AV41" si="231">+AT41/AL41</f>
        <v>0.13660913523262211</v>
      </c>
      <c r="AW41" s="105"/>
      <c r="AX41" s="133"/>
      <c r="AY41" s="105"/>
      <c r="AZ41" s="1"/>
      <c r="BA41" s="41">
        <v>258361</v>
      </c>
      <c r="BB41" s="8"/>
      <c r="BC41" s="8">
        <f>92387+20360</f>
        <v>112747</v>
      </c>
      <c r="BD41" s="194"/>
      <c r="BE41" s="8">
        <f t="shared" ref="BE41" si="232">SUM(BA41:BC41)</f>
        <v>371108</v>
      </c>
      <c r="BF41" s="7"/>
      <c r="BG41" s="48">
        <f t="shared" ref="BG41" si="233">+BE41/H41</f>
        <v>0.45028416674351224</v>
      </c>
      <c r="BH41" s="48"/>
      <c r="BI41" s="48"/>
      <c r="BJ41" s="7"/>
      <c r="BK41" s="8">
        <f>18821+4520+1423</f>
        <v>24764</v>
      </c>
      <c r="BL41" s="7"/>
      <c r="BM41" s="42">
        <f t="shared" ref="BM41" si="234">+BK41/R41</f>
        <v>0.54383345045678144</v>
      </c>
      <c r="BO41">
        <f t="shared" si="7"/>
        <v>33</v>
      </c>
    </row>
    <row r="42" spans="2:67" x14ac:dyDescent="0.3">
      <c r="B42" s="62">
        <f t="shared" si="3"/>
        <v>43943</v>
      </c>
      <c r="C42" s="99"/>
      <c r="D42" s="24">
        <v>30210</v>
      </c>
      <c r="E42" s="23"/>
      <c r="F42" s="23"/>
      <c r="G42" s="23"/>
      <c r="H42" s="23">
        <f t="shared" ref="H42" si="235">+H41+D42</f>
        <v>854374</v>
      </c>
      <c r="I42" s="23"/>
      <c r="J42" s="64">
        <f t="shared" ref="J42" si="236">+D42/H41</f>
        <v>3.6655325881741981E-2</v>
      </c>
      <c r="K42" s="23"/>
      <c r="L42" s="67"/>
      <c r="M42" s="1"/>
      <c r="N42" s="58">
        <v>2358</v>
      </c>
      <c r="O42" s="57"/>
      <c r="P42" s="57"/>
      <c r="Q42" s="57"/>
      <c r="R42" s="57">
        <f t="shared" ref="R42" si="237">+R41+N42</f>
        <v>47894</v>
      </c>
      <c r="S42" s="57"/>
      <c r="T42" s="73">
        <f t="shared" ref="T42" si="238">+R42/H42</f>
        <v>5.6057417477591784E-2</v>
      </c>
      <c r="U42" s="74"/>
      <c r="V42" s="84"/>
      <c r="W42" s="1"/>
      <c r="X42" s="31">
        <f t="shared" ref="X42" si="239">+AB42-AB41</f>
        <v>1127</v>
      </c>
      <c r="Y42" s="32"/>
      <c r="Z42" s="32"/>
      <c r="AA42" s="32"/>
      <c r="AB42" s="32">
        <v>84050</v>
      </c>
      <c r="AC42" s="32"/>
      <c r="AD42" s="33">
        <f t="shared" ref="AD42" si="240">+X42/AB41</f>
        <v>1.3590921698443134E-2</v>
      </c>
      <c r="AE42" s="33"/>
      <c r="AF42" s="33"/>
      <c r="AG42" s="32"/>
      <c r="AH42" s="34">
        <f t="shared" ref="AH42" si="241">+AB42/H42</f>
        <v>9.8376120996191363E-2</v>
      </c>
      <c r="AI42" s="1"/>
      <c r="AJ42" s="104">
        <f t="shared" ref="AJ42" si="242">+AL42-AL41</f>
        <v>137950</v>
      </c>
      <c r="AK42" s="105"/>
      <c r="AL42" s="105">
        <v>4325342</v>
      </c>
      <c r="AM42" s="105"/>
      <c r="AN42" s="105">
        <f t="shared" ref="AN42" si="243">+D42</f>
        <v>30210</v>
      </c>
      <c r="AO42" s="105"/>
      <c r="AP42" s="294">
        <f t="shared" si="215"/>
        <v>0.21899238854657485</v>
      </c>
      <c r="AQ42" s="105"/>
      <c r="AR42" s="105"/>
      <c r="AS42" s="105"/>
      <c r="AT42" s="105">
        <f t="shared" ref="AT42" si="244">+AT41+AN42</f>
        <v>602246</v>
      </c>
      <c r="AU42" s="105"/>
      <c r="AV42" s="116">
        <f t="shared" ref="AV42" si="245">+AT42/AL42</f>
        <v>0.13923661990196382</v>
      </c>
      <c r="AW42" s="105"/>
      <c r="AX42" s="133"/>
      <c r="AY42" s="105"/>
      <c r="AZ42" s="1"/>
      <c r="BA42" s="41">
        <v>263292</v>
      </c>
      <c r="BB42" s="8"/>
      <c r="BC42" s="8">
        <f>95418+22469</f>
        <v>117887</v>
      </c>
      <c r="BD42" s="194"/>
      <c r="BE42" s="8">
        <f t="shared" ref="BE42" si="246">SUM(BA42:BC42)</f>
        <v>381179</v>
      </c>
      <c r="BF42" s="7"/>
      <c r="BG42" s="48">
        <f t="shared" ref="BG42" si="247">+BE42/H42</f>
        <v>0.44615004670085934</v>
      </c>
      <c r="BH42" s="48"/>
      <c r="BI42" s="48"/>
      <c r="BJ42" s="7"/>
      <c r="BK42" s="8">
        <f>19413+5129+1544</f>
        <v>26086</v>
      </c>
      <c r="BL42" s="7"/>
      <c r="BM42" s="42">
        <f t="shared" ref="BM42" si="248">+BK42/R42</f>
        <v>0.54466112665469579</v>
      </c>
      <c r="BO42">
        <f t="shared" si="7"/>
        <v>34</v>
      </c>
    </row>
    <row r="43" spans="2:67" x14ac:dyDescent="0.3">
      <c r="B43" s="62">
        <f t="shared" si="3"/>
        <v>43944</v>
      </c>
      <c r="C43" s="99"/>
      <c r="D43" s="24">
        <v>31900</v>
      </c>
      <c r="E43" s="23"/>
      <c r="F43" s="23"/>
      <c r="G43" s="23"/>
      <c r="H43" s="23">
        <f t="shared" ref="H43" si="249">+H42+D43</f>
        <v>886274</v>
      </c>
      <c r="I43" s="23"/>
      <c r="J43" s="64">
        <f t="shared" ref="J43" si="250">+D43/H42</f>
        <v>3.7337278522052403E-2</v>
      </c>
      <c r="K43" s="23"/>
      <c r="L43" s="67"/>
      <c r="M43" s="1"/>
      <c r="N43" s="58">
        <v>2340</v>
      </c>
      <c r="O43" s="57"/>
      <c r="P43" s="57"/>
      <c r="Q43" s="57"/>
      <c r="R43" s="57">
        <f t="shared" ref="R43" si="251">+R42+N43</f>
        <v>50234</v>
      </c>
      <c r="S43" s="57"/>
      <c r="T43" s="73">
        <f t="shared" ref="T43" si="252">+R43/H43</f>
        <v>5.6679988355745517E-2</v>
      </c>
      <c r="U43" s="74"/>
      <c r="V43" s="84"/>
      <c r="W43" s="1"/>
      <c r="X43" s="31">
        <f t="shared" ref="X43" si="253">+AB43-AB42</f>
        <v>1872</v>
      </c>
      <c r="Y43" s="32"/>
      <c r="Z43" s="32"/>
      <c r="AA43" s="32"/>
      <c r="AB43" s="32">
        <v>85922</v>
      </c>
      <c r="AC43" s="32"/>
      <c r="AD43" s="33">
        <f t="shared" ref="AD43" si="254">+X43/AB42</f>
        <v>2.2272456870910173E-2</v>
      </c>
      <c r="AE43" s="33"/>
      <c r="AF43" s="33"/>
      <c r="AG43" s="32"/>
      <c r="AH43" s="34">
        <f t="shared" ref="AH43" si="255">+AB43/H43</f>
        <v>9.6947445146760486E-2</v>
      </c>
      <c r="AI43" s="1"/>
      <c r="AJ43" s="104">
        <f t="shared" ref="AJ43" si="256">+AL43-AL42</f>
        <v>371362</v>
      </c>
      <c r="AK43" s="105"/>
      <c r="AL43" s="105">
        <v>4696704</v>
      </c>
      <c r="AM43" s="105"/>
      <c r="AN43" s="105">
        <f t="shared" ref="AN43" si="257">+D43</f>
        <v>31900</v>
      </c>
      <c r="AO43" s="105"/>
      <c r="AP43" s="294">
        <f t="shared" si="215"/>
        <v>8.590001130971936E-2</v>
      </c>
      <c r="AQ43" s="105"/>
      <c r="AR43" s="105"/>
      <c r="AS43" s="105"/>
      <c r="AT43" s="105">
        <f t="shared" ref="AT43" si="258">+AT42+AN43</f>
        <v>634146</v>
      </c>
      <c r="AU43" s="105"/>
      <c r="AV43" s="116">
        <f t="shared" ref="AV43" si="259">+AT43/AL43</f>
        <v>0.13501936677295398</v>
      </c>
      <c r="AW43" s="105"/>
      <c r="AX43" s="133"/>
      <c r="AY43" s="105"/>
      <c r="AZ43" s="1"/>
      <c r="BA43" s="41">
        <v>271145</v>
      </c>
      <c r="BB43" s="8"/>
      <c r="BC43" s="8">
        <f>99989+23128</f>
        <v>123117</v>
      </c>
      <c r="BD43" s="194"/>
      <c r="BE43" s="8">
        <f t="shared" ref="BE43" si="260">SUM(BA43:BC43)</f>
        <v>394262</v>
      </c>
      <c r="BF43" s="7"/>
      <c r="BG43" s="48">
        <f t="shared" ref="BG43" si="261">+BE43/H43</f>
        <v>0.44485339748204278</v>
      </c>
      <c r="BH43" s="48"/>
      <c r="BI43" s="48"/>
      <c r="BJ43" s="7"/>
      <c r="BK43" s="8">
        <f>20971+5426+1637</f>
        <v>28034</v>
      </c>
      <c r="BL43" s="7"/>
      <c r="BM43" s="42">
        <f t="shared" ref="BM43" si="262">+BK43/R43</f>
        <v>0.55806824063383365</v>
      </c>
      <c r="BO43">
        <f t="shared" si="7"/>
        <v>35</v>
      </c>
    </row>
    <row r="44" spans="2:67" x14ac:dyDescent="0.3">
      <c r="B44" s="62">
        <f t="shared" si="3"/>
        <v>43945</v>
      </c>
      <c r="C44" s="99"/>
      <c r="D44" s="24">
        <v>38764</v>
      </c>
      <c r="E44" s="23"/>
      <c r="F44" s="23"/>
      <c r="G44" s="23"/>
      <c r="H44" s="23">
        <f t="shared" ref="H44" si="263">+H43+D44</f>
        <v>925038</v>
      </c>
      <c r="I44" s="23"/>
      <c r="J44" s="64">
        <f t="shared" ref="J44" si="264">+D44/H43</f>
        <v>4.3738166752042819E-2</v>
      </c>
      <c r="K44" s="23"/>
      <c r="L44" s="67"/>
      <c r="M44" s="1"/>
      <c r="N44" s="58">
        <v>1951</v>
      </c>
      <c r="O44" s="57"/>
      <c r="P44" s="57"/>
      <c r="Q44" s="57"/>
      <c r="R44" s="57">
        <f t="shared" ref="R44" si="265">+R43+N44</f>
        <v>52185</v>
      </c>
      <c r="S44" s="57"/>
      <c r="T44" s="73">
        <f t="shared" ref="T44" si="266">+R44/H44</f>
        <v>5.6413898672270764E-2</v>
      </c>
      <c r="U44" s="74"/>
      <c r="V44" s="84"/>
      <c r="W44" s="1"/>
      <c r="X44" s="31">
        <f t="shared" ref="X44" si="267">+AB44-AB43</f>
        <v>24510</v>
      </c>
      <c r="Y44" s="32"/>
      <c r="Z44" s="32"/>
      <c r="AA44" s="32"/>
      <c r="AB44" s="32">
        <v>110432</v>
      </c>
      <c r="AC44" s="32"/>
      <c r="AD44" s="33">
        <f>+X44/AB43</f>
        <v>0.28525872302786248</v>
      </c>
      <c r="AE44" s="33"/>
      <c r="AF44" s="33"/>
      <c r="AG44" s="32"/>
      <c r="AH44" s="34">
        <f t="shared" ref="AH44" si="268">+AB44/H44</f>
        <v>0.11938104164369463</v>
      </c>
      <c r="AI44" s="1"/>
      <c r="AJ44" s="104">
        <f t="shared" ref="AJ44" si="269">+AL44-AL43</f>
        <v>318898</v>
      </c>
      <c r="AK44" s="105"/>
      <c r="AL44" s="105">
        <v>5015602</v>
      </c>
      <c r="AM44" s="105"/>
      <c r="AN44" s="105">
        <f t="shared" ref="AN44" si="270">+D44</f>
        <v>38764</v>
      </c>
      <c r="AO44" s="105"/>
      <c r="AP44" s="294">
        <f t="shared" ref="AP44" si="271">+AN44/AJ44</f>
        <v>0.12155610884985167</v>
      </c>
      <c r="AQ44" s="105"/>
      <c r="AR44" s="105"/>
      <c r="AS44" s="105"/>
      <c r="AT44" s="105">
        <f t="shared" ref="AT44" si="272">+AT43+AN44</f>
        <v>672910</v>
      </c>
      <c r="AU44" s="105"/>
      <c r="AV44" s="116">
        <f t="shared" ref="AV44" si="273">+AT44/AL44</f>
        <v>0.13416335666187229</v>
      </c>
      <c r="AW44" s="105"/>
      <c r="AX44" s="133"/>
      <c r="AY44" s="105"/>
      <c r="AZ44" s="1"/>
      <c r="BA44" s="41">
        <v>271590</v>
      </c>
      <c r="BB44" s="8"/>
      <c r="BC44" s="8">
        <f>100025+23936</f>
        <v>123961</v>
      </c>
      <c r="BD44" s="194"/>
      <c r="BE44" s="8">
        <f t="shared" ref="BE44" si="274">SUM(BA44:BC44)</f>
        <v>395551</v>
      </c>
      <c r="BF44" s="7"/>
      <c r="BG44" s="48">
        <f t="shared" ref="BG44" si="275">+BE44/H44</f>
        <v>0.42760513622143093</v>
      </c>
      <c r="BH44" s="48"/>
      <c r="BI44" s="48"/>
      <c r="BJ44" s="7"/>
      <c r="BK44" s="8">
        <f>21349+5426+1767</f>
        <v>28542</v>
      </c>
      <c r="BL44" s="7"/>
      <c r="BM44" s="42">
        <f t="shared" ref="BM44" si="276">+BK44/R44</f>
        <v>0.54693877551020409</v>
      </c>
      <c r="BO44">
        <f t="shared" si="7"/>
        <v>36</v>
      </c>
    </row>
    <row r="45" spans="2:67" x14ac:dyDescent="0.3">
      <c r="B45" s="62">
        <f t="shared" si="3"/>
        <v>43946</v>
      </c>
      <c r="C45" s="99"/>
      <c r="D45" s="24">
        <v>35419</v>
      </c>
      <c r="E45" s="23"/>
      <c r="F45" s="23"/>
      <c r="G45" s="23"/>
      <c r="H45" s="23">
        <f>+H44+D45+194</f>
        <v>960651</v>
      </c>
      <c r="I45" s="23"/>
      <c r="J45" s="64">
        <f t="shared" ref="J45" si="277">+D45/H44</f>
        <v>3.8289237847526261E-2</v>
      </c>
      <c r="K45" s="23"/>
      <c r="L45" s="67"/>
      <c r="M45" s="1"/>
      <c r="N45" s="58">
        <v>2065</v>
      </c>
      <c r="O45" s="57"/>
      <c r="P45" s="57"/>
      <c r="Q45" s="57"/>
      <c r="R45" s="57">
        <f t="shared" ref="R45" si="278">+R44+N45</f>
        <v>54250</v>
      </c>
      <c r="S45" s="57"/>
      <c r="T45" s="73">
        <f t="shared" ref="T45" si="279">+R45/H45</f>
        <v>5.6472121509268197E-2</v>
      </c>
      <c r="U45" s="74"/>
      <c r="V45" s="84"/>
      <c r="W45" s="1"/>
      <c r="X45" s="31">
        <f t="shared" ref="X45" si="280">+AB45-AB44</f>
        <v>7730</v>
      </c>
      <c r="Y45" s="32"/>
      <c r="Z45" s="32"/>
      <c r="AA45" s="32"/>
      <c r="AB45" s="32">
        <v>118162</v>
      </c>
      <c r="AC45" s="32"/>
      <c r="AD45" s="33">
        <f>+X45/AB44</f>
        <v>6.9997826716893655E-2</v>
      </c>
      <c r="AE45" s="33"/>
      <c r="AF45" s="33"/>
      <c r="AG45" s="32"/>
      <c r="AH45" s="34">
        <f t="shared" ref="AH45" si="281">+AB45/H45</f>
        <v>0.12300200593139445</v>
      </c>
      <c r="AI45" s="1"/>
      <c r="AJ45" s="104">
        <f t="shared" ref="AJ45" si="282">+AL45-AL44</f>
        <v>263635</v>
      </c>
      <c r="AK45" s="105"/>
      <c r="AL45" s="105">
        <v>5279237</v>
      </c>
      <c r="AM45" s="105"/>
      <c r="AN45" s="105">
        <f t="shared" ref="AN45" si="283">+D45</f>
        <v>35419</v>
      </c>
      <c r="AO45" s="105"/>
      <c r="AP45" s="294">
        <f t="shared" ref="AP45" si="284">+AN45/AJ45</f>
        <v>0.13434862594116867</v>
      </c>
      <c r="AQ45" s="105"/>
      <c r="AR45" s="105"/>
      <c r="AS45" s="105"/>
      <c r="AT45" s="105">
        <f t="shared" ref="AT45" si="285">+AT44+AN45</f>
        <v>708329</v>
      </c>
      <c r="AU45" s="105"/>
      <c r="AV45" s="116">
        <f t="shared" ref="AV45" si="286">+AT45/AL45</f>
        <v>0.13417260865537955</v>
      </c>
      <c r="AW45" s="105"/>
      <c r="AX45" s="133"/>
      <c r="AY45" s="105"/>
      <c r="AZ45" s="1"/>
      <c r="BA45" s="41">
        <v>282143</v>
      </c>
      <c r="BB45" s="8"/>
      <c r="BC45" s="8">
        <f>105498+24583</f>
        <v>130081</v>
      </c>
      <c r="BD45" s="194"/>
      <c r="BE45" s="8">
        <f t="shared" ref="BE45" si="287">SUM(BA45:BC45)</f>
        <v>412224</v>
      </c>
      <c r="BF45" s="7"/>
      <c r="BG45" s="48">
        <f t="shared" ref="BG45" si="288">+BE45/H45</f>
        <v>0.42910901045228705</v>
      </c>
      <c r="BH45" s="48"/>
      <c r="BI45" s="48"/>
      <c r="BJ45" s="7"/>
      <c r="BK45" s="8">
        <f>22009+5914+1865</f>
        <v>29788</v>
      </c>
      <c r="BL45" s="7"/>
      <c r="BM45" s="42">
        <f t="shared" ref="BM45" si="289">+BK45/R45</f>
        <v>0.54908755760368666</v>
      </c>
      <c r="BO45">
        <f t="shared" si="7"/>
        <v>37</v>
      </c>
    </row>
    <row r="46" spans="2:67" x14ac:dyDescent="0.3">
      <c r="B46" s="62">
        <f t="shared" si="3"/>
        <v>43947</v>
      </c>
      <c r="C46" s="99"/>
      <c r="D46" s="24">
        <v>26509</v>
      </c>
      <c r="E46" s="23"/>
      <c r="F46" s="23"/>
      <c r="G46" s="23"/>
      <c r="H46" s="23">
        <f t="shared" ref="H46" si="290">+H45+D46</f>
        <v>987160</v>
      </c>
      <c r="I46" s="23"/>
      <c r="J46" s="64">
        <f t="shared" ref="J46" si="291">+D46/H45</f>
        <v>2.759482892330305E-2</v>
      </c>
      <c r="K46" s="23"/>
      <c r="L46" s="67"/>
      <c r="M46" s="1"/>
      <c r="N46" s="58">
        <v>1157</v>
      </c>
      <c r="O46" s="57"/>
      <c r="P46" s="57"/>
      <c r="Q46" s="57"/>
      <c r="R46" s="57">
        <f t="shared" ref="R46" si="292">+R45+N46</f>
        <v>55407</v>
      </c>
      <c r="S46" s="57"/>
      <c r="T46" s="73">
        <f t="shared" ref="T46" si="293">+R46/H46</f>
        <v>5.6127679403541471E-2</v>
      </c>
      <c r="U46" s="74"/>
      <c r="V46" s="84"/>
      <c r="W46" s="1"/>
      <c r="X46" s="31">
        <f t="shared" ref="X46" si="294">+AB46-AB45</f>
        <v>619</v>
      </c>
      <c r="Y46" s="32"/>
      <c r="Z46" s="32"/>
      <c r="AA46" s="32"/>
      <c r="AB46" s="32">
        <v>118781</v>
      </c>
      <c r="AC46" s="32"/>
      <c r="AD46" s="33">
        <f>+X46/AB45</f>
        <v>5.238570775714697E-3</v>
      </c>
      <c r="AE46" s="33"/>
      <c r="AF46" s="33"/>
      <c r="AG46" s="32"/>
      <c r="AH46" s="34">
        <f t="shared" ref="AH46" si="295">+AB46/H46</f>
        <v>0.12032598565582074</v>
      </c>
      <c r="AI46" s="1"/>
      <c r="AJ46" s="104">
        <f t="shared" ref="AJ46" si="296">+AL46-AL45</f>
        <v>191227</v>
      </c>
      <c r="AK46" s="105"/>
      <c r="AL46" s="105">
        <v>5470464</v>
      </c>
      <c r="AM46" s="105"/>
      <c r="AN46" s="105">
        <f t="shared" ref="AN46" si="297">+D46</f>
        <v>26509</v>
      </c>
      <c r="AO46" s="105"/>
      <c r="AP46" s="294">
        <f t="shared" ref="AP46" si="298">+AN46/AJ46</f>
        <v>0.13862582166744236</v>
      </c>
      <c r="AQ46" s="105"/>
      <c r="AR46" s="105"/>
      <c r="AS46" s="105"/>
      <c r="AT46" s="105">
        <f t="shared" ref="AT46" si="299">+AT45+AN46</f>
        <v>734838</v>
      </c>
      <c r="AU46" s="105"/>
      <c r="AV46" s="116">
        <f t="shared" ref="AV46" si="300">+AT46/AL46</f>
        <v>0.13432827635827602</v>
      </c>
      <c r="AW46" s="105"/>
      <c r="AX46" s="133"/>
      <c r="AY46" s="105"/>
      <c r="AZ46" s="1"/>
      <c r="BA46" s="41">
        <v>288045</v>
      </c>
      <c r="BB46" s="8"/>
      <c r="BC46" s="8">
        <f>109038+25269</f>
        <v>134307</v>
      </c>
      <c r="BD46" s="194"/>
      <c r="BE46" s="8">
        <f t="shared" ref="BE46" si="301">SUM(BA46:BC46)</f>
        <v>422352</v>
      </c>
      <c r="BF46" s="7"/>
      <c r="BG46" s="48">
        <f t="shared" ref="BG46" si="302">+BE46/H46</f>
        <v>0.42784553669111391</v>
      </c>
      <c r="BH46" s="48"/>
      <c r="BI46" s="48"/>
      <c r="BJ46" s="7"/>
      <c r="BK46" s="8">
        <f>22269+5938+1924</f>
        <v>30131</v>
      </c>
      <c r="BL46" s="7"/>
      <c r="BM46" s="42">
        <f t="shared" ref="BM46" si="303">+BK46/R46</f>
        <v>0.54381215369899105</v>
      </c>
      <c r="BO46">
        <f t="shared" si="7"/>
        <v>38</v>
      </c>
    </row>
    <row r="47" spans="2:67" x14ac:dyDescent="0.3">
      <c r="B47" s="62">
        <f t="shared" si="3"/>
        <v>43948</v>
      </c>
      <c r="C47" s="99"/>
      <c r="D47" s="24">
        <v>21880</v>
      </c>
      <c r="E47" s="23"/>
      <c r="F47" s="23"/>
      <c r="G47" s="23"/>
      <c r="H47" s="23">
        <f t="shared" ref="H47" si="304">+H46+D47</f>
        <v>1009040</v>
      </c>
      <c r="I47" s="23"/>
      <c r="J47" s="64">
        <f t="shared" ref="J47" si="305">+D47/H46</f>
        <v>2.2164593378986183E-2</v>
      </c>
      <c r="K47" s="23"/>
      <c r="L47" s="67"/>
      <c r="M47" s="1"/>
      <c r="N47" s="58">
        <v>1264</v>
      </c>
      <c r="O47" s="57"/>
      <c r="P47" s="57"/>
      <c r="Q47" s="57"/>
      <c r="R47" s="57">
        <f t="shared" ref="R47" si="306">+R46+N47</f>
        <v>56671</v>
      </c>
      <c r="S47" s="57"/>
      <c r="T47" s="73">
        <f t="shared" ref="T47" si="307">+R47/H47</f>
        <v>5.6163283913422658E-2</v>
      </c>
      <c r="U47" s="74"/>
      <c r="V47" s="84"/>
      <c r="W47" s="1"/>
      <c r="X47" s="31">
        <f t="shared" ref="X47" si="308">+AB47-AB46</f>
        <v>19024</v>
      </c>
      <c r="Y47" s="32"/>
      <c r="Z47" s="32"/>
      <c r="AA47" s="32"/>
      <c r="AB47" s="32">
        <v>137805</v>
      </c>
      <c r="AC47" s="32"/>
      <c r="AD47" s="33">
        <f>+X47/AB46</f>
        <v>0.16016029499667456</v>
      </c>
      <c r="AE47" s="33"/>
      <c r="AF47" s="33"/>
      <c r="AG47" s="32"/>
      <c r="AH47" s="34">
        <f t="shared" ref="AH47" si="309">+AB47/H47</f>
        <v>0.1365704035518909</v>
      </c>
      <c r="AI47" s="1"/>
      <c r="AJ47" s="104">
        <f t="shared" ref="AJ47" si="310">+AL47-AL46</f>
        <v>202776</v>
      </c>
      <c r="AK47" s="105"/>
      <c r="AL47" s="105">
        <v>5673240</v>
      </c>
      <c r="AM47" s="105"/>
      <c r="AN47" s="105">
        <f t="shared" ref="AN47" si="311">+D47</f>
        <v>21880</v>
      </c>
      <c r="AO47" s="105"/>
      <c r="AP47" s="294">
        <f t="shared" ref="AP47" si="312">+AN47/AJ47</f>
        <v>0.10790231585591983</v>
      </c>
      <c r="AQ47" s="105"/>
      <c r="AR47" s="105"/>
      <c r="AS47" s="105"/>
      <c r="AT47" s="105">
        <f t="shared" ref="AT47" si="313">+AT46+AN47</f>
        <v>756718</v>
      </c>
      <c r="AU47" s="105"/>
      <c r="AV47" s="116">
        <f t="shared" ref="AV47" si="314">+AT47/AL47</f>
        <v>0.1333837454435208</v>
      </c>
      <c r="AW47" s="105"/>
      <c r="AX47" s="133"/>
      <c r="AY47" s="105"/>
      <c r="AZ47" s="1"/>
      <c r="BA47" s="41">
        <v>291996</v>
      </c>
      <c r="BB47" s="8"/>
      <c r="BC47" s="8">
        <f>111188+25269</f>
        <v>136457</v>
      </c>
      <c r="BD47" s="194"/>
      <c r="BE47" s="8">
        <f t="shared" ref="BE47" si="315">SUM(BA47:BC47)</f>
        <v>428453</v>
      </c>
      <c r="BF47" s="7"/>
      <c r="BG47" s="48">
        <f t="shared" ref="BG47" si="316">+BE47/H47</f>
        <v>0.42461448505510185</v>
      </c>
      <c r="BH47" s="48"/>
      <c r="BI47" s="48"/>
      <c r="BJ47" s="7"/>
      <c r="BK47" s="8">
        <f>22668+6044+1924</f>
        <v>30636</v>
      </c>
      <c r="BL47" s="7"/>
      <c r="BM47" s="42">
        <f t="shared" ref="BM47" si="317">+BK47/R47</f>
        <v>0.54059395457994386</v>
      </c>
      <c r="BO47">
        <f t="shared" si="7"/>
        <v>39</v>
      </c>
    </row>
    <row r="48" spans="2:67" x14ac:dyDescent="0.3">
      <c r="B48" s="62">
        <f t="shared" si="3"/>
        <v>43949</v>
      </c>
      <c r="C48" s="99"/>
      <c r="D48" s="24">
        <v>25040</v>
      </c>
      <c r="E48" s="23"/>
      <c r="F48" s="23"/>
      <c r="G48" s="23"/>
      <c r="H48" s="23">
        <f t="shared" ref="H48" si="318">+H47+D48</f>
        <v>1034080</v>
      </c>
      <c r="I48" s="23"/>
      <c r="J48" s="64">
        <f t="shared" ref="J48" si="319">+D48/H47</f>
        <v>2.4815666375961311E-2</v>
      </c>
      <c r="K48" s="23"/>
      <c r="L48" s="67"/>
      <c r="M48" s="1"/>
      <c r="N48" s="58">
        <v>2450</v>
      </c>
      <c r="O48" s="57"/>
      <c r="P48" s="57"/>
      <c r="Q48" s="57"/>
      <c r="R48" s="57">
        <f t="shared" ref="R48" si="320">+R47+N48</f>
        <v>59121</v>
      </c>
      <c r="S48" s="57"/>
      <c r="T48" s="73">
        <f t="shared" ref="T48" si="321">+R48/H48</f>
        <v>5.7172559183041934E-2</v>
      </c>
      <c r="U48" s="74"/>
      <c r="V48" s="84"/>
      <c r="W48" s="1"/>
      <c r="X48" s="31">
        <f t="shared" ref="X48" si="322">+AB48-AB47</f>
        <v>4146</v>
      </c>
      <c r="Y48" s="32"/>
      <c r="Z48" s="32"/>
      <c r="AA48" s="32"/>
      <c r="AB48" s="32">
        <v>141951</v>
      </c>
      <c r="AC48" s="32"/>
      <c r="AD48" s="33">
        <f>+X48/AB47</f>
        <v>3.0085991074344183E-2</v>
      </c>
      <c r="AE48" s="33"/>
      <c r="AF48" s="33"/>
      <c r="AG48" s="32"/>
      <c r="AH48" s="34">
        <f t="shared" ref="AH48" si="323">+AB48/H48</f>
        <v>0.13727274485533034</v>
      </c>
      <c r="AI48" s="1"/>
      <c r="AJ48" s="104">
        <f t="shared" ref="AJ48" si="324">+AL48-AL47</f>
        <v>187926</v>
      </c>
      <c r="AK48" s="105"/>
      <c r="AL48" s="105">
        <v>5861166</v>
      </c>
      <c r="AM48" s="105"/>
      <c r="AN48" s="105">
        <f t="shared" ref="AN48" si="325">+D48</f>
        <v>25040</v>
      </c>
      <c r="AO48" s="105"/>
      <c r="AP48" s="294">
        <f t="shared" ref="AP48" si="326">+AN48/AJ48</f>
        <v>0.13324393644306801</v>
      </c>
      <c r="AQ48" s="105"/>
      <c r="AR48" s="105"/>
      <c r="AS48" s="105"/>
      <c r="AT48" s="105">
        <f t="shared" ref="AT48" si="327">+AT47+AN48</f>
        <v>781758</v>
      </c>
      <c r="AU48" s="105"/>
      <c r="AV48" s="116">
        <f t="shared" ref="AV48" si="328">+AT48/AL48</f>
        <v>0.13337926276102741</v>
      </c>
      <c r="AW48" s="105"/>
      <c r="AX48" s="133"/>
      <c r="AY48" s="105"/>
      <c r="AZ48" s="1"/>
      <c r="BA48" s="41">
        <v>295106</v>
      </c>
      <c r="BB48" s="8"/>
      <c r="BC48" s="8">
        <f>113856+26312</f>
        <v>140168</v>
      </c>
      <c r="BD48" s="194"/>
      <c r="BE48" s="8">
        <f t="shared" ref="BE48" si="329">SUM(BA48:BC48)</f>
        <v>435274</v>
      </c>
      <c r="BF48" s="7"/>
      <c r="BG48" s="48">
        <f t="shared" ref="BG48" si="330">+BE48/H48</f>
        <v>0.42092874825932231</v>
      </c>
      <c r="BH48" s="48"/>
      <c r="BI48" s="48"/>
      <c r="BJ48" s="7"/>
      <c r="BK48" s="8">
        <f>22912+6442+2087</f>
        <v>31441</v>
      </c>
      <c r="BL48" s="7"/>
      <c r="BM48" s="42">
        <f t="shared" ref="BM48" si="331">+BK48/R48</f>
        <v>0.53180764872042086</v>
      </c>
      <c r="BO48">
        <f t="shared" si="7"/>
        <v>40</v>
      </c>
    </row>
    <row r="49" spans="2:68" x14ac:dyDescent="0.3">
      <c r="B49" s="62">
        <f t="shared" si="3"/>
        <v>43950</v>
      </c>
      <c r="C49" s="99"/>
      <c r="D49" s="24"/>
      <c r="E49" s="23"/>
      <c r="F49" s="23"/>
      <c r="G49" s="23"/>
      <c r="H49" s="23"/>
      <c r="I49" s="23"/>
      <c r="J49" s="64"/>
      <c r="K49" s="23"/>
      <c r="L49" s="67"/>
      <c r="M49" s="1"/>
      <c r="N49" s="58"/>
      <c r="O49" s="57"/>
      <c r="P49" s="57"/>
      <c r="Q49" s="57"/>
      <c r="R49" s="57"/>
      <c r="S49" s="57"/>
      <c r="T49" s="73"/>
      <c r="U49" s="74"/>
      <c r="V49" s="84"/>
      <c r="W49" s="1"/>
      <c r="X49" s="31"/>
      <c r="Y49" s="32"/>
      <c r="Z49" s="32"/>
      <c r="AA49" s="32"/>
      <c r="AB49" s="32"/>
      <c r="AC49" s="32"/>
      <c r="AD49" s="33"/>
      <c r="AE49" s="33"/>
      <c r="AF49" s="33"/>
      <c r="AG49" s="32"/>
      <c r="AH49" s="34"/>
      <c r="AI49" s="1"/>
      <c r="AJ49" s="104"/>
      <c r="AK49" s="105"/>
      <c r="AL49" s="105"/>
      <c r="AM49" s="105"/>
      <c r="AN49" s="105"/>
      <c r="AO49" s="105"/>
      <c r="AP49" s="294"/>
      <c r="AQ49" s="105"/>
      <c r="AR49" s="105"/>
      <c r="AS49" s="105"/>
      <c r="AT49" s="105"/>
      <c r="AU49" s="105"/>
      <c r="AV49" s="116"/>
      <c r="AW49" s="105"/>
      <c r="AX49" s="133"/>
      <c r="AY49" s="105"/>
      <c r="AZ49" s="1"/>
      <c r="BA49" s="41"/>
      <c r="BB49" s="8"/>
      <c r="BC49" s="8"/>
      <c r="BD49" s="194"/>
      <c r="BE49" s="8"/>
      <c r="BF49" s="7"/>
      <c r="BG49" s="48"/>
      <c r="BH49" s="48"/>
      <c r="BI49" s="48"/>
      <c r="BJ49" s="7"/>
      <c r="BK49" s="8"/>
      <c r="BL49" s="7"/>
      <c r="BM49" s="42"/>
      <c r="BO49">
        <f t="shared" si="7"/>
        <v>41</v>
      </c>
    </row>
    <row r="50" spans="2:68" x14ac:dyDescent="0.3">
      <c r="B50" s="62">
        <f t="shared" si="3"/>
        <v>43951</v>
      </c>
      <c r="C50" s="99"/>
      <c r="D50" s="24"/>
      <c r="E50" s="23"/>
      <c r="F50" s="23"/>
      <c r="G50" s="23"/>
      <c r="H50" s="23"/>
      <c r="I50" s="23"/>
      <c r="J50" s="64"/>
      <c r="K50" s="23"/>
      <c r="L50" s="67"/>
      <c r="M50" s="1"/>
      <c r="N50" s="58"/>
      <c r="O50" s="57"/>
      <c r="P50" s="57"/>
      <c r="Q50" s="57"/>
      <c r="R50" s="57"/>
      <c r="S50" s="57"/>
      <c r="T50" s="73"/>
      <c r="U50" s="74"/>
      <c r="V50" s="84"/>
      <c r="W50" s="1"/>
      <c r="X50" s="31"/>
      <c r="Y50" s="32"/>
      <c r="Z50" s="32"/>
      <c r="AA50" s="32"/>
      <c r="AB50" s="32"/>
      <c r="AC50" s="32"/>
      <c r="AD50" s="33"/>
      <c r="AE50" s="33"/>
      <c r="AF50" s="33"/>
      <c r="AG50" s="32"/>
      <c r="AH50" s="34"/>
      <c r="AI50" s="1"/>
      <c r="AJ50" s="104"/>
      <c r="AK50" s="105"/>
      <c r="AL50" s="105"/>
      <c r="AM50" s="105"/>
      <c r="AN50" s="105"/>
      <c r="AO50" s="105"/>
      <c r="AP50" s="294"/>
      <c r="AQ50" s="105"/>
      <c r="AR50" s="105"/>
      <c r="AS50" s="105"/>
      <c r="AT50" s="105"/>
      <c r="AU50" s="105"/>
      <c r="AV50" s="116"/>
      <c r="AW50" s="105"/>
      <c r="AX50" s="133"/>
      <c r="AY50" s="105"/>
      <c r="AZ50" s="1"/>
      <c r="BA50" s="41"/>
      <c r="BB50" s="8"/>
      <c r="BC50" s="8"/>
      <c r="BD50" s="194"/>
      <c r="BE50" s="8"/>
      <c r="BF50" s="7"/>
      <c r="BG50" s="48"/>
      <c r="BH50" s="48"/>
      <c r="BI50" s="48"/>
      <c r="BJ50" s="7"/>
      <c r="BK50" s="8"/>
      <c r="BL50" s="7"/>
      <c r="BM50" s="42"/>
      <c r="BO50">
        <f t="shared" si="7"/>
        <v>42</v>
      </c>
    </row>
    <row r="51" spans="2:68" x14ac:dyDescent="0.3">
      <c r="B51" s="62">
        <f t="shared" si="3"/>
        <v>43952</v>
      </c>
      <c r="C51" s="99"/>
      <c r="D51" s="24"/>
      <c r="E51" s="23"/>
      <c r="F51" s="23"/>
      <c r="G51" s="23"/>
      <c r="H51" s="23"/>
      <c r="I51" s="23"/>
      <c r="J51" s="64"/>
      <c r="K51" s="23"/>
      <c r="L51" s="67"/>
      <c r="M51" s="1"/>
      <c r="N51" s="58"/>
      <c r="O51" s="57"/>
      <c r="P51" s="57"/>
      <c r="Q51" s="57"/>
      <c r="R51" s="57"/>
      <c r="S51" s="57"/>
      <c r="T51" s="73"/>
      <c r="U51" s="74"/>
      <c r="V51" s="84"/>
      <c r="W51" s="1"/>
      <c r="X51" s="31"/>
      <c r="Y51" s="32"/>
      <c r="Z51" s="32"/>
      <c r="AA51" s="32"/>
      <c r="AB51" s="32"/>
      <c r="AC51" s="32"/>
      <c r="AD51" s="33"/>
      <c r="AE51" s="33"/>
      <c r="AF51" s="33"/>
      <c r="AG51" s="32"/>
      <c r="AH51" s="34"/>
      <c r="AI51" s="1"/>
      <c r="AJ51" s="104"/>
      <c r="AK51" s="105"/>
      <c r="AL51" s="105"/>
      <c r="AM51" s="105"/>
      <c r="AN51" s="105"/>
      <c r="AO51" s="105"/>
      <c r="AP51" s="294"/>
      <c r="AQ51" s="105"/>
      <c r="AR51" s="105"/>
      <c r="AS51" s="105"/>
      <c r="AT51" s="105"/>
      <c r="AU51" s="105"/>
      <c r="AV51" s="116"/>
      <c r="AW51" s="105"/>
      <c r="AX51" s="133"/>
      <c r="AY51" s="105"/>
      <c r="AZ51" s="1"/>
      <c r="BA51" s="41"/>
      <c r="BB51" s="8"/>
      <c r="BC51" s="8"/>
      <c r="BD51" s="194"/>
      <c r="BE51" s="8"/>
      <c r="BF51" s="7"/>
      <c r="BG51" s="48"/>
      <c r="BH51" s="48"/>
      <c r="BI51" s="48"/>
      <c r="BJ51" s="7"/>
      <c r="BK51" s="8"/>
      <c r="BL51" s="7"/>
      <c r="BM51" s="42"/>
      <c r="BO51">
        <f t="shared" si="7"/>
        <v>43</v>
      </c>
    </row>
    <row r="52" spans="2:68" x14ac:dyDescent="0.3">
      <c r="B52" s="62">
        <f t="shared" si="3"/>
        <v>43953</v>
      </c>
      <c r="D52" s="25"/>
      <c r="E52" s="26"/>
      <c r="F52" s="26"/>
      <c r="G52" s="26"/>
      <c r="H52" s="26"/>
      <c r="I52" s="26"/>
      <c r="J52" s="65"/>
      <c r="K52" s="26"/>
      <c r="L52" s="69"/>
      <c r="M52" s="1"/>
      <c r="N52" s="59"/>
      <c r="O52" s="60"/>
      <c r="P52" s="60"/>
      <c r="Q52" s="60"/>
      <c r="R52" s="60"/>
      <c r="S52" s="60"/>
      <c r="T52" s="75"/>
      <c r="U52" s="75"/>
      <c r="V52" s="85"/>
      <c r="W52" s="1"/>
      <c r="X52" s="35"/>
      <c r="Y52" s="36"/>
      <c r="Z52" s="36"/>
      <c r="AA52" s="36"/>
      <c r="AB52" s="36"/>
      <c r="AC52" s="36"/>
      <c r="AD52" s="36"/>
      <c r="AE52" s="36"/>
      <c r="AF52" s="36"/>
      <c r="AG52" s="36"/>
      <c r="AH52" s="37"/>
      <c r="AI52" s="1"/>
      <c r="AJ52" s="106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12"/>
      <c r="AW52" s="107"/>
      <c r="AX52" s="107"/>
      <c r="AY52" s="107"/>
      <c r="AZ52" s="1"/>
      <c r="BA52" s="43"/>
      <c r="BB52" s="44"/>
      <c r="BC52" s="44"/>
      <c r="BD52" s="44"/>
      <c r="BE52" s="44"/>
      <c r="BF52" s="45"/>
      <c r="BG52" s="49"/>
      <c r="BH52" s="49"/>
      <c r="BI52" s="49"/>
      <c r="BJ52" s="45"/>
      <c r="BK52" s="45"/>
      <c r="BL52" s="45"/>
      <c r="BM52" s="46"/>
      <c r="BO52">
        <f t="shared" si="7"/>
        <v>44</v>
      </c>
    </row>
    <row r="53" spans="2:68" x14ac:dyDescent="0.3">
      <c r="B53" s="91"/>
      <c r="D53" s="1"/>
      <c r="E53" s="1"/>
      <c r="F53" s="1"/>
      <c r="G53" s="1"/>
      <c r="H53" s="1"/>
      <c r="I53" s="1"/>
      <c r="J53" s="94"/>
      <c r="K53" s="1"/>
      <c r="L53" s="1"/>
      <c r="M53" s="1"/>
      <c r="N53" s="94"/>
      <c r="O53" s="1"/>
      <c r="P53" s="1"/>
      <c r="Q53" s="1"/>
      <c r="R53" s="1"/>
      <c r="S53" s="1"/>
      <c r="T53" s="94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94"/>
      <c r="AM53" s="1"/>
      <c r="AN53" s="94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91"/>
      <c r="BB53" s="1"/>
      <c r="BC53" s="91"/>
      <c r="BD53" s="1"/>
      <c r="BE53" s="91"/>
      <c r="BK53" s="91"/>
    </row>
    <row r="54" spans="2:68" ht="15" thickBot="1" x14ac:dyDescent="0.35">
      <c r="B54" s="134"/>
      <c r="D54" s="1"/>
      <c r="E54" s="1"/>
      <c r="F54" s="1"/>
      <c r="G54" s="1"/>
      <c r="H54" s="1"/>
      <c r="I54" s="1"/>
      <c r="J54" s="94"/>
      <c r="K54" s="1"/>
      <c r="L54" s="1"/>
      <c r="M54" s="1"/>
      <c r="N54" s="1"/>
      <c r="O54" s="1"/>
      <c r="P54" s="1"/>
      <c r="Q54" s="1"/>
      <c r="R54" s="1"/>
      <c r="S54" s="1"/>
      <c r="T54" s="94"/>
      <c r="U54" s="1"/>
      <c r="V54" s="231" t="s">
        <v>29</v>
      </c>
      <c r="W54" s="232"/>
      <c r="X54" s="232" t="s">
        <v>72</v>
      </c>
      <c r="Y54" s="198"/>
      <c r="Z54" s="198"/>
      <c r="AA54" s="198"/>
      <c r="AB54" s="99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00"/>
      <c r="AW54" s="15"/>
      <c r="AX54" s="15"/>
      <c r="AY54" s="15"/>
      <c r="AZ54" s="15"/>
      <c r="BA54" s="301">
        <f>+BA48-BA47</f>
        <v>3110</v>
      </c>
      <c r="BB54" s="15"/>
      <c r="BC54" s="100"/>
      <c r="BD54" s="15"/>
      <c r="BE54" s="301">
        <f>+BE48-BE47</f>
        <v>6821</v>
      </c>
      <c r="BF54" s="99"/>
      <c r="BG54" s="99"/>
      <c r="BH54" s="99"/>
      <c r="BI54" s="99"/>
      <c r="BJ54" s="99"/>
      <c r="BK54" s="295"/>
    </row>
    <row r="55" spans="2:68" x14ac:dyDescent="0.3">
      <c r="B55" s="322" t="s">
        <v>24</v>
      </c>
      <c r="C55" s="323"/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323"/>
      <c r="R55" s="324"/>
      <c r="S55" s="1"/>
      <c r="T55" s="94"/>
      <c r="U55" s="1"/>
      <c r="V55" s="231" t="s">
        <v>44</v>
      </c>
      <c r="W55" s="232"/>
      <c r="X55" s="232" t="s">
        <v>46</v>
      </c>
      <c r="Y55" s="15"/>
      <c r="Z55" s="15"/>
      <c r="AA55" s="15"/>
      <c r="AB55" s="99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00">
        <f>+BA54/BA47</f>
        <v>1.0650830833299086E-2</v>
      </c>
      <c r="BB55" s="15"/>
      <c r="BC55" s="15"/>
      <c r="BD55" s="15"/>
      <c r="BE55" s="100">
        <f>+BE54/BE47</f>
        <v>1.5920065911546891E-2</v>
      </c>
      <c r="BF55" s="99"/>
      <c r="BG55" s="99"/>
      <c r="BH55" s="99"/>
      <c r="BI55" s="99"/>
      <c r="BJ55" s="99"/>
      <c r="BK55" s="199"/>
    </row>
    <row r="56" spans="2:68" x14ac:dyDescent="0.3">
      <c r="B56" s="118" t="s">
        <v>20</v>
      </c>
      <c r="C56" s="119"/>
      <c r="D56" s="96" t="s">
        <v>21</v>
      </c>
      <c r="E56" s="120"/>
      <c r="F56" s="120"/>
      <c r="G56" s="120"/>
      <c r="H56" s="95" t="s">
        <v>22</v>
      </c>
      <c r="I56" s="120"/>
      <c r="J56" s="96" t="s">
        <v>19</v>
      </c>
      <c r="K56" s="121"/>
      <c r="L56" s="121"/>
      <c r="M56" s="121"/>
      <c r="N56" s="96" t="s">
        <v>21</v>
      </c>
      <c r="O56" s="121"/>
      <c r="P56" s="121"/>
      <c r="Q56" s="121"/>
      <c r="R56" s="122" t="s">
        <v>23</v>
      </c>
      <c r="S56" s="1"/>
      <c r="T56" s="1"/>
      <c r="U56" s="1"/>
      <c r="V56" s="231" t="s">
        <v>51</v>
      </c>
      <c r="W56" s="232"/>
      <c r="X56" s="232" t="s">
        <v>62</v>
      </c>
      <c r="Y56" s="15"/>
      <c r="Z56" s="15"/>
      <c r="AA56" s="15"/>
      <c r="AB56" s="99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99"/>
      <c r="BG56" s="199"/>
      <c r="BH56" s="199"/>
      <c r="BI56" s="199"/>
      <c r="BJ56" s="199"/>
    </row>
    <row r="57" spans="2:68" ht="15" thickBot="1" x14ac:dyDescent="0.35">
      <c r="B57" s="123">
        <v>43916</v>
      </c>
      <c r="C57" s="124"/>
      <c r="D57" s="125">
        <f>+H15</f>
        <v>85435</v>
      </c>
      <c r="E57" s="125"/>
      <c r="F57" s="125"/>
      <c r="G57" s="125"/>
      <c r="H57" s="126">
        <f>+J15</f>
        <v>0.25251059213323362</v>
      </c>
      <c r="I57" s="125"/>
      <c r="J57" s="125">
        <v>0</v>
      </c>
      <c r="K57" s="125"/>
      <c r="L57" s="125"/>
      <c r="M57" s="125"/>
      <c r="N57" s="125">
        <f>+D57</f>
        <v>85435</v>
      </c>
      <c r="O57" s="125"/>
      <c r="P57" s="125"/>
      <c r="Q57" s="125"/>
      <c r="R57" s="296">
        <f>+J48</f>
        <v>2.4815666375961311E-2</v>
      </c>
      <c r="S57" s="1"/>
      <c r="T57" s="1"/>
      <c r="U57" s="1"/>
      <c r="V57" s="231" t="s">
        <v>73</v>
      </c>
      <c r="W57" s="99"/>
      <c r="X57" s="152" t="s">
        <v>74</v>
      </c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15"/>
      <c r="AX57" s="15"/>
      <c r="AY57" s="15"/>
      <c r="AZ57" s="15"/>
      <c r="BA57" s="15"/>
      <c r="BB57" s="15"/>
      <c r="BC57" s="15"/>
      <c r="BD57" s="15"/>
      <c r="BE57" s="15"/>
      <c r="BF57" s="99"/>
      <c r="BG57" s="99"/>
      <c r="BH57" s="99"/>
      <c r="BI57" s="99"/>
      <c r="BJ57" s="99"/>
      <c r="BK57" s="99"/>
    </row>
    <row r="58" spans="2:68" ht="15" thickBot="1" x14ac:dyDescent="0.35">
      <c r="B58" s="123">
        <f>1+B57</f>
        <v>43917</v>
      </c>
      <c r="C58" s="124"/>
      <c r="D58" s="125">
        <f>+D57*(1+H57)</f>
        <v>107008.24243890282</v>
      </c>
      <c r="E58" s="125"/>
      <c r="F58" s="125"/>
      <c r="G58" s="125"/>
      <c r="H58" s="126">
        <f>+H57</f>
        <v>0.25251059213323362</v>
      </c>
      <c r="I58" s="125"/>
      <c r="J58" s="125">
        <f>+J57+1</f>
        <v>1</v>
      </c>
      <c r="K58" s="125"/>
      <c r="L58" s="125"/>
      <c r="M58" s="125"/>
      <c r="N58" s="125">
        <f>+N57*(1+R57)</f>
        <v>87555.126456830258</v>
      </c>
      <c r="O58" s="125"/>
      <c r="P58" s="125"/>
      <c r="Q58" s="125"/>
      <c r="R58" s="127">
        <f>+R57</f>
        <v>2.4815666375961311E-2</v>
      </c>
      <c r="S58" s="1"/>
      <c r="T58" s="1"/>
      <c r="U58" s="1"/>
      <c r="V58" s="15"/>
      <c r="W58" s="15"/>
      <c r="X58" s="259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37"/>
      <c r="AQ58" s="137"/>
      <c r="AR58" s="137"/>
      <c r="AS58" s="137"/>
      <c r="AT58" s="137"/>
      <c r="AU58" s="15"/>
      <c r="AV58" s="15"/>
      <c r="AW58" s="1"/>
      <c r="AX58" s="1"/>
      <c r="AY58" s="1"/>
      <c r="AZ58" s="1"/>
      <c r="BA58" s="1"/>
      <c r="BB58" s="316" t="s">
        <v>65</v>
      </c>
      <c r="BC58" s="317"/>
      <c r="BD58" s="317"/>
      <c r="BE58" s="317"/>
      <c r="BF58" s="317"/>
      <c r="BG58" s="317"/>
      <c r="BH58" s="317"/>
      <c r="BI58" s="317"/>
      <c r="BJ58" s="317"/>
      <c r="BK58" s="317"/>
      <c r="BL58" s="318"/>
    </row>
    <row r="59" spans="2:68" ht="15" thickBot="1" x14ac:dyDescent="0.35">
      <c r="B59" s="123">
        <f t="shared" ref="B59:B64" si="332">1+B58</f>
        <v>43918</v>
      </c>
      <c r="C59" s="124"/>
      <c r="D59" s="125">
        <f t="shared" ref="D59:D64" si="333">+D58*(1+H58)</f>
        <v>134028.95710028679</v>
      </c>
      <c r="E59" s="125"/>
      <c r="F59" s="125"/>
      <c r="G59" s="125"/>
      <c r="H59" s="126">
        <f t="shared" ref="H59:H64" si="334">+H58</f>
        <v>0.25251059213323362</v>
      </c>
      <c r="I59" s="125"/>
      <c r="J59" s="125">
        <f t="shared" ref="J59:J64" si="335">+J58+1</f>
        <v>2</v>
      </c>
      <c r="K59" s="125"/>
      <c r="L59" s="125"/>
      <c r="M59" s="125"/>
      <c r="N59" s="125">
        <f t="shared" ref="N59:N64" si="336">+N58*(1+R58)</f>
        <v>89727.865264488064</v>
      </c>
      <c r="O59" s="125"/>
      <c r="P59" s="125"/>
      <c r="Q59" s="125"/>
      <c r="R59" s="127">
        <f t="shared" ref="R59:R64" si="337">+R58</f>
        <v>2.4815666375961311E-2</v>
      </c>
      <c r="S59" s="1"/>
      <c r="T59" s="1"/>
      <c r="U59" s="1"/>
      <c r="V59" s="136"/>
      <c r="W59" s="136"/>
      <c r="X59" s="157"/>
      <c r="Y59" s="136"/>
      <c r="Z59" s="1"/>
      <c r="AA59" s="1"/>
      <c r="AB59" s="1"/>
      <c r="AC59" s="138"/>
      <c r="AD59" s="316" t="s">
        <v>34</v>
      </c>
      <c r="AE59" s="317"/>
      <c r="AF59" s="317"/>
      <c r="AG59" s="317"/>
      <c r="AH59" s="317"/>
      <c r="AI59" s="317"/>
      <c r="AJ59" s="317"/>
      <c r="AK59" s="317"/>
      <c r="AL59" s="317"/>
      <c r="AM59" s="317"/>
      <c r="AN59" s="318"/>
      <c r="AO59" s="292"/>
      <c r="AP59" s="154"/>
      <c r="AQ59" s="154"/>
      <c r="AR59" s="154"/>
      <c r="AS59" s="288"/>
      <c r="AT59" s="288"/>
      <c r="AU59" s="137"/>
      <c r="AV59" s="137"/>
      <c r="AW59" s="1"/>
      <c r="AX59" s="1"/>
      <c r="AY59" s="1"/>
      <c r="AZ59" s="1"/>
      <c r="BA59" s="1"/>
      <c r="BB59" s="138"/>
      <c r="BC59" s="316" t="s">
        <v>52</v>
      </c>
      <c r="BD59" s="317"/>
      <c r="BE59" s="318"/>
      <c r="BF59" s="139"/>
      <c r="BG59" s="314" t="s">
        <v>35</v>
      </c>
      <c r="BH59" s="214"/>
      <c r="BI59" s="214"/>
      <c r="BJ59" s="139"/>
      <c r="BK59" s="139"/>
      <c r="BL59" s="140"/>
    </row>
    <row r="60" spans="2:68" ht="15" thickBot="1" x14ac:dyDescent="0.35">
      <c r="B60" s="123">
        <f t="shared" si="332"/>
        <v>43919</v>
      </c>
      <c r="C60" s="124"/>
      <c r="D60" s="125">
        <f t="shared" si="333"/>
        <v>167872.68842067997</v>
      </c>
      <c r="E60" s="125"/>
      <c r="F60" s="125"/>
      <c r="G60" s="125"/>
      <c r="H60" s="126">
        <f t="shared" si="334"/>
        <v>0.25251059213323362</v>
      </c>
      <c r="I60" s="125"/>
      <c r="J60" s="125">
        <f t="shared" si="335"/>
        <v>3</v>
      </c>
      <c r="K60" s="125"/>
      <c r="L60" s="125"/>
      <c r="M60" s="125"/>
      <c r="N60" s="125">
        <f t="shared" si="336"/>
        <v>91954.522033518806</v>
      </c>
      <c r="O60" s="125"/>
      <c r="P60" s="125"/>
      <c r="Q60" s="125"/>
      <c r="R60" s="127">
        <f t="shared" si="337"/>
        <v>2.4815666375961311E-2</v>
      </c>
      <c r="S60" s="1"/>
      <c r="T60" s="1"/>
      <c r="U60" s="1"/>
      <c r="V60" s="136"/>
      <c r="W60" s="97" t="s">
        <v>18</v>
      </c>
      <c r="Y60" s="136"/>
      <c r="Z60" s="1"/>
      <c r="AA60" s="1"/>
      <c r="AB60" s="1"/>
      <c r="AC60" s="141"/>
      <c r="AD60" s="164"/>
      <c r="AE60" s="164"/>
      <c r="AF60" s="164"/>
      <c r="AG60" s="164"/>
      <c r="AH60" s="164"/>
      <c r="AI60" s="321" t="s">
        <v>32</v>
      </c>
      <c r="AJ60" s="321"/>
      <c r="AK60" s="164"/>
      <c r="AL60" s="164"/>
      <c r="AM60" s="164"/>
      <c r="AN60" s="161" t="s">
        <v>37</v>
      </c>
      <c r="AO60" s="186"/>
      <c r="AP60" s="182"/>
      <c r="AQ60" s="182"/>
      <c r="AR60" s="182"/>
      <c r="AS60" s="182"/>
      <c r="AT60" s="182"/>
      <c r="AU60" s="137"/>
      <c r="AV60" s="137"/>
      <c r="AW60" s="1"/>
      <c r="AX60" s="1"/>
      <c r="AY60" s="1"/>
      <c r="AZ60" s="1"/>
      <c r="BA60" s="1"/>
      <c r="BB60" s="141"/>
      <c r="BC60" s="142"/>
      <c r="BD60" s="142"/>
      <c r="BE60" s="149" t="s">
        <v>21</v>
      </c>
      <c r="BF60" s="143"/>
      <c r="BG60" s="315"/>
      <c r="BH60" s="215"/>
      <c r="BI60" s="215"/>
      <c r="BJ60" s="143"/>
      <c r="BK60" s="150" t="s">
        <v>4</v>
      </c>
      <c r="BL60" s="144"/>
      <c r="BO60" s="92"/>
    </row>
    <row r="61" spans="2:68" x14ac:dyDescent="0.3">
      <c r="B61" s="123">
        <f t="shared" si="332"/>
        <v>43920</v>
      </c>
      <c r="C61" s="124"/>
      <c r="D61" s="125">
        <f t="shared" si="333"/>
        <v>210262.3203767837</v>
      </c>
      <c r="E61" s="125"/>
      <c r="F61" s="125"/>
      <c r="G61" s="125"/>
      <c r="H61" s="126">
        <f t="shared" si="334"/>
        <v>0.25251059213323362</v>
      </c>
      <c r="I61" s="125"/>
      <c r="J61" s="125">
        <f t="shared" si="335"/>
        <v>4</v>
      </c>
      <c r="K61" s="125"/>
      <c r="L61" s="125"/>
      <c r="M61" s="125"/>
      <c r="N61" s="125">
        <f t="shared" si="336"/>
        <v>94236.4347740636</v>
      </c>
      <c r="O61" s="125"/>
      <c r="P61" s="125"/>
      <c r="Q61" s="125"/>
      <c r="R61" s="127">
        <f t="shared" si="337"/>
        <v>2.4815666375961311E-2</v>
      </c>
      <c r="S61" s="1"/>
      <c r="T61" s="1"/>
      <c r="U61" s="1"/>
      <c r="V61" s="136"/>
      <c r="W61" s="136"/>
      <c r="X61" s="97"/>
      <c r="Y61" s="136"/>
      <c r="Z61" s="1"/>
      <c r="AA61" s="1"/>
      <c r="AB61" s="1"/>
      <c r="AC61" s="141"/>
      <c r="AD61" s="164" t="s">
        <v>42</v>
      </c>
      <c r="AE61" s="164"/>
      <c r="AF61" s="164"/>
      <c r="AG61" s="164"/>
      <c r="AH61" s="173"/>
      <c r="AI61" s="313">
        <v>20100000</v>
      </c>
      <c r="AJ61" s="313"/>
      <c r="AK61" s="164"/>
      <c r="AL61" s="164"/>
      <c r="AM61" s="164"/>
      <c r="AN61" s="162">
        <f>+AI61/AI$66</f>
        <v>6.0909090909090906E-2</v>
      </c>
      <c r="AO61" s="187"/>
      <c r="AP61" s="183"/>
      <c r="AQ61" s="183"/>
      <c r="AR61" s="183"/>
      <c r="AS61" s="183"/>
      <c r="AT61" s="183"/>
      <c r="AU61" s="137"/>
      <c r="AV61" s="234"/>
      <c r="AW61" s="1"/>
      <c r="AX61" s="1"/>
      <c r="AY61" s="1"/>
      <c r="AZ61" s="1"/>
      <c r="BA61" s="1"/>
      <c r="BB61" s="141"/>
      <c r="BC61" s="167" t="s">
        <v>43</v>
      </c>
      <c r="BD61" s="142"/>
      <c r="BE61" s="167">
        <f>+BE48</f>
        <v>435274</v>
      </c>
      <c r="BF61" s="168"/>
      <c r="BG61" s="169">
        <f>+BK75</f>
        <v>1408.4403157551337</v>
      </c>
      <c r="BH61" s="169"/>
      <c r="BI61" s="169"/>
      <c r="BJ61" s="168"/>
      <c r="BK61" s="170">
        <f>+BK48</f>
        <v>31441</v>
      </c>
      <c r="BL61" s="144"/>
      <c r="BO61" s="91"/>
    </row>
    <row r="62" spans="2:68" x14ac:dyDescent="0.3">
      <c r="B62" s="123">
        <f t="shared" si="332"/>
        <v>43921</v>
      </c>
      <c r="C62" s="124"/>
      <c r="D62" s="125">
        <f t="shared" si="333"/>
        <v>263355.78339843301</v>
      </c>
      <c r="E62" s="125"/>
      <c r="F62" s="125"/>
      <c r="G62" s="125"/>
      <c r="H62" s="126">
        <f t="shared" si="334"/>
        <v>0.25251059213323362</v>
      </c>
      <c r="I62" s="125"/>
      <c r="J62" s="125">
        <f t="shared" si="335"/>
        <v>5</v>
      </c>
      <c r="K62" s="125"/>
      <c r="L62" s="125"/>
      <c r="M62" s="125"/>
      <c r="N62" s="125">
        <f t="shared" si="336"/>
        <v>96574.97469987681</v>
      </c>
      <c r="O62" s="125"/>
      <c r="P62" s="125"/>
      <c r="Q62" s="125"/>
      <c r="R62" s="127">
        <f t="shared" si="337"/>
        <v>2.4815666375961311E-2</v>
      </c>
      <c r="S62" s="1"/>
      <c r="T62" s="1"/>
      <c r="U62" s="1"/>
      <c r="V62" s="1"/>
      <c r="W62" s="1"/>
      <c r="X62" s="1"/>
      <c r="Y62" s="1"/>
      <c r="Z62" s="1"/>
      <c r="AA62" s="1"/>
      <c r="AB62" s="117"/>
      <c r="AC62" s="141"/>
      <c r="AD62" s="164" t="s">
        <v>63</v>
      </c>
      <c r="AE62" s="164"/>
      <c r="AF62" s="164"/>
      <c r="AG62" s="164"/>
      <c r="AH62" s="174"/>
      <c r="AI62" s="308">
        <v>4900000</v>
      </c>
      <c r="AJ62" s="308"/>
      <c r="AK62" s="173"/>
      <c r="AL62" s="173"/>
      <c r="AM62" s="173"/>
      <c r="AN62" s="162">
        <f>+AI62/AI$66</f>
        <v>1.4848484848484849E-2</v>
      </c>
      <c r="AO62" s="187"/>
      <c r="AP62" s="183"/>
      <c r="AQ62" s="183"/>
      <c r="AR62" s="183"/>
      <c r="AS62" s="183"/>
      <c r="AT62" s="183"/>
      <c r="AU62" s="185"/>
      <c r="AV62" s="185"/>
      <c r="AW62" s="99"/>
      <c r="AX62" s="99"/>
      <c r="AY62" s="99"/>
      <c r="AZ62" s="99"/>
      <c r="BA62" s="15"/>
      <c r="BB62" s="141"/>
      <c r="BC62" s="164" t="s">
        <v>63</v>
      </c>
      <c r="BD62" s="142"/>
      <c r="BE62" s="167">
        <v>58302</v>
      </c>
      <c r="BF62" s="167"/>
      <c r="BG62" s="169">
        <v>846</v>
      </c>
      <c r="BH62" s="169"/>
      <c r="BI62" s="169"/>
      <c r="BJ62" s="167"/>
      <c r="BK62" s="167">
        <v>3153</v>
      </c>
      <c r="BL62" s="145"/>
      <c r="BM62" s="15"/>
      <c r="BN62" s="15"/>
      <c r="BO62" s="100"/>
      <c r="BP62" s="1"/>
    </row>
    <row r="63" spans="2:68" x14ac:dyDescent="0.3">
      <c r="B63" s="123">
        <f t="shared" si="332"/>
        <v>43922</v>
      </c>
      <c r="C63" s="124"/>
      <c r="D63" s="125">
        <f t="shared" si="333"/>
        <v>329855.90820608294</v>
      </c>
      <c r="E63" s="125"/>
      <c r="F63" s="125"/>
      <c r="G63" s="125"/>
      <c r="H63" s="126">
        <f t="shared" si="334"/>
        <v>0.25251059213323362</v>
      </c>
      <c r="I63" s="125"/>
      <c r="J63" s="125">
        <f t="shared" si="335"/>
        <v>6</v>
      </c>
      <c r="K63" s="125"/>
      <c r="L63" s="125"/>
      <c r="M63" s="125"/>
      <c r="N63" s="125">
        <f t="shared" si="336"/>
        <v>98971.547052295864</v>
      </c>
      <c r="O63" s="125"/>
      <c r="P63" s="125"/>
      <c r="Q63" s="125"/>
      <c r="R63" s="127">
        <f t="shared" si="337"/>
        <v>2.4815666375961311E-2</v>
      </c>
      <c r="S63" s="1"/>
      <c r="T63" s="1"/>
      <c r="U63" s="1"/>
      <c r="V63" s="1"/>
      <c r="W63" s="1"/>
      <c r="X63" s="1"/>
      <c r="Y63" s="1"/>
      <c r="Z63" s="1"/>
      <c r="AA63" s="1"/>
      <c r="AB63" s="117"/>
      <c r="AC63" s="141"/>
      <c r="AD63" s="164" t="s">
        <v>33</v>
      </c>
      <c r="AE63" s="164"/>
      <c r="AF63" s="164"/>
      <c r="AG63" s="164"/>
      <c r="AH63" s="164"/>
      <c r="AI63" s="308">
        <v>1300000</v>
      </c>
      <c r="AJ63" s="308"/>
      <c r="AK63" s="164"/>
      <c r="AL63" s="164"/>
      <c r="AM63" s="164"/>
      <c r="AN63" s="162">
        <f>+AI63/AI$66</f>
        <v>3.9393939393939396E-3</v>
      </c>
      <c r="AO63" s="187"/>
      <c r="AP63" s="183"/>
      <c r="AQ63" s="183"/>
      <c r="AR63" s="183"/>
      <c r="AS63" s="183"/>
      <c r="AT63" s="183"/>
      <c r="AU63" s="137"/>
      <c r="AV63" s="137"/>
      <c r="AW63" s="1"/>
      <c r="AX63" s="1"/>
      <c r="AY63" s="1"/>
      <c r="AZ63" s="1"/>
      <c r="BA63" s="1"/>
      <c r="BB63" s="141"/>
      <c r="BC63" s="167" t="s">
        <v>30</v>
      </c>
      <c r="BD63" s="142"/>
      <c r="BE63" s="167">
        <v>27286</v>
      </c>
      <c r="BF63" s="167"/>
      <c r="BG63" s="169">
        <v>393</v>
      </c>
      <c r="BH63" s="169"/>
      <c r="BI63" s="169"/>
      <c r="BJ63" s="167"/>
      <c r="BK63" s="167">
        <v>1801</v>
      </c>
      <c r="BL63" s="145"/>
      <c r="BM63" s="1"/>
    </row>
    <row r="64" spans="2:68" ht="15" thickBot="1" x14ac:dyDescent="0.35">
      <c r="B64" s="123">
        <f t="shared" si="332"/>
        <v>43923</v>
      </c>
      <c r="C64" s="124"/>
      <c r="D64" s="125">
        <f t="shared" si="333"/>
        <v>413148.01890584646</v>
      </c>
      <c r="E64" s="125"/>
      <c r="F64" s="125"/>
      <c r="G64" s="125"/>
      <c r="H64" s="126">
        <f t="shared" si="334"/>
        <v>0.25251059213323362</v>
      </c>
      <c r="I64" s="125"/>
      <c r="J64" s="125">
        <f t="shared" si="335"/>
        <v>7</v>
      </c>
      <c r="K64" s="125"/>
      <c r="L64" s="125"/>
      <c r="M64" s="125"/>
      <c r="N64" s="125">
        <f t="shared" si="336"/>
        <v>101427.5919446584</v>
      </c>
      <c r="O64" s="125"/>
      <c r="P64" s="125"/>
      <c r="Q64" s="125"/>
      <c r="R64" s="127">
        <f t="shared" si="337"/>
        <v>2.4815666375961311E-2</v>
      </c>
      <c r="S64" s="1"/>
      <c r="T64" s="1"/>
      <c r="U64" s="1"/>
      <c r="V64" s="1"/>
      <c r="W64" s="1"/>
      <c r="X64" s="1"/>
      <c r="Y64" s="1"/>
      <c r="Z64" s="1"/>
      <c r="AA64" s="1"/>
      <c r="AB64" s="117"/>
      <c r="AC64" s="141"/>
      <c r="AD64" s="308" t="s">
        <v>36</v>
      </c>
      <c r="AE64" s="308"/>
      <c r="AF64" s="308"/>
      <c r="AG64" s="308"/>
      <c r="AH64" s="308"/>
      <c r="AI64" s="307">
        <f>SUM(AI61:AJ63)</f>
        <v>26300000</v>
      </c>
      <c r="AJ64" s="307"/>
      <c r="AK64" s="164"/>
      <c r="AL64" s="164"/>
      <c r="AM64" s="164"/>
      <c r="AN64" s="163">
        <f>+AI64/AI66</f>
        <v>7.9696969696969697E-2</v>
      </c>
      <c r="AO64" s="187"/>
      <c r="AP64" s="183"/>
      <c r="AQ64" s="183"/>
      <c r="AR64" s="183"/>
      <c r="AS64" s="183"/>
      <c r="AT64" s="183"/>
      <c r="AU64" s="137"/>
      <c r="AV64" s="137"/>
      <c r="AW64" s="1"/>
      <c r="AX64" s="1"/>
      <c r="AY64" s="1"/>
      <c r="AZ64" s="1"/>
      <c r="BA64" s="15"/>
      <c r="BB64" s="141"/>
      <c r="BC64" s="142"/>
      <c r="BD64" s="142"/>
      <c r="BE64" s="171">
        <f>SUM(BE61:BE63)</f>
        <v>520862</v>
      </c>
      <c r="BF64" s="167"/>
      <c r="BG64" s="167"/>
      <c r="BH64" s="167"/>
      <c r="BI64" s="167"/>
      <c r="BJ64" s="167"/>
      <c r="BK64" s="171">
        <f>SUM(BK61:BK63)</f>
        <v>36395</v>
      </c>
      <c r="BL64" s="145"/>
      <c r="BM64" s="1"/>
    </row>
    <row r="65" spans="2:65" ht="15" thickTop="1" x14ac:dyDescent="0.3">
      <c r="B65" s="123">
        <f t="shared" ref="B65:B94" si="338">1+B64</f>
        <v>43924</v>
      </c>
      <c r="C65" s="124"/>
      <c r="D65" s="125">
        <f t="shared" ref="D65" si="339">+D64*(1+H64)</f>
        <v>517472.26979843411</v>
      </c>
      <c r="E65" s="125"/>
      <c r="F65" s="125"/>
      <c r="G65" s="125"/>
      <c r="H65" s="126">
        <f t="shared" ref="H65:H89" si="340">+H64</f>
        <v>0.25251059213323362</v>
      </c>
      <c r="I65" s="125"/>
      <c r="J65" s="125">
        <f t="shared" ref="J65:J89" si="341">+J64+1</f>
        <v>8</v>
      </c>
      <c r="K65" s="125"/>
      <c r="L65" s="125"/>
      <c r="M65" s="125"/>
      <c r="N65" s="125">
        <f t="shared" ref="N65" si="342">+N64*(1+R64)</f>
        <v>103944.58522767419</v>
      </c>
      <c r="O65" s="125"/>
      <c r="P65" s="125"/>
      <c r="Q65" s="125"/>
      <c r="R65" s="127">
        <f t="shared" ref="R65:R89" si="343">+R64</f>
        <v>2.4815666375961311E-2</v>
      </c>
      <c r="S65" s="1"/>
      <c r="T65" s="1"/>
      <c r="U65" s="1"/>
      <c r="V65" s="1"/>
      <c r="W65" s="1"/>
      <c r="X65" s="1" t="s">
        <v>18</v>
      </c>
      <c r="Y65" s="1"/>
      <c r="Z65" s="1"/>
      <c r="AA65" s="1"/>
      <c r="AB65" s="1"/>
      <c r="AC65" s="141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88"/>
      <c r="AP65" s="184"/>
      <c r="AQ65" s="184"/>
      <c r="AR65" s="184"/>
      <c r="AS65" s="184"/>
      <c r="AT65" s="184"/>
      <c r="AU65" s="137"/>
      <c r="AV65" s="137"/>
      <c r="AW65" s="1"/>
      <c r="AX65" s="1"/>
      <c r="AY65" s="1"/>
      <c r="AZ65" s="1"/>
      <c r="BA65" s="1"/>
      <c r="BB65" s="141"/>
      <c r="BC65" s="142"/>
      <c r="BD65" s="142"/>
      <c r="BE65" s="167"/>
      <c r="BF65" s="167"/>
      <c r="BG65" s="167"/>
      <c r="BH65" s="167"/>
      <c r="BI65" s="167"/>
      <c r="BJ65" s="167"/>
      <c r="BK65" s="167"/>
      <c r="BL65" s="145"/>
      <c r="BM65" s="1"/>
    </row>
    <row r="66" spans="2:65" ht="15" thickBot="1" x14ac:dyDescent="0.35">
      <c r="B66" s="123">
        <f t="shared" si="338"/>
        <v>43925</v>
      </c>
      <c r="C66" s="124"/>
      <c r="D66" s="125">
        <f t="shared" ref="D66" si="344">+D65*(1+H65)</f>
        <v>648139.49905776512</v>
      </c>
      <c r="E66" s="125"/>
      <c r="F66" s="125"/>
      <c r="G66" s="125"/>
      <c r="H66" s="126">
        <f t="shared" si="340"/>
        <v>0.25251059213323362</v>
      </c>
      <c r="I66" s="125"/>
      <c r="J66" s="125">
        <f t="shared" si="341"/>
        <v>9</v>
      </c>
      <c r="K66" s="125"/>
      <c r="L66" s="125"/>
      <c r="M66" s="125"/>
      <c r="N66" s="125">
        <f t="shared" ref="N66" si="345">+N65*(1+R65)</f>
        <v>106524.03937627183</v>
      </c>
      <c r="O66" s="125"/>
      <c r="P66" s="125"/>
      <c r="Q66" s="125"/>
      <c r="R66" s="127">
        <f t="shared" si="343"/>
        <v>2.4815666375961311E-2</v>
      </c>
      <c r="S66" s="1"/>
      <c r="T66" s="1"/>
      <c r="U66" s="1"/>
      <c r="V66" s="1"/>
      <c r="W66" s="1"/>
      <c r="X66" s="1"/>
      <c r="Y66" s="1"/>
      <c r="Z66" s="1"/>
      <c r="AA66" s="1"/>
      <c r="AB66" s="1"/>
      <c r="AC66" s="141"/>
      <c r="AD66" s="164" t="s">
        <v>45</v>
      </c>
      <c r="AE66" s="164"/>
      <c r="AF66" s="164"/>
      <c r="AG66" s="164"/>
      <c r="AH66" s="164"/>
      <c r="AI66" s="307">
        <v>330000000</v>
      </c>
      <c r="AJ66" s="307"/>
      <c r="AK66" s="164"/>
      <c r="AL66" s="164"/>
      <c r="AM66" s="164"/>
      <c r="AN66" s="164"/>
      <c r="AO66" s="188"/>
      <c r="AP66" s="184"/>
      <c r="AQ66" s="184"/>
      <c r="AR66" s="184"/>
      <c r="AS66" s="184"/>
      <c r="AT66" s="184"/>
      <c r="AU66" s="137"/>
      <c r="AV66" s="137"/>
      <c r="AW66" s="1"/>
      <c r="AX66" s="1"/>
      <c r="AY66" s="1"/>
      <c r="AZ66" s="1"/>
      <c r="BA66" s="1"/>
      <c r="BB66" s="141"/>
      <c r="BC66" s="151" t="s">
        <v>31</v>
      </c>
      <c r="BD66" s="142"/>
      <c r="BE66" s="298">
        <f>+BE64/H48</f>
        <v>0.50369603899118054</v>
      </c>
      <c r="BF66" s="167"/>
      <c r="BG66" s="167"/>
      <c r="BH66" s="167"/>
      <c r="BI66" s="167"/>
      <c r="BJ66" s="167"/>
      <c r="BK66" s="298">
        <f>+BK64/R48</f>
        <v>0.6156019011857039</v>
      </c>
      <c r="BL66" s="145"/>
      <c r="BM66" s="1"/>
    </row>
    <row r="67" spans="2:65" ht="15.6" thickTop="1" thickBot="1" x14ac:dyDescent="0.35">
      <c r="B67" s="123">
        <f t="shared" si="338"/>
        <v>43926</v>
      </c>
      <c r="C67" s="124"/>
      <c r="D67" s="125">
        <f t="shared" ref="D67" si="346">+D66*(1+H66)</f>
        <v>811801.58774977876</v>
      </c>
      <c r="E67" s="125"/>
      <c r="F67" s="125"/>
      <c r="G67" s="125"/>
      <c r="H67" s="126">
        <f t="shared" si="340"/>
        <v>0.25251059213323362</v>
      </c>
      <c r="I67" s="125"/>
      <c r="J67" s="125">
        <f t="shared" si="341"/>
        <v>10</v>
      </c>
      <c r="K67" s="125"/>
      <c r="L67" s="125"/>
      <c r="M67" s="125"/>
      <c r="N67" s="125">
        <f t="shared" ref="N67" si="347">+N66*(1+R66)</f>
        <v>109167.50439845317</v>
      </c>
      <c r="O67" s="125"/>
      <c r="P67" s="125"/>
      <c r="Q67" s="125"/>
      <c r="R67" s="127">
        <f t="shared" si="343"/>
        <v>2.4815666375961311E-2</v>
      </c>
      <c r="S67" s="1"/>
      <c r="T67" s="1"/>
      <c r="U67" s="1"/>
      <c r="V67" s="1"/>
      <c r="W67" s="1"/>
      <c r="X67" s="1"/>
      <c r="Y67" s="1"/>
      <c r="Z67" s="1"/>
      <c r="AA67" s="1"/>
      <c r="AB67" s="1"/>
      <c r="AC67" s="146"/>
      <c r="AD67" s="165"/>
      <c r="AE67" s="165"/>
      <c r="AF67" s="165"/>
      <c r="AG67" s="165"/>
      <c r="AH67" s="165"/>
      <c r="AI67" s="165"/>
      <c r="AJ67" s="165"/>
      <c r="AK67" s="165"/>
      <c r="AL67" s="165"/>
      <c r="AM67" s="165"/>
      <c r="AN67" s="165"/>
      <c r="AO67" s="189"/>
      <c r="AP67" s="184"/>
      <c r="AQ67" s="184"/>
      <c r="AR67" s="184"/>
      <c r="AS67" s="184"/>
      <c r="AT67" s="184"/>
      <c r="AU67" s="137"/>
      <c r="AV67" s="137"/>
      <c r="AW67" s="1"/>
      <c r="AX67" s="1"/>
      <c r="AY67" s="1"/>
      <c r="AZ67" s="1"/>
      <c r="BA67" s="1"/>
      <c r="BB67" s="146"/>
      <c r="BC67" s="156"/>
      <c r="BD67" s="147"/>
      <c r="BE67" s="172"/>
      <c r="BF67" s="166"/>
      <c r="BG67" s="166"/>
      <c r="BH67" s="166"/>
      <c r="BI67" s="166"/>
      <c r="BJ67" s="166"/>
      <c r="BK67" s="172"/>
      <c r="BL67" s="148"/>
      <c r="BM67" s="1"/>
    </row>
    <row r="68" spans="2:65" ht="15" thickBot="1" x14ac:dyDescent="0.35">
      <c r="B68" s="123">
        <f t="shared" si="338"/>
        <v>43927</v>
      </c>
      <c r="C68" s="124"/>
      <c r="D68" s="125">
        <f t="shared" ref="D68:D69" si="348">+D67*(1+H67)</f>
        <v>1016790.0873671746</v>
      </c>
      <c r="E68" s="125"/>
      <c r="F68" s="125"/>
      <c r="G68" s="125"/>
      <c r="H68" s="126">
        <f t="shared" si="340"/>
        <v>0.25251059213323362</v>
      </c>
      <c r="I68" s="125"/>
      <c r="J68" s="125">
        <f t="shared" si="341"/>
        <v>11</v>
      </c>
      <c r="K68" s="125"/>
      <c r="L68" s="125"/>
      <c r="M68" s="125"/>
      <c r="N68" s="125">
        <f t="shared" ref="N68:N69" si="349">+N67*(1+R67)</f>
        <v>111876.56876670147</v>
      </c>
      <c r="O68" s="125"/>
      <c r="P68" s="125"/>
      <c r="Q68" s="125"/>
      <c r="R68" s="127">
        <f t="shared" si="343"/>
        <v>2.4815666375961311E-2</v>
      </c>
      <c r="S68" s="1"/>
      <c r="T68" s="1"/>
      <c r="U68" s="1"/>
      <c r="V68" s="1"/>
      <c r="W68" s="1"/>
      <c r="X68" s="1"/>
      <c r="Y68" s="1"/>
      <c r="Z68" s="1"/>
      <c r="AA68" s="1"/>
      <c r="AB68" s="137"/>
      <c r="AC68" s="137"/>
      <c r="AD68" s="153"/>
      <c r="AE68" s="137"/>
      <c r="AF68" s="137"/>
      <c r="AG68" s="137"/>
      <c r="AH68" s="137"/>
      <c r="AI68" s="137"/>
      <c r="AJ68" s="152"/>
      <c r="AK68" s="137"/>
      <c r="AL68" s="137"/>
      <c r="AM68" s="137"/>
      <c r="AN68" s="137"/>
      <c r="AO68" s="137"/>
      <c r="AP68" s="137"/>
      <c r="AQ68" s="137"/>
      <c r="AR68" s="137"/>
      <c r="AS68" s="137"/>
      <c r="AT68" s="137"/>
      <c r="AU68" s="137"/>
      <c r="AV68" s="137"/>
      <c r="AW68" s="1"/>
      <c r="AX68" s="1"/>
      <c r="AY68" s="1"/>
      <c r="AZ68" s="1"/>
      <c r="BA68" s="137"/>
      <c r="BB68" s="137"/>
      <c r="BC68" s="154"/>
      <c r="BD68" s="137"/>
      <c r="BE68" s="155"/>
      <c r="BF68" s="137"/>
      <c r="BG68" s="137"/>
      <c r="BH68" s="137"/>
      <c r="BI68" s="137"/>
      <c r="BJ68" s="137"/>
      <c r="BK68" s="155"/>
      <c r="BL68" s="137"/>
      <c r="BM68" s="137"/>
    </row>
    <row r="69" spans="2:65" ht="15" thickBot="1" x14ac:dyDescent="0.35">
      <c r="B69" s="123">
        <f t="shared" si="338"/>
        <v>43928</v>
      </c>
      <c r="C69" s="124"/>
      <c r="D69" s="125">
        <f t="shared" si="348"/>
        <v>1273540.354403462</v>
      </c>
      <c r="E69" s="125"/>
      <c r="F69" s="125"/>
      <c r="G69" s="125"/>
      <c r="H69" s="126">
        <f t="shared" si="340"/>
        <v>0.25251059213323362</v>
      </c>
      <c r="I69" s="125"/>
      <c r="J69" s="125">
        <f t="shared" si="341"/>
        <v>12</v>
      </c>
      <c r="K69" s="125"/>
      <c r="L69" s="125"/>
      <c r="M69" s="125"/>
      <c r="N69" s="125">
        <f t="shared" si="349"/>
        <v>114652.86037250323</v>
      </c>
      <c r="O69" s="125"/>
      <c r="P69" s="125"/>
      <c r="Q69" s="125"/>
      <c r="R69" s="127">
        <f t="shared" si="343"/>
        <v>2.4815666375961311E-2</v>
      </c>
      <c r="S69" s="1"/>
      <c r="T69" s="1"/>
      <c r="U69" s="1"/>
      <c r="V69" s="1"/>
      <c r="W69" s="358" t="s">
        <v>50</v>
      </c>
      <c r="X69" s="359"/>
      <c r="Y69" s="359"/>
      <c r="Z69" s="359"/>
      <c r="AA69" s="359"/>
      <c r="AB69" s="359"/>
      <c r="AC69" s="359"/>
      <c r="AD69" s="359"/>
      <c r="AE69" s="359"/>
      <c r="AF69" s="359"/>
      <c r="AG69" s="359"/>
      <c r="AH69" s="359"/>
      <c r="AI69" s="359"/>
      <c r="AJ69" s="359"/>
      <c r="AK69" s="360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"/>
      <c r="AX69" s="1"/>
      <c r="AY69" s="1"/>
      <c r="AZ69" s="1"/>
      <c r="BA69" s="137"/>
      <c r="BB69" s="137"/>
      <c r="BC69" s="154"/>
      <c r="BD69" s="137"/>
      <c r="BE69" s="137"/>
      <c r="BF69" s="137"/>
      <c r="BG69" s="137"/>
      <c r="BH69" s="137"/>
      <c r="BI69" s="137"/>
      <c r="BJ69" s="137"/>
      <c r="BK69" s="195"/>
      <c r="BL69" s="137"/>
      <c r="BM69" s="137"/>
    </row>
    <row r="70" spans="2:65" ht="15" thickBot="1" x14ac:dyDescent="0.35">
      <c r="B70" s="123">
        <f t="shared" si="338"/>
        <v>43929</v>
      </c>
      <c r="C70" s="124"/>
      <c r="D70" s="125">
        <f t="shared" ref="D70" si="350">+D69*(1+H69)</f>
        <v>1595122.7833994483</v>
      </c>
      <c r="E70" s="125"/>
      <c r="F70" s="125"/>
      <c r="G70" s="125"/>
      <c r="H70" s="126">
        <f t="shared" si="340"/>
        <v>0.25251059213323362</v>
      </c>
      <c r="I70" s="125"/>
      <c r="J70" s="125">
        <f t="shared" si="341"/>
        <v>13</v>
      </c>
      <c r="K70" s="125"/>
      <c r="L70" s="125"/>
      <c r="M70" s="125"/>
      <c r="N70" s="125">
        <f t="shared" ref="N70" si="351">+N69*(1+R69)</f>
        <v>117498.04750455695</v>
      </c>
      <c r="O70" s="125"/>
      <c r="P70" s="125"/>
      <c r="Q70" s="125"/>
      <c r="R70" s="127">
        <f t="shared" si="343"/>
        <v>2.4815666375961311E-2</v>
      </c>
      <c r="S70" s="1"/>
      <c r="T70" s="1"/>
      <c r="U70" s="1"/>
      <c r="V70" s="1"/>
      <c r="W70" s="278"/>
      <c r="X70" s="361" t="s">
        <v>81</v>
      </c>
      <c r="Y70" s="361"/>
      <c r="Z70" s="361"/>
      <c r="AA70" s="361"/>
      <c r="AB70" s="361"/>
      <c r="AC70" s="273"/>
      <c r="AD70" s="279" t="s">
        <v>80</v>
      </c>
      <c r="AE70" s="280"/>
      <c r="AF70" s="273"/>
      <c r="AG70" s="309" t="s">
        <v>78</v>
      </c>
      <c r="AH70" s="309"/>
      <c r="AI70" s="273"/>
      <c r="AJ70" s="277" t="s">
        <v>79</v>
      </c>
      <c r="AK70" s="274"/>
      <c r="AL70" s="191"/>
      <c r="AM70" s="227"/>
      <c r="AN70" s="303" t="s">
        <v>67</v>
      </c>
      <c r="AO70" s="303"/>
      <c r="AP70" s="303"/>
      <c r="AQ70" s="303"/>
      <c r="AR70" s="303"/>
      <c r="AS70" s="303"/>
      <c r="AT70" s="303"/>
      <c r="AU70" s="303"/>
      <c r="AV70" s="303"/>
      <c r="AW70" s="228"/>
      <c r="AX70" s="1"/>
      <c r="AY70" s="1"/>
      <c r="AZ70" s="304" t="s">
        <v>61</v>
      </c>
      <c r="BA70" s="305"/>
      <c r="BB70" s="305"/>
      <c r="BC70" s="305"/>
      <c r="BD70" s="305"/>
      <c r="BE70" s="305"/>
      <c r="BF70" s="305"/>
      <c r="BG70" s="305"/>
      <c r="BH70" s="305"/>
      <c r="BI70" s="305"/>
      <c r="BJ70" s="305"/>
      <c r="BK70" s="305"/>
      <c r="BL70" s="306"/>
      <c r="BM70" s="137"/>
    </row>
    <row r="71" spans="2:65" x14ac:dyDescent="0.3">
      <c r="B71" s="123">
        <f t="shared" si="338"/>
        <v>43930</v>
      </c>
      <c r="C71" s="124"/>
      <c r="D71" s="125">
        <f t="shared" ref="D71" si="352">+D70*(1+H70)</f>
        <v>1997908.1819608547</v>
      </c>
      <c r="E71" s="125"/>
      <c r="F71" s="125"/>
      <c r="G71" s="125"/>
      <c r="H71" s="126">
        <f t="shared" si="340"/>
        <v>0.25251059213323362</v>
      </c>
      <c r="I71" s="125"/>
      <c r="J71" s="125">
        <f t="shared" si="341"/>
        <v>14</v>
      </c>
      <c r="K71" s="125"/>
      <c r="L71" s="125"/>
      <c r="M71" s="125"/>
      <c r="N71" s="125">
        <f t="shared" ref="N71" si="353">+N70*(1+R70)</f>
        <v>120413.83985125688</v>
      </c>
      <c r="O71" s="125"/>
      <c r="P71" s="125"/>
      <c r="Q71" s="125"/>
      <c r="R71" s="127">
        <f t="shared" si="343"/>
        <v>2.4815666375961311E-2</v>
      </c>
      <c r="S71" s="1"/>
      <c r="T71" s="1"/>
      <c r="U71" s="1"/>
      <c r="V71" s="1"/>
      <c r="W71" s="244"/>
      <c r="X71" s="245" t="s">
        <v>47</v>
      </c>
      <c r="Y71" s="246"/>
      <c r="Z71" s="245"/>
      <c r="AA71" s="245"/>
      <c r="AB71" s="245"/>
      <c r="AC71" s="247"/>
      <c r="AD71" s="152">
        <f>+H34</f>
        <v>622602</v>
      </c>
      <c r="AE71" s="247"/>
      <c r="AF71" s="272"/>
      <c r="AG71" s="272"/>
      <c r="AH71" s="272"/>
      <c r="AI71" s="272"/>
      <c r="AJ71" s="272"/>
      <c r="AK71" s="254"/>
      <c r="AL71" s="137"/>
      <c r="AM71" s="219"/>
      <c r="AN71" s="229" t="s">
        <v>68</v>
      </c>
      <c r="AO71" s="225"/>
      <c r="AP71" s="225"/>
      <c r="AQ71" s="225"/>
      <c r="AR71" s="225"/>
      <c r="AS71" s="225"/>
      <c r="AT71" s="229" t="s">
        <v>69</v>
      </c>
      <c r="AU71" s="226"/>
      <c r="AV71" s="230" t="s">
        <v>10</v>
      </c>
      <c r="AW71" s="220"/>
      <c r="AX71" s="1"/>
      <c r="AY71" s="1"/>
      <c r="AZ71" s="209"/>
      <c r="BA71" s="211" t="s">
        <v>57</v>
      </c>
      <c r="BB71" s="212"/>
      <c r="BC71" s="211" t="s">
        <v>21</v>
      </c>
      <c r="BD71" s="212"/>
      <c r="BE71" s="211" t="s">
        <v>58</v>
      </c>
      <c r="BF71" s="212"/>
      <c r="BG71" s="211" t="s">
        <v>60</v>
      </c>
      <c r="BH71" s="212"/>
      <c r="BI71" s="212"/>
      <c r="BJ71" s="212"/>
      <c r="BK71" s="211" t="s">
        <v>59</v>
      </c>
      <c r="BL71" s="210"/>
      <c r="BM71" s="137"/>
    </row>
    <row r="72" spans="2:65" x14ac:dyDescent="0.3">
      <c r="B72" s="123">
        <f t="shared" si="338"/>
        <v>43931</v>
      </c>
      <c r="C72" s="124"/>
      <c r="D72" s="125">
        <f t="shared" ref="D72" si="354">+D71*(1+H71)</f>
        <v>2502401.1600156222</v>
      </c>
      <c r="E72" s="125"/>
      <c r="F72" s="125"/>
      <c r="G72" s="125"/>
      <c r="H72" s="126">
        <f t="shared" si="340"/>
        <v>0.25251059213323362</v>
      </c>
      <c r="I72" s="125"/>
      <c r="J72" s="125">
        <f t="shared" si="341"/>
        <v>15</v>
      </c>
      <c r="K72" s="125"/>
      <c r="L72" s="125"/>
      <c r="M72" s="125"/>
      <c r="N72" s="125">
        <f t="shared" ref="N72" si="355">+N71*(1+R71)</f>
        <v>123401.98952805411</v>
      </c>
      <c r="O72" s="125"/>
      <c r="P72" s="125"/>
      <c r="Q72" s="125"/>
      <c r="R72" s="127">
        <f t="shared" si="343"/>
        <v>2.4815666375961311E-2</v>
      </c>
      <c r="S72" s="1"/>
      <c r="T72" s="135"/>
      <c r="U72" s="1"/>
      <c r="V72" s="1"/>
      <c r="W72" s="244"/>
      <c r="X72" s="245" t="s">
        <v>48</v>
      </c>
      <c r="Y72" s="245" t="s">
        <v>4</v>
      </c>
      <c r="Z72" s="245"/>
      <c r="AA72" s="245"/>
      <c r="AB72" s="245"/>
      <c r="AC72" s="247"/>
      <c r="AD72" s="248">
        <f>+R48</f>
        <v>59121</v>
      </c>
      <c r="AE72" s="247"/>
      <c r="AF72" s="272"/>
      <c r="AG72" s="272"/>
      <c r="AH72" s="272"/>
      <c r="AI72" s="272"/>
      <c r="AJ72" s="272"/>
      <c r="AK72" s="254"/>
      <c r="AL72" s="137"/>
      <c r="AM72" s="219"/>
      <c r="AN72" s="235" t="s">
        <v>64</v>
      </c>
      <c r="AO72" s="235"/>
      <c r="AP72" s="235"/>
      <c r="AQ72" s="235"/>
      <c r="AR72" s="235"/>
      <c r="AS72" s="235"/>
      <c r="AT72" s="236">
        <v>330</v>
      </c>
      <c r="AU72" s="235"/>
      <c r="AV72" s="237">
        <f>+AT72/AT72</f>
        <v>1</v>
      </c>
      <c r="AW72" s="220"/>
      <c r="AX72" s="1"/>
      <c r="AY72" s="1"/>
      <c r="AZ72" s="200"/>
      <c r="BA72" s="137" t="s">
        <v>54</v>
      </c>
      <c r="BB72" s="137"/>
      <c r="BC72" s="137">
        <f>+BA48</f>
        <v>295106</v>
      </c>
      <c r="BD72" s="137"/>
      <c r="BE72" s="137">
        <v>1517</v>
      </c>
      <c r="BF72" s="137"/>
      <c r="BG72" s="155">
        <f>+BC72/BC$75</f>
        <v>0.67797754977324631</v>
      </c>
      <c r="BH72" s="155"/>
      <c r="BI72" s="155"/>
      <c r="BJ72" s="201"/>
      <c r="BK72" s="136">
        <f>+BE72*BG72</f>
        <v>1028.4919430060147</v>
      </c>
      <c r="BL72" s="202"/>
      <c r="BM72" s="137"/>
    </row>
    <row r="73" spans="2:65" x14ac:dyDescent="0.3">
      <c r="B73" s="123">
        <f t="shared" si="338"/>
        <v>43932</v>
      </c>
      <c r="C73" s="124"/>
      <c r="D73" s="125">
        <f t="shared" ref="D73" si="356">+D72*(1+H72)</f>
        <v>3134283.9586860575</v>
      </c>
      <c r="E73" s="125"/>
      <c r="F73" s="125"/>
      <c r="G73" s="125"/>
      <c r="H73" s="126">
        <f t="shared" si="340"/>
        <v>0.25251059213323362</v>
      </c>
      <c r="I73" s="125"/>
      <c r="J73" s="125">
        <f t="shared" si="341"/>
        <v>16</v>
      </c>
      <c r="K73" s="125"/>
      <c r="L73" s="125"/>
      <c r="M73" s="125"/>
      <c r="N73" s="125">
        <f t="shared" ref="N73" si="357">+N72*(1+R72)</f>
        <v>126464.29213031217</v>
      </c>
      <c r="O73" s="125"/>
      <c r="P73" s="125"/>
      <c r="Q73" s="125"/>
      <c r="R73" s="127">
        <f t="shared" si="343"/>
        <v>2.4815666375961311E-2</v>
      </c>
      <c r="S73" s="1"/>
      <c r="T73" s="1"/>
      <c r="U73" s="1"/>
      <c r="V73" s="1"/>
      <c r="W73" s="244"/>
      <c r="X73" s="245"/>
      <c r="Y73" s="245" t="s">
        <v>49</v>
      </c>
      <c r="Z73" s="245"/>
      <c r="AA73" s="245"/>
      <c r="AB73" s="245"/>
      <c r="AC73" s="247"/>
      <c r="AD73" s="299">
        <v>15367</v>
      </c>
      <c r="AE73" s="247"/>
      <c r="AF73" s="272"/>
      <c r="AG73" s="272"/>
      <c r="AH73" s="248">
        <v>14175</v>
      </c>
      <c r="AI73" s="272"/>
      <c r="AJ73" s="300">
        <f>+(AD73-AH73)/AD73</f>
        <v>7.7568816294657381E-2</v>
      </c>
      <c r="AK73" s="254"/>
      <c r="AL73" s="137"/>
      <c r="AM73" s="219"/>
      <c r="AN73" s="238" t="s">
        <v>66</v>
      </c>
      <c r="AO73" s="235"/>
      <c r="AP73" s="235"/>
      <c r="AQ73" s="235"/>
      <c r="AR73" s="235"/>
      <c r="AS73" s="235"/>
      <c r="AT73" s="239">
        <v>53.42</v>
      </c>
      <c r="AU73" s="235"/>
      <c r="AV73" s="237">
        <f>+AT73/AT72</f>
        <v>0.16187878787878787</v>
      </c>
      <c r="AW73" s="220"/>
      <c r="AX73" s="1"/>
      <c r="AY73" s="1"/>
      <c r="AZ73" s="200"/>
      <c r="BA73" s="137" t="s">
        <v>55</v>
      </c>
      <c r="BB73" s="137"/>
      <c r="BC73" s="137">
        <v>113856</v>
      </c>
      <c r="BD73" s="137"/>
      <c r="BE73" s="137">
        <v>1282</v>
      </c>
      <c r="BF73" s="137"/>
      <c r="BG73" s="155">
        <f>+BC73/BC$75</f>
        <v>0.2615731700032623</v>
      </c>
      <c r="BH73" s="155"/>
      <c r="BI73" s="155"/>
      <c r="BJ73" s="201"/>
      <c r="BK73" s="136">
        <f t="shared" ref="BK73:BK74" si="358">+BE73*BG73</f>
        <v>335.33680394418229</v>
      </c>
      <c r="BL73" s="202"/>
      <c r="BM73" s="137"/>
    </row>
    <row r="74" spans="2:65" x14ac:dyDescent="0.3">
      <c r="B74" s="123">
        <f t="shared" si="338"/>
        <v>43933</v>
      </c>
      <c r="C74" s="124"/>
      <c r="D74" s="125">
        <f t="shared" ref="D74" si="359">+D73*(1+H73)</f>
        <v>3925723.8570075692</v>
      </c>
      <c r="E74" s="125"/>
      <c r="F74" s="125"/>
      <c r="G74" s="125"/>
      <c r="H74" s="126">
        <f t="shared" si="340"/>
        <v>0.25251059213323362</v>
      </c>
      <c r="I74" s="125"/>
      <c r="J74" s="125">
        <f t="shared" si="341"/>
        <v>17</v>
      </c>
      <c r="K74" s="125"/>
      <c r="L74" s="125"/>
      <c r="M74" s="125"/>
      <c r="N74" s="125">
        <f t="shared" ref="N74" si="360">+N73*(1+R73)</f>
        <v>129602.5878122901</v>
      </c>
      <c r="O74" s="125"/>
      <c r="P74" s="125"/>
      <c r="Q74" s="125"/>
      <c r="R74" s="127">
        <f t="shared" si="343"/>
        <v>2.4815666375961311E-2</v>
      </c>
      <c r="S74" s="1"/>
      <c r="T74" s="1"/>
      <c r="U74" s="1"/>
      <c r="V74" s="1"/>
      <c r="W74" s="244"/>
      <c r="X74" s="245"/>
      <c r="Y74" s="255" t="s">
        <v>76</v>
      </c>
      <c r="Z74" s="255"/>
      <c r="AA74" s="255"/>
      <c r="AB74" s="255"/>
      <c r="AC74" s="247"/>
      <c r="AD74" s="248">
        <f>+AD71-AD72-AD73</f>
        <v>548114</v>
      </c>
      <c r="AE74" s="247"/>
      <c r="AF74" s="272"/>
      <c r="AG74" s="272"/>
      <c r="AH74" s="272"/>
      <c r="AI74" s="272"/>
      <c r="AJ74" s="272"/>
      <c r="AK74" s="254"/>
      <c r="AL74" s="190"/>
      <c r="AM74" s="219"/>
      <c r="AN74" s="240" t="s">
        <v>70</v>
      </c>
      <c r="AO74" s="240"/>
      <c r="AP74" s="240"/>
      <c r="AQ74" s="240"/>
      <c r="AR74" s="240"/>
      <c r="AS74" s="235"/>
      <c r="AT74" s="236">
        <f>+AV74*AT73</f>
        <v>11.37846</v>
      </c>
      <c r="AU74" s="235"/>
      <c r="AV74" s="237">
        <v>0.21299999999999999</v>
      </c>
      <c r="AW74" s="220"/>
      <c r="AX74" s="1"/>
      <c r="AY74" s="1"/>
      <c r="AZ74" s="200"/>
      <c r="BA74" s="137" t="s">
        <v>56</v>
      </c>
      <c r="BB74" s="137"/>
      <c r="BC74" s="137">
        <v>26312</v>
      </c>
      <c r="BD74" s="137"/>
      <c r="BE74" s="137">
        <v>738</v>
      </c>
      <c r="BF74" s="137"/>
      <c r="BG74" s="155">
        <f>+BC74/BC$75</f>
        <v>6.0449280223491407E-2</v>
      </c>
      <c r="BH74" s="155"/>
      <c r="BI74" s="155"/>
      <c r="BJ74" s="201"/>
      <c r="BK74" s="136">
        <f t="shared" si="358"/>
        <v>44.61156880493666</v>
      </c>
      <c r="BL74" s="202"/>
      <c r="BM74" s="137"/>
    </row>
    <row r="75" spans="2:65" ht="15" thickBot="1" x14ac:dyDescent="0.35">
      <c r="B75" s="123">
        <f t="shared" si="338"/>
        <v>43934</v>
      </c>
      <c r="C75" s="124"/>
      <c r="D75" s="125">
        <f t="shared" ref="D75" si="361">+D74*(1+H74)</f>
        <v>4917010.7126921117</v>
      </c>
      <c r="E75" s="125"/>
      <c r="F75" s="125"/>
      <c r="G75" s="125"/>
      <c r="H75" s="126">
        <f t="shared" si="340"/>
        <v>0.25251059213323362</v>
      </c>
      <c r="I75" s="125"/>
      <c r="J75" s="125">
        <f t="shared" si="341"/>
        <v>18</v>
      </c>
      <c r="K75" s="125"/>
      <c r="L75" s="125"/>
      <c r="M75" s="125"/>
      <c r="N75" s="125">
        <f t="shared" ref="N75" si="362">+N74*(1+R74)</f>
        <v>132818.76239290112</v>
      </c>
      <c r="O75" s="125"/>
      <c r="P75" s="125"/>
      <c r="Q75" s="125"/>
      <c r="R75" s="127">
        <f t="shared" si="343"/>
        <v>2.4815666375961311E-2</v>
      </c>
      <c r="S75" s="1"/>
      <c r="T75" s="1"/>
      <c r="U75" s="1"/>
      <c r="V75" s="1"/>
      <c r="W75" s="244"/>
      <c r="X75" s="245" t="s">
        <v>84</v>
      </c>
      <c r="Y75" s="247"/>
      <c r="Z75" s="247"/>
      <c r="AA75" s="247"/>
      <c r="AB75" s="247"/>
      <c r="AC75" s="247"/>
      <c r="AD75" s="249">
        <f>+AB48</f>
        <v>141951</v>
      </c>
      <c r="AE75" s="247"/>
      <c r="AF75" s="272"/>
      <c r="AG75" s="272"/>
      <c r="AH75" s="272"/>
      <c r="AI75" s="272"/>
      <c r="AJ75" s="272"/>
      <c r="AK75" s="254"/>
      <c r="AL75" s="190"/>
      <c r="AM75" s="221"/>
      <c r="AN75" s="241" t="s">
        <v>71</v>
      </c>
      <c r="AO75" s="241"/>
      <c r="AP75" s="241"/>
      <c r="AQ75" s="241"/>
      <c r="AR75" s="241"/>
      <c r="AS75" s="242"/>
      <c r="AT75" s="243"/>
      <c r="AU75" s="242"/>
      <c r="AV75" s="243">
        <f>+AT74/AT72</f>
        <v>3.448018181818182E-2</v>
      </c>
      <c r="AW75" s="222"/>
      <c r="AX75" s="1"/>
      <c r="AY75" s="1"/>
      <c r="AZ75" s="200"/>
      <c r="BA75" s="137"/>
      <c r="BB75" s="137"/>
      <c r="BC75" s="196">
        <f>SUM(BC72:BC74)</f>
        <v>435274</v>
      </c>
      <c r="BD75" s="137"/>
      <c r="BE75" s="137"/>
      <c r="BF75" s="137"/>
      <c r="BG75" s="197">
        <f>SUM(BG72:BG74)</f>
        <v>1</v>
      </c>
      <c r="BH75" s="155"/>
      <c r="BI75" s="155"/>
      <c r="BJ75" s="201"/>
      <c r="BK75" s="196">
        <f>SUM(BK72:BK74)</f>
        <v>1408.4403157551337</v>
      </c>
      <c r="BL75" s="202"/>
      <c r="BM75" s="137"/>
    </row>
    <row r="76" spans="2:65" ht="15" thickBot="1" x14ac:dyDescent="0.35">
      <c r="B76" s="123">
        <f t="shared" si="338"/>
        <v>43935</v>
      </c>
      <c r="C76" s="124"/>
      <c r="D76" s="125">
        <f t="shared" ref="D76" si="363">+D75*(1+H75)</f>
        <v>6158607.9992794497</v>
      </c>
      <c r="E76" s="125"/>
      <c r="F76" s="125"/>
      <c r="G76" s="125"/>
      <c r="H76" s="126">
        <f t="shared" si="340"/>
        <v>0.25251059213323362</v>
      </c>
      <c r="I76" s="125"/>
      <c r="J76" s="125">
        <f t="shared" si="341"/>
        <v>19</v>
      </c>
      <c r="K76" s="125"/>
      <c r="L76" s="125"/>
      <c r="M76" s="125"/>
      <c r="N76" s="125">
        <f t="shared" ref="N76" si="364">+N75*(1+R75)</f>
        <v>136114.74848891143</v>
      </c>
      <c r="O76" s="125"/>
      <c r="P76" s="125"/>
      <c r="Q76" s="125"/>
      <c r="R76" s="127">
        <f t="shared" si="343"/>
        <v>2.4815666375961311E-2</v>
      </c>
      <c r="S76" s="1"/>
      <c r="T76" s="1"/>
      <c r="U76" s="1"/>
      <c r="V76" s="1"/>
      <c r="W76" s="354" t="s">
        <v>53</v>
      </c>
      <c r="X76" s="355"/>
      <c r="Y76" s="355"/>
      <c r="Z76" s="355"/>
      <c r="AA76" s="355"/>
      <c r="AB76" s="355"/>
      <c r="AC76" s="256"/>
      <c r="AD76" s="250">
        <f>+AD74-AD75</f>
        <v>406163</v>
      </c>
      <c r="AE76" s="247"/>
      <c r="AF76" s="272"/>
      <c r="AG76" s="272"/>
      <c r="AH76" s="272"/>
      <c r="AI76" s="272"/>
      <c r="AJ76" s="272"/>
      <c r="AK76" s="254"/>
      <c r="AL76" s="190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"/>
      <c r="AX76" s="1"/>
      <c r="AY76" s="1"/>
      <c r="AZ76" s="203"/>
      <c r="BA76" s="204"/>
      <c r="BB76" s="204"/>
      <c r="BC76" s="204"/>
      <c r="BD76" s="204"/>
      <c r="BE76" s="204"/>
      <c r="BF76" s="204"/>
      <c r="BG76" s="205"/>
      <c r="BH76" s="205"/>
      <c r="BI76" s="205"/>
      <c r="BJ76" s="206"/>
      <c r="BK76" s="207"/>
      <c r="BL76" s="208"/>
      <c r="BM76" s="137"/>
    </row>
    <row r="77" spans="2:65" x14ac:dyDescent="0.3">
      <c r="B77" s="123">
        <f t="shared" si="338"/>
        <v>43936</v>
      </c>
      <c r="C77" s="124"/>
      <c r="D77" s="125">
        <f t="shared" ref="D77" si="365">+D76*(1+H76)</f>
        <v>7713721.751893972</v>
      </c>
      <c r="E77" s="125"/>
      <c r="F77" s="125"/>
      <c r="G77" s="125"/>
      <c r="H77" s="126">
        <f t="shared" si="340"/>
        <v>0.25251059213323362</v>
      </c>
      <c r="I77" s="125"/>
      <c r="J77" s="125">
        <f t="shared" si="341"/>
        <v>20</v>
      </c>
      <c r="K77" s="125"/>
      <c r="L77" s="125"/>
      <c r="M77" s="125"/>
      <c r="N77" s="125">
        <f t="shared" ref="N77" si="366">+N76*(1+R76)</f>
        <v>139492.52667626014</v>
      </c>
      <c r="O77" s="125"/>
      <c r="P77" s="125"/>
      <c r="Q77" s="125"/>
      <c r="R77" s="127">
        <f t="shared" si="343"/>
        <v>2.4815666375961311E-2</v>
      </c>
      <c r="S77" s="1"/>
      <c r="T77" s="1"/>
      <c r="U77" s="1"/>
      <c r="V77" s="1"/>
      <c r="W77" s="244"/>
      <c r="X77" s="245" t="s">
        <v>77</v>
      </c>
      <c r="Y77" s="247"/>
      <c r="Z77" s="247"/>
      <c r="AA77" s="247"/>
      <c r="AB77" s="247"/>
      <c r="AC77" s="247"/>
      <c r="AD77" s="249">
        <f>+AD75</f>
        <v>141951</v>
      </c>
      <c r="AE77" s="247"/>
      <c r="AF77" s="272"/>
      <c r="AG77" s="272"/>
      <c r="AH77" s="272"/>
      <c r="AI77" s="272"/>
      <c r="AJ77" s="272"/>
      <c r="AK77" s="254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"/>
      <c r="AX77" s="1"/>
      <c r="AY77" s="1"/>
      <c r="AZ77" s="1"/>
      <c r="BA77" s="137"/>
      <c r="BB77" s="137"/>
      <c r="BC77" s="137"/>
      <c r="BD77" s="137"/>
      <c r="BE77" s="137"/>
      <c r="BF77" s="137"/>
      <c r="BG77" s="137"/>
      <c r="BH77" s="137"/>
      <c r="BI77" s="137"/>
      <c r="BL77" s="137"/>
      <c r="BM77" s="137"/>
    </row>
    <row r="78" spans="2:65" ht="15" thickBot="1" x14ac:dyDescent="0.35">
      <c r="B78" s="123">
        <f t="shared" si="338"/>
        <v>43937</v>
      </c>
      <c r="C78" s="124"/>
      <c r="D78" s="125">
        <f t="shared" ref="D78" si="367">+D77*(1+H77)</f>
        <v>9661518.1990157235</v>
      </c>
      <c r="E78" s="125"/>
      <c r="F78" s="125"/>
      <c r="G78" s="125"/>
      <c r="H78" s="126">
        <f t="shared" si="340"/>
        <v>0.25251059213323362</v>
      </c>
      <c r="I78" s="125"/>
      <c r="J78" s="125">
        <f t="shared" si="341"/>
        <v>21</v>
      </c>
      <c r="K78" s="125"/>
      <c r="L78" s="125"/>
      <c r="M78" s="125"/>
      <c r="N78" s="125">
        <f t="shared" ref="N78" si="368">+N77*(1+R77)</f>
        <v>142954.1266801981</v>
      </c>
      <c r="O78" s="125"/>
      <c r="P78" s="125"/>
      <c r="Q78" s="125"/>
      <c r="R78" s="127">
        <f t="shared" si="343"/>
        <v>2.4815666375961311E-2</v>
      </c>
      <c r="S78" s="1"/>
      <c r="T78" s="1"/>
      <c r="U78" s="1"/>
      <c r="V78" s="1"/>
      <c r="W78" s="354" t="s">
        <v>50</v>
      </c>
      <c r="X78" s="355"/>
      <c r="Y78" s="355"/>
      <c r="Z78" s="355"/>
      <c r="AA78" s="355"/>
      <c r="AB78" s="355"/>
      <c r="AC78" s="256"/>
      <c r="AD78" s="281">
        <f>+AD76+AD77</f>
        <v>548114</v>
      </c>
      <c r="AE78" s="247"/>
      <c r="AF78" s="272"/>
      <c r="AG78" s="357">
        <v>516095</v>
      </c>
      <c r="AH78" s="357"/>
      <c r="AI78" s="272"/>
      <c r="AJ78" s="282">
        <f>+AD78-AG78</f>
        <v>32019</v>
      </c>
      <c r="AK78" s="254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"/>
      <c r="AX78" s="1"/>
      <c r="AY78" s="1"/>
      <c r="AZ78" s="1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</row>
    <row r="79" spans="2:65" ht="15.6" thickTop="1" thickBot="1" x14ac:dyDescent="0.35">
      <c r="B79" s="123">
        <f t="shared" si="338"/>
        <v>43938</v>
      </c>
      <c r="C79" s="124"/>
      <c r="D79" s="125">
        <f t="shared" ref="D79" si="369">+D78*(1+H78)</f>
        <v>12101153.880355196</v>
      </c>
      <c r="E79" s="125"/>
      <c r="F79" s="125"/>
      <c r="G79" s="125"/>
      <c r="H79" s="126">
        <f t="shared" si="340"/>
        <v>0.25251059213323362</v>
      </c>
      <c r="I79" s="125"/>
      <c r="J79" s="125">
        <f t="shared" si="341"/>
        <v>22</v>
      </c>
      <c r="K79" s="125"/>
      <c r="L79" s="125"/>
      <c r="M79" s="125"/>
      <c r="N79" s="125">
        <f t="shared" ref="N79" si="370">+N78*(1+R78)</f>
        <v>146501.62859496081</v>
      </c>
      <c r="O79" s="125"/>
      <c r="P79" s="125"/>
      <c r="Q79" s="125"/>
      <c r="R79" s="127">
        <f t="shared" si="343"/>
        <v>2.4815666375961311E-2</v>
      </c>
      <c r="S79" s="15"/>
      <c r="T79" s="15"/>
      <c r="U79" s="15"/>
      <c r="V79" s="15"/>
      <c r="W79" s="253"/>
      <c r="X79" s="255" t="s">
        <v>75</v>
      </c>
      <c r="Y79" s="255"/>
      <c r="Z79" s="255"/>
      <c r="AA79" s="255"/>
      <c r="AB79" s="255"/>
      <c r="AC79" s="245"/>
      <c r="AD79" s="297">
        <f>+AD78/H48</f>
        <v>0.53004989942751046</v>
      </c>
      <c r="AE79" s="272"/>
      <c r="AF79" s="272"/>
      <c r="AG79" s="272"/>
      <c r="AH79" s="272"/>
      <c r="AI79" s="185"/>
      <c r="AJ79" s="302">
        <f>+AJ78/AG78</f>
        <v>6.2040903322062801E-2</v>
      </c>
      <c r="AK79" s="254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36"/>
      <c r="BB79" s="136"/>
      <c r="BC79" s="136"/>
      <c r="BD79" s="136"/>
      <c r="BE79" s="223"/>
      <c r="BF79" s="1"/>
      <c r="BG79" s="1"/>
      <c r="BH79" s="1"/>
      <c r="BI79" s="1"/>
      <c r="BJ79" s="1"/>
      <c r="BK79" s="1"/>
      <c r="BL79" s="1"/>
      <c r="BM79" s="1"/>
    </row>
    <row r="80" spans="2:65" ht="15.6" thickTop="1" thickBot="1" x14ac:dyDescent="0.35">
      <c r="B80" s="123">
        <f t="shared" si="338"/>
        <v>43939</v>
      </c>
      <c r="C80" s="124"/>
      <c r="D80" s="125">
        <f t="shared" ref="D80" si="371">+D79*(1+H79)</f>
        <v>15156823.412179064</v>
      </c>
      <c r="E80" s="125"/>
      <c r="F80" s="125"/>
      <c r="G80" s="125"/>
      <c r="H80" s="126">
        <f t="shared" si="340"/>
        <v>0.25251059213323362</v>
      </c>
      <c r="I80" s="125"/>
      <c r="J80" s="125">
        <f t="shared" si="341"/>
        <v>23</v>
      </c>
      <c r="K80" s="125"/>
      <c r="L80" s="125"/>
      <c r="M80" s="125"/>
      <c r="N80" s="125">
        <f t="shared" ref="N80" si="372">+N79*(1+R79)</f>
        <v>150137.16413370837</v>
      </c>
      <c r="O80" s="125"/>
      <c r="P80" s="125"/>
      <c r="Q80" s="125"/>
      <c r="R80" s="127">
        <f t="shared" si="343"/>
        <v>2.4815666375961311E-2</v>
      </c>
      <c r="S80" s="15"/>
      <c r="T80" s="15"/>
      <c r="U80" s="15"/>
      <c r="V80" s="15"/>
      <c r="W80" s="251"/>
      <c r="X80" s="257"/>
      <c r="Y80" s="257"/>
      <c r="Z80" s="257"/>
      <c r="AA80" s="257"/>
      <c r="AB80" s="257"/>
      <c r="AC80" s="252"/>
      <c r="AD80" s="258"/>
      <c r="AE80" s="252"/>
      <c r="AF80" s="275"/>
      <c r="AG80" s="275"/>
      <c r="AH80" s="275"/>
      <c r="AI80" s="275"/>
      <c r="AJ80" s="275"/>
      <c r="AK80" s="276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36"/>
      <c r="BB80" s="136"/>
      <c r="BC80" s="136"/>
      <c r="BD80" s="136"/>
      <c r="BE80" s="136"/>
      <c r="BF80" s="1"/>
      <c r="BG80" s="1"/>
      <c r="BH80" s="1"/>
      <c r="BI80" s="1"/>
      <c r="BJ80" s="1"/>
      <c r="BK80" s="1"/>
      <c r="BL80" s="1"/>
      <c r="BM80" s="1"/>
    </row>
    <row r="81" spans="2:63" ht="15" thickBot="1" x14ac:dyDescent="0.35">
      <c r="B81" s="123">
        <f t="shared" si="338"/>
        <v>43940</v>
      </c>
      <c r="C81" s="124"/>
      <c r="D81" s="125">
        <f t="shared" ref="D81" si="373">+D80*(1+H80)</f>
        <v>18984081.866847258</v>
      </c>
      <c r="E81" s="125"/>
      <c r="F81" s="125"/>
      <c r="G81" s="125"/>
      <c r="H81" s="126">
        <f t="shared" si="340"/>
        <v>0.25251059213323362</v>
      </c>
      <c r="I81" s="125"/>
      <c r="J81" s="125">
        <f t="shared" si="341"/>
        <v>24</v>
      </c>
      <c r="K81" s="125"/>
      <c r="L81" s="125"/>
      <c r="M81" s="125"/>
      <c r="N81" s="125">
        <f t="shared" ref="N81" si="374">+N80*(1+R80)</f>
        <v>153862.91790948343</v>
      </c>
      <c r="O81" s="125"/>
      <c r="P81" s="125"/>
      <c r="Q81" s="125"/>
      <c r="R81" s="127">
        <f t="shared" si="343"/>
        <v>2.4815666375961311E-2</v>
      </c>
      <c r="S81" s="15"/>
      <c r="T81" s="15"/>
      <c r="U81" s="15"/>
      <c r="V81" s="15"/>
      <c r="W81" s="137"/>
      <c r="X81" s="185"/>
      <c r="Y81" s="185"/>
      <c r="Z81" s="185"/>
      <c r="AA81" s="185"/>
      <c r="AB81" s="185"/>
      <c r="AC81" s="185"/>
      <c r="AD81" s="185"/>
      <c r="AE81" s="137"/>
      <c r="AL81" s="137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36"/>
      <c r="BB81" s="136"/>
      <c r="BC81" s="136"/>
      <c r="BD81" s="136"/>
      <c r="BE81" s="136"/>
      <c r="BF81" s="1"/>
      <c r="BG81" s="1"/>
      <c r="BH81" s="1"/>
      <c r="BI81" s="1"/>
      <c r="BJ81" s="1"/>
      <c r="BK81" s="1"/>
    </row>
    <row r="82" spans="2:63" ht="16.2" thickBot="1" x14ac:dyDescent="0.35">
      <c r="B82" s="123">
        <f t="shared" si="338"/>
        <v>43941</v>
      </c>
      <c r="C82" s="124"/>
      <c r="D82" s="125">
        <f t="shared" ref="D82" si="375">+D81*(1+H81)</f>
        <v>23777763.620150641</v>
      </c>
      <c r="E82" s="125"/>
      <c r="F82" s="125"/>
      <c r="G82" s="125"/>
      <c r="H82" s="126">
        <f t="shared" si="340"/>
        <v>0.25251059213323362</v>
      </c>
      <c r="I82" s="125"/>
      <c r="J82" s="125">
        <f t="shared" si="341"/>
        <v>25</v>
      </c>
      <c r="K82" s="125"/>
      <c r="L82" s="125"/>
      <c r="M82" s="125"/>
      <c r="N82" s="125">
        <f t="shared" ref="N82" si="376">+N81*(1+R81)</f>
        <v>157681.12874795709</v>
      </c>
      <c r="O82" s="125"/>
      <c r="P82" s="125"/>
      <c r="Q82" s="125"/>
      <c r="R82" s="127">
        <f t="shared" si="343"/>
        <v>2.4815666375961311E-2</v>
      </c>
      <c r="S82" s="15"/>
      <c r="T82" s="15"/>
      <c r="U82" s="15"/>
      <c r="V82" s="15"/>
      <c r="W82" s="286"/>
      <c r="X82" s="283"/>
      <c r="Y82" s="362" t="s">
        <v>82</v>
      </c>
      <c r="Z82" s="362"/>
      <c r="AA82" s="362"/>
      <c r="AB82" s="362"/>
      <c r="AC82" s="362"/>
      <c r="AD82" s="362"/>
      <c r="AE82" s="362"/>
      <c r="AF82" s="362"/>
      <c r="AG82" s="284"/>
      <c r="AH82" s="356">
        <f>+H48-AD78</f>
        <v>485966</v>
      </c>
      <c r="AI82" s="356"/>
      <c r="AJ82" s="356"/>
      <c r="AK82" s="285"/>
      <c r="AL82" s="137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36"/>
      <c r="BB82" s="136"/>
      <c r="BC82" s="136"/>
      <c r="BD82" s="136"/>
      <c r="BE82" s="136"/>
      <c r="BF82" s="1"/>
      <c r="BG82" s="1"/>
      <c r="BH82" s="1"/>
      <c r="BI82" s="1"/>
      <c r="BJ82" s="1"/>
      <c r="BK82" s="1"/>
    </row>
    <row r="83" spans="2:63" x14ac:dyDescent="0.3">
      <c r="B83" s="123">
        <f t="shared" si="338"/>
        <v>43942</v>
      </c>
      <c r="C83" s="124"/>
      <c r="D83" s="125">
        <f t="shared" ref="D83" si="377">+D82*(1+H82)</f>
        <v>29781900.791478939</v>
      </c>
      <c r="E83" s="125"/>
      <c r="F83" s="125"/>
      <c r="G83" s="125"/>
      <c r="H83" s="126">
        <f t="shared" si="340"/>
        <v>0.25251059213323362</v>
      </c>
      <c r="I83" s="125"/>
      <c r="J83" s="125">
        <f t="shared" si="341"/>
        <v>26</v>
      </c>
      <c r="K83" s="125"/>
      <c r="L83" s="125"/>
      <c r="M83" s="125"/>
      <c r="N83" s="125">
        <f t="shared" ref="N83" si="378">+N82*(1+R82)</f>
        <v>161594.0910327514</v>
      </c>
      <c r="O83" s="125"/>
      <c r="P83" s="125"/>
      <c r="Q83" s="125"/>
      <c r="R83" s="127">
        <f t="shared" si="343"/>
        <v>2.4815666375961311E-2</v>
      </c>
      <c r="S83" s="15"/>
      <c r="T83" s="15"/>
      <c r="U83" s="15"/>
      <c r="V83" s="15"/>
      <c r="W83" s="15"/>
      <c r="X83" s="15"/>
      <c r="Y83" s="15"/>
      <c r="Z83" s="15"/>
      <c r="AA83" s="15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36"/>
      <c r="BB83" s="136"/>
      <c r="BC83" s="224"/>
      <c r="BD83" s="136"/>
      <c r="BE83" s="136"/>
    </row>
    <row r="84" spans="2:63" x14ac:dyDescent="0.3">
      <c r="B84" s="123">
        <f t="shared" si="338"/>
        <v>43943</v>
      </c>
      <c r="C84" s="124"/>
      <c r="D84" s="125">
        <f t="shared" ref="D84" si="379">+D83*(1+H83)</f>
        <v>37302146.195188507</v>
      </c>
      <c r="E84" s="125"/>
      <c r="F84" s="125"/>
      <c r="G84" s="125"/>
      <c r="H84" s="126">
        <f t="shared" si="340"/>
        <v>0.25251059213323362</v>
      </c>
      <c r="I84" s="125"/>
      <c r="J84" s="125">
        <f t="shared" si="341"/>
        <v>27</v>
      </c>
      <c r="K84" s="125"/>
      <c r="L84" s="125"/>
      <c r="M84" s="125"/>
      <c r="N84" s="125">
        <f t="shared" ref="N84" si="380">+N83*(1+R83)</f>
        <v>165604.15608414687</v>
      </c>
      <c r="O84" s="125"/>
      <c r="P84" s="125"/>
      <c r="Q84" s="125"/>
      <c r="R84" s="127">
        <f t="shared" si="343"/>
        <v>2.4815666375961311E-2</v>
      </c>
      <c r="S84" s="15"/>
      <c r="T84" s="15"/>
      <c r="U84" s="15"/>
      <c r="V84" s="137"/>
      <c r="W84" s="137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137"/>
      <c r="AL84" s="137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36"/>
      <c r="BB84" s="136"/>
      <c r="BC84" s="136"/>
      <c r="BD84" s="136"/>
      <c r="BE84" s="136"/>
    </row>
    <row r="85" spans="2:63" x14ac:dyDescent="0.3">
      <c r="B85" s="123">
        <f t="shared" si="338"/>
        <v>43944</v>
      </c>
      <c r="C85" s="124"/>
      <c r="D85" s="125">
        <f t="shared" ref="D85" si="381">+D84*(1+H84)</f>
        <v>46721333.218776003</v>
      </c>
      <c r="E85" s="125"/>
      <c r="F85" s="125"/>
      <c r="G85" s="125"/>
      <c r="H85" s="126">
        <f t="shared" si="340"/>
        <v>0.25251059213323362</v>
      </c>
      <c r="I85" s="125"/>
      <c r="J85" s="125">
        <f t="shared" si="341"/>
        <v>28</v>
      </c>
      <c r="K85" s="125"/>
      <c r="L85" s="125"/>
      <c r="M85" s="125"/>
      <c r="N85" s="125">
        <f t="shared" ref="N85" si="382">+N84*(1+R84)</f>
        <v>169713.73357200369</v>
      </c>
      <c r="O85" s="125"/>
      <c r="P85" s="125"/>
      <c r="Q85" s="125"/>
      <c r="R85" s="127">
        <f t="shared" si="343"/>
        <v>2.4815666375961311E-2</v>
      </c>
      <c r="S85" s="15"/>
      <c r="T85" s="15"/>
      <c r="U85" s="15"/>
      <c r="V85" s="137"/>
      <c r="W85" s="137"/>
      <c r="X85" s="287"/>
      <c r="Y85" s="287"/>
      <c r="Z85" s="287"/>
      <c r="AA85" s="287"/>
      <c r="AB85" s="287"/>
      <c r="AC85" s="287"/>
      <c r="AD85" s="287"/>
      <c r="AE85" s="137"/>
      <c r="AF85" s="137"/>
      <c r="AG85" s="137"/>
      <c r="AH85" s="185"/>
      <c r="AI85" s="137"/>
      <c r="AJ85" s="137"/>
      <c r="AK85" s="185"/>
      <c r="AL85" s="137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36"/>
      <c r="BB85" s="136"/>
      <c r="BC85" s="136"/>
      <c r="BD85" s="136"/>
      <c r="BE85" s="136"/>
    </row>
    <row r="86" spans="2:63" x14ac:dyDescent="0.3">
      <c r="B86" s="123">
        <f t="shared" si="338"/>
        <v>43945</v>
      </c>
      <c r="C86" s="124"/>
      <c r="D86" s="125">
        <f t="shared" ref="D86" si="383">+D85*(1+H85)</f>
        <v>58518964.73510325</v>
      </c>
      <c r="E86" s="125"/>
      <c r="F86" s="125"/>
      <c r="G86" s="125"/>
      <c r="H86" s="126">
        <f t="shared" si="340"/>
        <v>0.25251059213323362</v>
      </c>
      <c r="I86" s="125"/>
      <c r="J86" s="125">
        <f t="shared" si="341"/>
        <v>29</v>
      </c>
      <c r="K86" s="125"/>
      <c r="L86" s="125"/>
      <c r="M86" s="125"/>
      <c r="N86" s="125">
        <f t="shared" ref="N86" si="384">+N85*(1+R85)</f>
        <v>173925.29296374533</v>
      </c>
      <c r="O86" s="125"/>
      <c r="P86" s="125"/>
      <c r="Q86" s="125"/>
      <c r="R86" s="127">
        <f t="shared" si="343"/>
        <v>2.4815666375961311E-2</v>
      </c>
      <c r="S86" s="15"/>
      <c r="T86" s="15"/>
      <c r="U86" s="15"/>
      <c r="V86" s="137"/>
      <c r="W86" s="137"/>
      <c r="X86" s="287"/>
      <c r="Y86" s="287"/>
      <c r="Z86" s="287"/>
      <c r="AA86" s="287"/>
      <c r="AB86" s="287"/>
      <c r="AC86" s="287"/>
      <c r="AD86" s="287"/>
      <c r="AE86" s="287"/>
      <c r="AF86" s="185"/>
      <c r="AG86" s="137"/>
      <c r="AH86" s="185"/>
      <c r="AI86" s="137"/>
      <c r="AJ86" s="137"/>
      <c r="AK86" s="185"/>
      <c r="AL86" s="137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36"/>
      <c r="BB86" s="136"/>
      <c r="BC86" s="136"/>
      <c r="BD86" s="136"/>
      <c r="BE86" s="136"/>
    </row>
    <row r="87" spans="2:63" x14ac:dyDescent="0.3">
      <c r="B87" s="123">
        <f t="shared" si="338"/>
        <v>43946</v>
      </c>
      <c r="C87" s="124"/>
      <c r="D87" s="125">
        <f t="shared" ref="D87:D88" si="385">+D86*(1+H86)</f>
        <v>73295623.171387985</v>
      </c>
      <c r="E87" s="125"/>
      <c r="F87" s="125"/>
      <c r="G87" s="125"/>
      <c r="H87" s="126">
        <f t="shared" si="340"/>
        <v>0.25251059213323362</v>
      </c>
      <c r="I87" s="125"/>
      <c r="J87" s="125">
        <f t="shared" si="341"/>
        <v>30</v>
      </c>
      <c r="K87" s="125"/>
      <c r="L87" s="125"/>
      <c r="M87" s="125"/>
      <c r="N87" s="125">
        <f t="shared" ref="N87:N88" si="386">+N86*(1+R86)</f>
        <v>178241.36500827497</v>
      </c>
      <c r="O87" s="125"/>
      <c r="P87" s="125"/>
      <c r="Q87" s="125"/>
      <c r="R87" s="127">
        <f t="shared" si="343"/>
        <v>2.4815666375961311E-2</v>
      </c>
      <c r="S87" s="15"/>
      <c r="T87" s="15"/>
      <c r="U87" s="15"/>
      <c r="V87" s="137"/>
      <c r="W87" s="137"/>
      <c r="X87" s="137"/>
      <c r="Y87" s="137"/>
      <c r="Z87" s="288"/>
      <c r="AA87" s="288"/>
      <c r="AB87" s="288"/>
      <c r="AC87" s="288"/>
      <c r="AD87" s="288"/>
      <c r="AE87" s="137"/>
      <c r="AF87" s="137"/>
      <c r="AG87" s="137"/>
      <c r="AH87" s="185"/>
      <c r="AI87" s="137"/>
      <c r="AJ87" s="137"/>
      <c r="AK87" s="185"/>
      <c r="AL87" s="137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36"/>
      <c r="BB87" s="136"/>
      <c r="BC87" s="136"/>
      <c r="BD87" s="136"/>
      <c r="BE87" s="136"/>
    </row>
    <row r="88" spans="2:63" x14ac:dyDescent="0.3">
      <c r="B88" s="123">
        <f t="shared" si="338"/>
        <v>43947</v>
      </c>
      <c r="C88" s="124"/>
      <c r="D88" s="125">
        <f t="shared" si="385"/>
        <v>91803544.379169524</v>
      </c>
      <c r="E88" s="125"/>
      <c r="F88" s="125"/>
      <c r="G88" s="125"/>
      <c r="H88" s="126">
        <f t="shared" si="340"/>
        <v>0.25251059213323362</v>
      </c>
      <c r="I88" s="125"/>
      <c r="J88" s="125">
        <f t="shared" si="341"/>
        <v>31</v>
      </c>
      <c r="K88" s="125"/>
      <c r="L88" s="125"/>
      <c r="M88" s="125"/>
      <c r="N88" s="125">
        <f t="shared" si="386"/>
        <v>182664.54325671628</v>
      </c>
      <c r="O88" s="125"/>
      <c r="P88" s="125"/>
      <c r="Q88" s="125"/>
      <c r="R88" s="127">
        <f t="shared" si="343"/>
        <v>2.4815666375961311E-2</v>
      </c>
      <c r="S88" s="15"/>
      <c r="T88" s="15"/>
      <c r="U88" s="15"/>
      <c r="V88" s="137"/>
      <c r="W88" s="137"/>
      <c r="X88" s="287"/>
      <c r="Y88" s="287"/>
      <c r="Z88" s="287"/>
      <c r="AA88" s="287"/>
      <c r="AB88" s="287"/>
      <c r="AC88" s="287"/>
      <c r="AD88" s="287"/>
      <c r="AE88" s="287"/>
      <c r="AF88" s="287"/>
      <c r="AG88" s="287"/>
      <c r="AH88" s="185"/>
      <c r="AI88" s="137"/>
      <c r="AJ88" s="137"/>
      <c r="AK88" s="185"/>
      <c r="AL88" s="137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2:63" x14ac:dyDescent="0.3">
      <c r="B89" s="123">
        <f t="shared" si="338"/>
        <v>43948</v>
      </c>
      <c r="C89" s="124"/>
      <c r="D89" s="125">
        <f t="shared" ref="D89" si="387">+D88*(1+H88)</f>
        <v>114984911.7302832</v>
      </c>
      <c r="E89" s="125"/>
      <c r="F89" s="125"/>
      <c r="G89" s="125"/>
      <c r="H89" s="126">
        <f t="shared" si="340"/>
        <v>0.25251059213323362</v>
      </c>
      <c r="I89" s="125"/>
      <c r="J89" s="125">
        <f t="shared" si="341"/>
        <v>32</v>
      </c>
      <c r="K89" s="125"/>
      <c r="L89" s="125"/>
      <c r="M89" s="125"/>
      <c r="N89" s="125">
        <f t="shared" ref="N89" si="388">+N88*(1+R88)</f>
        <v>187197.48562089232</v>
      </c>
      <c r="O89" s="125"/>
      <c r="P89" s="125"/>
      <c r="Q89" s="125"/>
      <c r="R89" s="127">
        <f t="shared" si="343"/>
        <v>2.4815666375961311E-2</v>
      </c>
      <c r="S89" s="15"/>
      <c r="T89" s="15"/>
      <c r="U89" s="15"/>
      <c r="V89" s="137"/>
      <c r="W89" s="137"/>
      <c r="X89" s="137"/>
      <c r="Y89" s="137"/>
      <c r="Z89" s="288"/>
      <c r="AA89" s="288"/>
      <c r="AB89" s="288"/>
      <c r="AC89" s="288"/>
      <c r="AD89" s="288"/>
      <c r="AE89" s="288"/>
      <c r="AF89" s="288"/>
      <c r="AG89" s="137"/>
      <c r="AH89" s="185"/>
      <c r="AI89" s="137"/>
      <c r="AJ89" s="137"/>
      <c r="AK89" s="185"/>
      <c r="AL89" s="137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2:63" x14ac:dyDescent="0.3">
      <c r="B90" s="123">
        <f t="shared" si="338"/>
        <v>43949</v>
      </c>
      <c r="C90" s="124"/>
      <c r="D90" s="125"/>
      <c r="E90" s="125"/>
      <c r="F90" s="125"/>
      <c r="G90" s="125"/>
      <c r="H90" s="126"/>
      <c r="I90" s="125"/>
      <c r="J90" s="125"/>
      <c r="K90" s="125"/>
      <c r="L90" s="125"/>
      <c r="M90" s="125"/>
      <c r="N90" s="125"/>
      <c r="O90" s="125"/>
      <c r="P90" s="125"/>
      <c r="Q90" s="125"/>
      <c r="R90" s="127"/>
      <c r="S90" s="15"/>
      <c r="T90" s="15"/>
      <c r="U90" s="15"/>
      <c r="V90" s="137"/>
      <c r="W90" s="137"/>
      <c r="X90" s="137"/>
      <c r="Y90" s="137"/>
      <c r="Z90" s="288"/>
      <c r="AA90" s="288"/>
      <c r="AB90" s="288"/>
      <c r="AC90" s="288"/>
      <c r="AD90" s="288"/>
      <c r="AE90" s="288"/>
      <c r="AF90" s="288"/>
      <c r="AG90" s="137"/>
      <c r="AH90" s="185"/>
      <c r="AI90" s="137"/>
      <c r="AJ90" s="137"/>
      <c r="AK90" s="185"/>
      <c r="AL90" s="137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2:63" x14ac:dyDescent="0.3">
      <c r="B91" s="123">
        <f t="shared" si="338"/>
        <v>43950</v>
      </c>
      <c r="C91" s="124"/>
      <c r="D91" s="125"/>
      <c r="E91" s="125"/>
      <c r="F91" s="125"/>
      <c r="G91" s="125"/>
      <c r="H91" s="126"/>
      <c r="I91" s="125"/>
      <c r="J91" s="125"/>
      <c r="K91" s="125"/>
      <c r="L91" s="125"/>
      <c r="M91" s="125"/>
      <c r="N91" s="125"/>
      <c r="O91" s="125"/>
      <c r="P91" s="125"/>
      <c r="Q91" s="125"/>
      <c r="R91" s="127"/>
      <c r="S91" s="15"/>
      <c r="T91" s="15"/>
      <c r="U91" s="15"/>
      <c r="V91" s="137"/>
      <c r="W91" s="137"/>
      <c r="X91" s="137"/>
      <c r="Y91" s="137"/>
      <c r="Z91" s="288"/>
      <c r="AA91" s="288"/>
      <c r="AB91" s="288"/>
      <c r="AC91" s="288"/>
      <c r="AD91" s="288"/>
      <c r="AE91" s="288"/>
      <c r="AF91" s="288"/>
      <c r="AG91" s="137"/>
      <c r="AH91" s="185"/>
      <c r="AI91" s="137"/>
      <c r="AJ91" s="137"/>
      <c r="AK91" s="185"/>
      <c r="AL91" s="137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2:63" x14ac:dyDescent="0.3">
      <c r="B92" s="123">
        <f t="shared" si="338"/>
        <v>43951</v>
      </c>
      <c r="C92" s="124"/>
      <c r="D92" s="125"/>
      <c r="E92" s="125"/>
      <c r="F92" s="125"/>
      <c r="G92" s="125"/>
      <c r="H92" s="126"/>
      <c r="I92" s="125"/>
      <c r="J92" s="125"/>
      <c r="K92" s="125"/>
      <c r="L92" s="125"/>
      <c r="M92" s="125"/>
      <c r="N92" s="125"/>
      <c r="O92" s="125"/>
      <c r="P92" s="125"/>
      <c r="Q92" s="125"/>
      <c r="R92" s="127"/>
      <c r="S92" s="15"/>
      <c r="T92" s="15"/>
      <c r="U92" s="15"/>
      <c r="V92" s="137"/>
      <c r="W92" s="137"/>
      <c r="X92" s="137"/>
      <c r="Y92" s="137"/>
      <c r="Z92" s="288"/>
      <c r="AA92" s="288"/>
      <c r="AB92" s="288"/>
      <c r="AC92" s="288"/>
      <c r="AD92" s="288"/>
      <c r="AE92" s="288"/>
      <c r="AF92" s="288"/>
      <c r="AG92" s="137"/>
      <c r="AH92" s="185"/>
      <c r="AI92" s="137"/>
      <c r="AJ92" s="137"/>
      <c r="AK92" s="185"/>
      <c r="AL92" s="137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2:63" x14ac:dyDescent="0.3">
      <c r="B93" s="123">
        <f t="shared" si="338"/>
        <v>43952</v>
      </c>
      <c r="C93" s="124"/>
      <c r="D93" s="125"/>
      <c r="E93" s="125"/>
      <c r="F93" s="125"/>
      <c r="G93" s="125"/>
      <c r="H93" s="126"/>
      <c r="I93" s="125"/>
      <c r="J93" s="125"/>
      <c r="K93" s="125"/>
      <c r="L93" s="125"/>
      <c r="M93" s="125"/>
      <c r="N93" s="125"/>
      <c r="O93" s="125"/>
      <c r="P93" s="125"/>
      <c r="Q93" s="125"/>
      <c r="R93" s="127"/>
      <c r="S93" s="15"/>
      <c r="T93" s="15"/>
      <c r="U93" s="15"/>
      <c r="V93" s="137"/>
      <c r="W93" s="137"/>
      <c r="X93" s="137"/>
      <c r="Y93" s="137"/>
      <c r="Z93" s="288"/>
      <c r="AA93" s="288"/>
      <c r="AB93" s="288"/>
      <c r="AC93" s="288"/>
      <c r="AD93" s="288"/>
      <c r="AE93" s="288"/>
      <c r="AF93" s="288"/>
      <c r="AG93" s="137"/>
      <c r="AH93" s="185"/>
      <c r="AI93" s="137"/>
      <c r="AJ93" s="137"/>
      <c r="AK93" s="185"/>
      <c r="AL93" s="137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2:63" ht="15" thickBot="1" x14ac:dyDescent="0.35">
      <c r="B94" s="128">
        <f t="shared" si="338"/>
        <v>43953</v>
      </c>
      <c r="C94" s="129"/>
      <c r="D94" s="130"/>
      <c r="E94" s="130"/>
      <c r="F94" s="130"/>
      <c r="G94" s="130"/>
      <c r="H94" s="131"/>
      <c r="I94" s="130"/>
      <c r="J94" s="130"/>
      <c r="K94" s="130"/>
      <c r="L94" s="130"/>
      <c r="M94" s="130"/>
      <c r="N94" s="130"/>
      <c r="O94" s="130"/>
      <c r="P94" s="130"/>
      <c r="Q94" s="130"/>
      <c r="R94" s="132"/>
      <c r="S94" s="15"/>
      <c r="T94" s="15"/>
      <c r="U94" s="15"/>
      <c r="V94" s="137"/>
      <c r="W94" s="137"/>
      <c r="X94" s="287"/>
      <c r="Y94" s="287"/>
      <c r="Z94" s="287"/>
      <c r="AA94" s="287"/>
      <c r="AB94" s="287"/>
      <c r="AC94" s="287"/>
      <c r="AD94" s="287"/>
      <c r="AE94" s="287"/>
      <c r="AF94" s="287"/>
      <c r="AG94" s="287"/>
      <c r="AH94" s="137"/>
      <c r="AI94" s="137"/>
      <c r="AJ94" s="185"/>
      <c r="AK94" s="185"/>
      <c r="AL94" s="137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2:63" x14ac:dyDescent="0.3">
      <c r="B95" s="134"/>
      <c r="D95" s="90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5"/>
      <c r="S95" s="15"/>
      <c r="T95" s="15"/>
      <c r="U95" s="15"/>
      <c r="V95" s="137"/>
      <c r="W95" s="137"/>
      <c r="X95" s="287"/>
      <c r="Y95" s="287"/>
      <c r="Z95" s="287"/>
      <c r="AA95" s="287"/>
      <c r="AB95" s="287"/>
      <c r="AC95" s="287"/>
      <c r="AD95" s="287"/>
      <c r="AE95" s="287"/>
      <c r="AF95" s="287"/>
      <c r="AG95" s="287"/>
      <c r="AH95" s="287"/>
      <c r="AI95" s="137"/>
      <c r="AJ95" s="137"/>
      <c r="AK95" s="185"/>
      <c r="AL95" s="137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2:63" x14ac:dyDescent="0.3">
      <c r="B96" s="1"/>
      <c r="D96" s="90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37"/>
      <c r="AG96" s="185"/>
      <c r="AH96" s="289"/>
      <c r="AI96" s="185"/>
      <c r="AJ96" s="185"/>
      <c r="AK96" s="185"/>
      <c r="AL96" s="185"/>
    </row>
    <row r="97" spans="2:38" x14ac:dyDescent="0.3">
      <c r="B97" s="233"/>
      <c r="D97" s="90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37"/>
      <c r="AI97" s="185"/>
      <c r="AJ97" s="290"/>
      <c r="AK97" s="185"/>
      <c r="AL97" s="185"/>
    </row>
    <row r="98" spans="2:38" x14ac:dyDescent="0.3">
      <c r="B98" s="1"/>
      <c r="D98" s="90"/>
      <c r="O98" s="99"/>
      <c r="P98" s="99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</row>
    <row r="99" spans="2:38" x14ac:dyDescent="0.3">
      <c r="B99" s="1"/>
      <c r="D99" s="90"/>
      <c r="O99" s="99"/>
      <c r="P99" s="99"/>
      <c r="Q99" s="185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</row>
    <row r="100" spans="2:38" x14ac:dyDescent="0.3">
      <c r="B100" s="1"/>
      <c r="D100" s="90"/>
      <c r="O100" s="99"/>
      <c r="P100" s="99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</row>
    <row r="101" spans="2:38" x14ac:dyDescent="0.3">
      <c r="B101" s="1"/>
      <c r="D101" s="90"/>
      <c r="O101" s="99"/>
      <c r="P101" s="99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</row>
    <row r="102" spans="2:38" x14ac:dyDescent="0.3">
      <c r="B102" s="90"/>
      <c r="D102" s="90"/>
      <c r="O102" s="99"/>
      <c r="P102" s="99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</row>
    <row r="103" spans="2:38" x14ac:dyDescent="0.3">
      <c r="B103" s="92"/>
      <c r="D103" s="90"/>
      <c r="O103" s="99"/>
      <c r="P103" s="99"/>
      <c r="Q103" s="18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</row>
    <row r="104" spans="2:38" x14ac:dyDescent="0.3">
      <c r="B104" s="1"/>
      <c r="D104" s="90"/>
      <c r="O104" s="99"/>
      <c r="P104" s="99"/>
      <c r="Q104" s="185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</row>
    <row r="105" spans="2:38" x14ac:dyDescent="0.3">
      <c r="B105" s="1"/>
      <c r="D105" s="90"/>
      <c r="Q105" s="201"/>
      <c r="R105" s="201"/>
      <c r="S105" s="201"/>
      <c r="T105" s="201"/>
      <c r="U105" s="201"/>
      <c r="V105" s="201"/>
      <c r="W105" s="201"/>
      <c r="X105" s="201"/>
      <c r="Y105" s="201"/>
      <c r="Z105" s="201"/>
      <c r="AA105" s="201"/>
      <c r="AB105" s="201"/>
      <c r="AC105" s="201"/>
      <c r="AD105" s="201"/>
    </row>
    <row r="106" spans="2:38" x14ac:dyDescent="0.3">
      <c r="B106" s="1"/>
      <c r="D106" s="90"/>
    </row>
    <row r="107" spans="2:38" x14ac:dyDescent="0.3">
      <c r="B107" s="1"/>
      <c r="D107" s="90"/>
    </row>
    <row r="108" spans="2:38" x14ac:dyDescent="0.3">
      <c r="B108" s="92" t="e">
        <f>+B107/B106</f>
        <v>#DIV/0!</v>
      </c>
      <c r="D108" s="90"/>
    </row>
    <row r="109" spans="2:38" x14ac:dyDescent="0.3">
      <c r="B109" s="1"/>
      <c r="D109" s="90"/>
    </row>
    <row r="110" spans="2:38" x14ac:dyDescent="0.3">
      <c r="B110" s="1"/>
      <c r="D110" s="90"/>
    </row>
    <row r="111" spans="2:38" x14ac:dyDescent="0.3">
      <c r="B111" s="1">
        <f>+B107*50</f>
        <v>0</v>
      </c>
      <c r="D111" s="90"/>
    </row>
    <row r="112" spans="2:38" x14ac:dyDescent="0.3">
      <c r="B112" s="1"/>
      <c r="D112" s="90"/>
    </row>
    <row r="113" spans="2:4" x14ac:dyDescent="0.3">
      <c r="B113" s="1"/>
      <c r="D113" s="90"/>
    </row>
    <row r="114" spans="2:4" x14ac:dyDescent="0.3">
      <c r="B114" s="1"/>
      <c r="D114" s="90"/>
    </row>
    <row r="115" spans="2:4" x14ac:dyDescent="0.3">
      <c r="B115" s="1"/>
      <c r="D115" s="90"/>
    </row>
    <row r="116" spans="2:4" x14ac:dyDescent="0.3">
      <c r="B116" s="1"/>
      <c r="D116" s="90"/>
    </row>
    <row r="117" spans="2:4" x14ac:dyDescent="0.3">
      <c r="B117" s="1"/>
      <c r="D117" s="90"/>
    </row>
    <row r="118" spans="2:4" x14ac:dyDescent="0.3">
      <c r="B118" s="1"/>
      <c r="D118" s="90"/>
    </row>
    <row r="119" spans="2:4" x14ac:dyDescent="0.3">
      <c r="B119" s="1"/>
      <c r="D119" s="90"/>
    </row>
    <row r="120" spans="2:4" x14ac:dyDescent="0.3">
      <c r="B120" s="1"/>
      <c r="D120" s="90"/>
    </row>
    <row r="121" spans="2:4" x14ac:dyDescent="0.3">
      <c r="B121" s="1"/>
    </row>
    <row r="122" spans="2:4" x14ac:dyDescent="0.3">
      <c r="B122" s="1"/>
    </row>
    <row r="123" spans="2:4" x14ac:dyDescent="0.3">
      <c r="B123" s="1"/>
    </row>
    <row r="124" spans="2:4" x14ac:dyDescent="0.3">
      <c r="B124" s="1"/>
    </row>
    <row r="125" spans="2:4" x14ac:dyDescent="0.3">
      <c r="B125" s="1"/>
    </row>
    <row r="126" spans="2:4" x14ac:dyDescent="0.3">
      <c r="B126" s="1"/>
    </row>
    <row r="127" spans="2:4" x14ac:dyDescent="0.3">
      <c r="B127" s="1"/>
    </row>
    <row r="128" spans="2:4" x14ac:dyDescent="0.3">
      <c r="B128" s="1"/>
    </row>
  </sheetData>
  <mergeCells count="42">
    <mergeCell ref="W78:AB78"/>
    <mergeCell ref="AH82:AJ82"/>
    <mergeCell ref="AG78:AH78"/>
    <mergeCell ref="W69:AK69"/>
    <mergeCell ref="X70:AB70"/>
    <mergeCell ref="Y82:AF82"/>
    <mergeCell ref="W76:AB76"/>
    <mergeCell ref="BA5:BB5"/>
    <mergeCell ref="BA6:BM6"/>
    <mergeCell ref="BC5:BM5"/>
    <mergeCell ref="X3:BM3"/>
    <mergeCell ref="AB5:AH5"/>
    <mergeCell ref="AN5:AY5"/>
    <mergeCell ref="X6:AH6"/>
    <mergeCell ref="AJ6:AY6"/>
    <mergeCell ref="B55:R55"/>
    <mergeCell ref="AN7:AT7"/>
    <mergeCell ref="B1:D1"/>
    <mergeCell ref="B2:D2"/>
    <mergeCell ref="J3:T3"/>
    <mergeCell ref="D6:J6"/>
    <mergeCell ref="B3:C3"/>
    <mergeCell ref="F5:L5"/>
    <mergeCell ref="P5:V5"/>
    <mergeCell ref="O6:S6"/>
    <mergeCell ref="BK7:BM7"/>
    <mergeCell ref="AI61:AJ61"/>
    <mergeCell ref="AI62:AJ62"/>
    <mergeCell ref="AI63:AJ63"/>
    <mergeCell ref="BG59:BG60"/>
    <mergeCell ref="BB58:BL58"/>
    <mergeCell ref="AJ7:AL7"/>
    <mergeCell ref="AD59:AN59"/>
    <mergeCell ref="BC59:BE59"/>
    <mergeCell ref="AI60:AJ60"/>
    <mergeCell ref="BA7:BG7"/>
    <mergeCell ref="AN70:AV70"/>
    <mergeCell ref="AZ70:BL70"/>
    <mergeCell ref="AI64:AJ64"/>
    <mergeCell ref="AI66:AJ66"/>
    <mergeCell ref="AD64:AH64"/>
    <mergeCell ref="AG70:AH70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2020-04-29T04:14:50Z</dcterms:modified>
</cp:coreProperties>
</file>