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2CED93B8-4485-4788-BBD8-DFAC701B3FD3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Theoretical Recoveries" sheetId="3" r:id="rId3"/>
    <sheet name="Other" sheetId="7" r:id="rId4"/>
  </sheets>
  <definedNames>
    <definedName name="_xlnm.Print_Area" localSheetId="0">'Main Table'!$A$1:$BN$60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7" l="1"/>
  <c r="F62" i="7"/>
  <c r="BA53" i="1"/>
  <c r="BA54" i="1" s="1"/>
  <c r="BA55" i="1" s="1"/>
  <c r="BA56" i="1" s="1"/>
  <c r="B53" i="1"/>
  <c r="B54" i="1" s="1"/>
  <c r="B55" i="1" s="1"/>
  <c r="B56" i="1" s="1"/>
  <c r="Q53" i="2"/>
  <c r="U54" i="2"/>
  <c r="U55" i="2" s="1"/>
  <c r="U56" i="2" s="1"/>
  <c r="U57" i="2" s="1"/>
  <c r="C54" i="2"/>
  <c r="C55" i="2" s="1"/>
  <c r="C56" i="2" s="1"/>
  <c r="C57" i="2" s="1"/>
  <c r="J58" i="1"/>
  <c r="T14" i="7"/>
  <c r="L50" i="7"/>
  <c r="I20" i="3" l="1"/>
  <c r="Q59" i="2"/>
  <c r="P59" i="2"/>
  <c r="L59" i="2"/>
  <c r="J59" i="2"/>
  <c r="I59" i="2"/>
  <c r="H59" i="2"/>
  <c r="G59" i="2"/>
  <c r="E59" i="2"/>
  <c r="K53" i="2"/>
  <c r="M53" i="2" s="1"/>
  <c r="AB58" i="1"/>
  <c r="AA58" i="1"/>
  <c r="Z58" i="1"/>
  <c r="Y58" i="1"/>
  <c r="X58" i="1"/>
  <c r="S58" i="1"/>
  <c r="R58" i="1"/>
  <c r="Q58" i="1"/>
  <c r="P58" i="1"/>
  <c r="O58" i="1"/>
  <c r="N58" i="1"/>
  <c r="I58" i="1"/>
  <c r="H58" i="1"/>
  <c r="D58" i="1"/>
  <c r="AN52" i="1"/>
  <c r="AT52" i="1" s="1"/>
  <c r="AV52" i="1" s="1"/>
  <c r="AJ52" i="1"/>
  <c r="X52" i="1"/>
  <c r="AD52" i="1" s="1"/>
  <c r="R52" i="1"/>
  <c r="J52" i="1"/>
  <c r="H52" i="1"/>
  <c r="AH52" i="1" s="1"/>
  <c r="K59" i="2" l="1"/>
  <c r="S53" i="2"/>
  <c r="T52" i="1"/>
  <c r="AP52" i="1"/>
  <c r="G46" i="2"/>
  <c r="AM71" i="2"/>
  <c r="AD50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58" i="1"/>
  <c r="F58" i="1"/>
  <c r="E58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N22" i="3"/>
  <c r="C12" i="2"/>
  <c r="AH16" i="2"/>
  <c r="AH19" i="2" s="1"/>
  <c r="AB28" i="2"/>
  <c r="F59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AB30" i="2" l="1"/>
  <c r="AF29" i="2" s="1"/>
  <c r="AH29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8" i="2" l="1"/>
  <c r="AH28" i="2" s="1"/>
  <c r="AF27" i="2"/>
  <c r="AH27" i="2" s="1"/>
  <c r="AP51" i="1"/>
  <c r="AN50" i="1"/>
  <c r="AJ50" i="1"/>
  <c r="X50" i="1"/>
  <c r="AD50" i="1" s="1"/>
  <c r="AH30" i="2" l="1"/>
  <c r="AF16" i="2" s="1"/>
  <c r="AF30" i="2"/>
  <c r="AP50" i="1"/>
  <c r="AN49" i="1" l="1"/>
  <c r="AJ49" i="1"/>
  <c r="X49" i="1"/>
  <c r="AD49" i="1" s="1"/>
  <c r="AP49" i="1" l="1"/>
  <c r="AN48" i="1" l="1"/>
  <c r="AJ48" i="1"/>
  <c r="X48" i="1"/>
  <c r="AD48" i="1" s="1"/>
  <c r="B112" i="1"/>
  <c r="B115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H14" i="1"/>
  <c r="AH14" i="1" s="1"/>
  <c r="J14" i="1"/>
  <c r="R14" i="1"/>
  <c r="T13" i="1" l="1"/>
  <c r="AV36" i="1"/>
  <c r="AT37" i="1"/>
  <c r="T14" i="1"/>
  <c r="R15" i="1"/>
  <c r="H15" i="1"/>
  <c r="J15" i="1"/>
  <c r="AV37" i="1" l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AV41" i="1"/>
  <c r="AT42" i="1"/>
  <c r="H20" i="1"/>
  <c r="J20" i="1"/>
  <c r="R21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AV44" i="1"/>
  <c r="AT45" i="1"/>
  <c r="R2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AV51" i="1" s="1"/>
  <c r="R32" i="1"/>
  <c r="H29" i="1"/>
  <c r="J29" i="1"/>
  <c r="AH28" i="1"/>
  <c r="T28" i="1"/>
  <c r="R33" i="1" l="1"/>
  <c r="H30" i="1"/>
  <c r="J30" i="1"/>
  <c r="AH29" i="1"/>
  <c r="T29" i="1"/>
  <c r="R34" i="1" l="1"/>
  <c r="H31" i="1"/>
  <c r="J32" i="1" s="1"/>
  <c r="J31" i="1"/>
  <c r="AH30" i="1"/>
  <c r="T30" i="1"/>
  <c r="H32" i="1" l="1"/>
  <c r="T31" i="1"/>
  <c r="AH31" i="1"/>
  <c r="R35" i="1"/>
  <c r="AH32" i="1"/>
  <c r="H33" i="1"/>
  <c r="J33" i="1"/>
  <c r="T32" i="1"/>
  <c r="R36" i="1" l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8" i="1"/>
  <c r="R50" i="1"/>
  <c r="J49" i="1"/>
  <c r="H49" i="1"/>
  <c r="AH48" i="1"/>
  <c r="T48" i="1"/>
  <c r="R51" i="1" l="1"/>
  <c r="J50" i="1"/>
  <c r="H50" i="1"/>
  <c r="AH49" i="1"/>
  <c r="T49" i="1"/>
  <c r="I21" i="3" l="1"/>
  <c r="AH21" i="2"/>
  <c r="J51" i="1"/>
  <c r="H51" i="1"/>
  <c r="AH50" i="1"/>
  <c r="T50" i="1"/>
  <c r="I23" i="3" l="1"/>
  <c r="I25" i="3" s="1"/>
  <c r="I27" i="3" s="1"/>
  <c r="N27" i="3" s="1"/>
  <c r="N28" i="3" s="1"/>
  <c r="I35" i="3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P15" i="7"/>
  <c r="P16" i="7" s="1"/>
  <c r="P17" i="7" s="1"/>
  <c r="T51" i="1"/>
  <c r="AH51" i="1"/>
  <c r="I34" i="3" l="1"/>
  <c r="AD21" i="2"/>
  <c r="I32" i="3"/>
  <c r="P18" i="7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L34" i="3" l="1"/>
  <c r="L32" i="3"/>
  <c r="I28" i="3"/>
  <c r="L35" i="3"/>
  <c r="I36" i="3"/>
  <c r="L36" i="3" s="1"/>
</calcChain>
</file>

<file path=xl/sharedStrings.xml><?xml version="1.0" encoding="utf-8"?>
<sst xmlns="http://schemas.openxmlformats.org/spreadsheetml/2006/main" count="172" uniqueCount="114">
  <si>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</si>
  <si>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</si>
  <si>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</si>
  <si>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</si>
  <si>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</si>
  <si>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</si>
  <si>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</si>
  <si>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</si>
  <si>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</si>
  <si>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</si>
  <si>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</si>
  <si>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</si>
  <si>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</si>
  <si>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</si>
  <si>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</si>
  <si>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</si>
  <si>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</si>
  <si>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</si>
  <si>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</si>
  <si>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</si>
  <si>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</si>
  <si>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</si>
  <si>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</si>
  <si>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</si>
  <si>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</si>
  <si>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</si>
  <si>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</si>
  <si>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</si>
  <si>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</si>
  <si>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</si>
  <si>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</si>
  <si>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</si>
  <si>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</si>
  <si>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</si>
  <si>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</si>
  <si>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</si>
  <si>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</si>
  <si>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</si>
  <si>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</si>
  <si>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</si>
  <si>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</si>
  <si>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</si>
  <si>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</si>
  <si>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</si>
  <si>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</si>
  <si>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</si>
  <si>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</si>
  <si>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</si>
  <si>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</si>
  <si>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</si>
  <si>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</si>
  <si>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</si>
  <si>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</si>
  <si>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</si>
  <si>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</si>
  <si>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</si>
  <si>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</si>
  <si>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</si>
  <si>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</si>
  <si>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</si>
  <si>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</si>
  <si>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</si>
  <si>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</si>
  <si>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</si>
  <si>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</si>
  <si>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</si>
  <si>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</si>
  <si>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</si>
  <si>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</si>
  <si>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</si>
  <si>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</si>
  <si>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</si>
  <si>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</si>
  <si>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</si>
  <si>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</si>
  <si>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</si>
  <si>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</si>
  <si>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</si>
  <si>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</si>
  <si>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</si>
  <si>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</si>
  <si>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</si>
  <si>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</si>
  <si>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</si>
  <si>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</si>
  <si>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</si>
  <si>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</si>
  <si>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</si>
  <si>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</si>
  <si>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</si>
  <si>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</si>
  <si>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</si>
  <si>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Less: Theoreteical Recoveris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</si>
  <si>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</si>
  <si>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</si>
  <si>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</si>
  <si>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</si>
  <si>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</si>
  <si>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</si>
  <si>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</si>
  <si>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</si>
  <si>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Ddata collection, recoding and repoting challenges.</t>
  </si>
  <si>
    <t>b)</t>
  </si>
  <si>
    <t>c)</t>
  </si>
  <si>
    <t>The lack of being able to measure "self-diagnossed" cases.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</si>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</sst>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4" fontId="0" fillId="12" borderId="16" xfId="0" applyNumberForma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7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8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0" fontId="2" fillId="19" borderId="0" xfId="0" applyFont="1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 wrapText="1"/>
    </xf>
    <xf numFmtId="0" fontId="2" fillId="17" borderId="26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7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2"/>
  <sheetViews>
    <sheetView tabSelected="1" zoomScaleNormal="100" workbookViewId="0">
      <selection activeCell="AB60" sqref="AB60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48" t="s">
        <v>5</v>
      </c>
      <c r="C1" s="348"/>
      <c r="D1" s="348"/>
    </row>
    <row r="2" spans="2:68" ht="15.6" x14ac:dyDescent="0.3">
      <c r="B2" s="348" t="s">
        <v>6</v>
      </c>
      <c r="C2" s="348"/>
      <c r="D2" s="348"/>
      <c r="E2" s="13"/>
      <c r="F2" s="13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</row>
    <row r="3" spans="2:68" ht="16.2" thickBot="1" x14ac:dyDescent="0.35">
      <c r="B3" s="353" t="s">
        <v>14</v>
      </c>
      <c r="C3" s="353"/>
      <c r="D3" s="225"/>
      <c r="E3" s="225"/>
      <c r="F3" s="225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</row>
    <row r="4" spans="2:68" ht="16.2" thickBot="1" x14ac:dyDescent="0.35">
      <c r="E4" s="13"/>
      <c r="F4" s="13"/>
      <c r="J4" s="349" t="s">
        <v>11</v>
      </c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16"/>
      <c r="V4" s="17"/>
      <c r="X4" s="359" t="s">
        <v>15</v>
      </c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1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92"/>
      <c r="BO4" s="92"/>
    </row>
    <row r="5" spans="2:68" x14ac:dyDescent="0.3"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</row>
    <row r="6" spans="2:68" x14ac:dyDescent="0.3">
      <c r="D6" s="15" t="s">
        <v>7</v>
      </c>
      <c r="E6" s="47"/>
      <c r="F6" s="354" t="s">
        <v>12</v>
      </c>
      <c r="G6" s="354"/>
      <c r="H6" s="354"/>
      <c r="I6" s="354"/>
      <c r="J6" s="354"/>
      <c r="K6" s="354"/>
      <c r="L6" s="355"/>
      <c r="M6" s="3"/>
      <c r="N6" s="12" t="s">
        <v>7</v>
      </c>
      <c r="O6" s="48"/>
      <c r="P6" s="356">
        <v>1.2500000000000001E-2</v>
      </c>
      <c r="Q6" s="356"/>
      <c r="R6" s="356"/>
      <c r="S6" s="356"/>
      <c r="T6" s="356"/>
      <c r="U6" s="356"/>
      <c r="V6" s="357"/>
      <c r="W6" s="3"/>
      <c r="X6" s="10" t="s">
        <v>7</v>
      </c>
      <c r="Y6" s="49"/>
      <c r="Z6" s="49"/>
      <c r="AA6" s="11"/>
      <c r="AB6" s="362" t="s">
        <v>28</v>
      </c>
      <c r="AC6" s="362"/>
      <c r="AD6" s="362"/>
      <c r="AE6" s="362"/>
      <c r="AF6" s="362"/>
      <c r="AG6" s="362"/>
      <c r="AH6" s="363"/>
      <c r="AI6" s="3"/>
      <c r="AJ6" s="131" t="s">
        <v>7</v>
      </c>
      <c r="AK6" s="132"/>
      <c r="AL6" s="132"/>
      <c r="AM6" s="132"/>
      <c r="AN6" s="364" t="s">
        <v>27</v>
      </c>
      <c r="AO6" s="364"/>
      <c r="AP6" s="364"/>
      <c r="AQ6" s="364"/>
      <c r="AR6" s="364"/>
      <c r="AS6" s="364"/>
      <c r="AT6" s="364"/>
      <c r="AU6" s="365"/>
      <c r="AV6" s="365"/>
      <c r="AW6" s="365"/>
      <c r="AX6" s="365"/>
      <c r="AY6" s="366"/>
      <c r="AZ6" s="3"/>
    </row>
    <row r="7" spans="2:68" ht="16.2" x14ac:dyDescent="0.3">
      <c r="D7" s="351" t="s">
        <v>21</v>
      </c>
      <c r="E7" s="352"/>
      <c r="F7" s="352"/>
      <c r="G7" s="352"/>
      <c r="H7" s="352"/>
      <c r="I7" s="352"/>
      <c r="J7" s="352"/>
      <c r="K7" s="75"/>
      <c r="L7" s="76"/>
      <c r="M7" s="3"/>
      <c r="N7" s="142"/>
      <c r="O7" s="358" t="s">
        <v>36</v>
      </c>
      <c r="P7" s="358"/>
      <c r="Q7" s="358"/>
      <c r="R7" s="358"/>
      <c r="S7" s="358"/>
      <c r="T7" s="139"/>
      <c r="U7" s="140"/>
      <c r="V7" s="141"/>
      <c r="W7" s="3"/>
      <c r="X7" s="367" t="s">
        <v>79</v>
      </c>
      <c r="Y7" s="368"/>
      <c r="Z7" s="368"/>
      <c r="AA7" s="368"/>
      <c r="AB7" s="368"/>
      <c r="AC7" s="368"/>
      <c r="AD7" s="368"/>
      <c r="AE7" s="368"/>
      <c r="AF7" s="368"/>
      <c r="AG7" s="368"/>
      <c r="AH7" s="369"/>
      <c r="AJ7" s="351" t="s">
        <v>26</v>
      </c>
      <c r="AK7" s="352"/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70"/>
      <c r="BA7" s="234" t="s">
        <v>19</v>
      </c>
    </row>
    <row r="8" spans="2:68" x14ac:dyDescent="0.3">
      <c r="D8" s="82" t="s">
        <v>1</v>
      </c>
      <c r="E8" s="18"/>
      <c r="F8" s="83" t="s">
        <v>16</v>
      </c>
      <c r="G8" s="18"/>
      <c r="H8" s="104" t="s">
        <v>2</v>
      </c>
      <c r="I8" s="18"/>
      <c r="J8" s="84" t="s">
        <v>3</v>
      </c>
      <c r="K8" s="18"/>
      <c r="L8" s="85" t="s">
        <v>16</v>
      </c>
      <c r="N8" s="73" t="s">
        <v>1</v>
      </c>
      <c r="O8" s="51"/>
      <c r="P8" s="72" t="s">
        <v>16</v>
      </c>
      <c r="Q8" s="51"/>
      <c r="R8" s="105" t="s">
        <v>2</v>
      </c>
      <c r="S8" s="51"/>
      <c r="T8" s="74" t="s">
        <v>3</v>
      </c>
      <c r="U8" s="67"/>
      <c r="V8" s="77" t="s">
        <v>16</v>
      </c>
      <c r="X8" s="25" t="s">
        <v>1</v>
      </c>
      <c r="Y8" s="8"/>
      <c r="Z8" s="50" t="s">
        <v>16</v>
      </c>
      <c r="AA8" s="8"/>
      <c r="AB8" s="106" t="s">
        <v>2</v>
      </c>
      <c r="AC8" s="8"/>
      <c r="AD8" s="9" t="s">
        <v>3</v>
      </c>
      <c r="AE8" s="8"/>
      <c r="AF8" s="50" t="s">
        <v>16</v>
      </c>
      <c r="AG8" s="8"/>
      <c r="AH8" s="58" t="s">
        <v>17</v>
      </c>
      <c r="AJ8" s="346" t="s">
        <v>1</v>
      </c>
      <c r="AK8" s="347"/>
      <c r="AL8" s="347"/>
      <c r="AM8" s="95"/>
      <c r="AN8" s="347" t="s">
        <v>25</v>
      </c>
      <c r="AO8" s="347"/>
      <c r="AP8" s="347"/>
      <c r="AQ8" s="347"/>
      <c r="AR8" s="347"/>
      <c r="AS8" s="347"/>
      <c r="AT8" s="347"/>
      <c r="AU8" s="95"/>
      <c r="AV8" s="101"/>
      <c r="AW8" s="224"/>
      <c r="AX8" s="94"/>
      <c r="AY8" s="241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9"/>
      <c r="K9" s="20"/>
      <c r="L9" s="62"/>
      <c r="N9" s="52"/>
      <c r="O9" s="53"/>
      <c r="P9" s="53"/>
      <c r="Q9" s="53"/>
      <c r="R9" s="54">
        <f>1295-1092</f>
        <v>203</v>
      </c>
      <c r="S9" s="53"/>
      <c r="T9" s="68"/>
      <c r="U9" s="68"/>
      <c r="V9" s="78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23" t="s">
        <v>37</v>
      </c>
      <c r="AK9" s="95"/>
      <c r="AL9" s="133" t="s">
        <v>2</v>
      </c>
      <c r="AM9" s="96"/>
      <c r="AN9" s="224" t="s">
        <v>37</v>
      </c>
      <c r="AO9" s="95"/>
      <c r="AP9" s="94" t="s">
        <v>10</v>
      </c>
      <c r="AQ9" s="210"/>
      <c r="AR9" s="94" t="s">
        <v>16</v>
      </c>
      <c r="AS9" s="95"/>
      <c r="AT9" s="143" t="s">
        <v>2</v>
      </c>
      <c r="AU9" s="96"/>
      <c r="AV9" s="144" t="s">
        <v>23</v>
      </c>
      <c r="AW9" s="95"/>
      <c r="AX9" s="145" t="s">
        <v>16</v>
      </c>
      <c r="AY9" s="242"/>
    </row>
    <row r="10" spans="2:68" x14ac:dyDescent="0.3">
      <c r="B10" s="229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60">
        <f t="shared" ref="J10:J51" si="1">+D10/H9</f>
        <v>0.40413235081635601</v>
      </c>
      <c r="K10" s="21"/>
      <c r="L10" s="63"/>
      <c r="M10" s="1"/>
      <c r="N10" s="55">
        <f>49+3</f>
        <v>52</v>
      </c>
      <c r="O10" s="54"/>
      <c r="P10" s="54"/>
      <c r="Q10" s="54"/>
      <c r="R10" s="54">
        <f t="shared" ref="R10:R23" si="2">+R9+N10</f>
        <v>255</v>
      </c>
      <c r="S10" s="54"/>
      <c r="T10" s="69">
        <f t="shared" ref="T10:T51" si="3">+R10/H10</f>
        <v>1.3119983535706935E-2</v>
      </c>
      <c r="U10" s="69"/>
      <c r="V10" s="79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97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102"/>
      <c r="AW10" s="98"/>
      <c r="AX10" s="98"/>
      <c r="AY10" s="243"/>
      <c r="AZ10" s="1"/>
      <c r="BA10">
        <v>1</v>
      </c>
    </row>
    <row r="11" spans="2:68" x14ac:dyDescent="0.3">
      <c r="B11" s="229">
        <f t="shared" ref="B11:B56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60">
        <f t="shared" si="1"/>
        <v>0.24819921794607944</v>
      </c>
      <c r="K11" s="91"/>
      <c r="L11" s="64"/>
      <c r="M11" s="1"/>
      <c r="N11" s="55">
        <v>46</v>
      </c>
      <c r="O11" s="54"/>
      <c r="P11" s="54"/>
      <c r="Q11" s="54"/>
      <c r="R11" s="54">
        <f t="shared" si="2"/>
        <v>301</v>
      </c>
      <c r="S11" s="54"/>
      <c r="T11" s="69">
        <f t="shared" si="3"/>
        <v>1.2407254740313274E-2</v>
      </c>
      <c r="U11" s="69"/>
      <c r="V11" s="79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97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102"/>
      <c r="AW11" s="98"/>
      <c r="AX11" s="98"/>
      <c r="AY11" s="243"/>
      <c r="AZ11" s="1"/>
      <c r="BA11">
        <f>+BA10+1</f>
        <v>2</v>
      </c>
    </row>
    <row r="12" spans="2:68" x14ac:dyDescent="0.3">
      <c r="B12" s="229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60">
        <f t="shared" si="1"/>
        <v>0.38495465787304206</v>
      </c>
      <c r="K12" s="91"/>
      <c r="L12" s="64"/>
      <c r="M12" s="1"/>
      <c r="N12" s="55">
        <f>117-4</f>
        <v>113</v>
      </c>
      <c r="O12" s="54"/>
      <c r="P12" s="54"/>
      <c r="Q12" s="54"/>
      <c r="R12" s="54">
        <f t="shared" si="2"/>
        <v>414</v>
      </c>
      <c r="S12" s="54"/>
      <c r="T12" s="69">
        <f t="shared" si="3"/>
        <v>1.2321795291526534E-2</v>
      </c>
      <c r="U12" s="69"/>
      <c r="V12" s="79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97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102"/>
      <c r="AW12" s="98"/>
      <c r="AX12" s="98"/>
      <c r="AY12" s="243"/>
      <c r="AZ12" s="1"/>
      <c r="BA12">
        <f t="shared" ref="BA12:BA56" si="8">+BA11+1</f>
        <v>3</v>
      </c>
    </row>
    <row r="13" spans="2:68" x14ac:dyDescent="0.3">
      <c r="B13" s="229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60">
        <f t="shared" si="1"/>
        <v>0.30262805440638113</v>
      </c>
      <c r="K13" s="91"/>
      <c r="L13" s="64"/>
      <c r="M13" s="1"/>
      <c r="N13" s="55">
        <f>140+1</f>
        <v>141</v>
      </c>
      <c r="O13" s="54"/>
      <c r="P13" s="54"/>
      <c r="Q13" s="54"/>
      <c r="R13" s="54">
        <f t="shared" si="2"/>
        <v>555</v>
      </c>
      <c r="S13" s="54"/>
      <c r="T13" s="69">
        <f t="shared" si="3"/>
        <v>1.2680786894235383E-2</v>
      </c>
      <c r="U13" s="69"/>
      <c r="V13" s="79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97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102"/>
      <c r="AW13" s="98"/>
      <c r="AX13" s="98"/>
      <c r="AY13" s="243"/>
      <c r="AZ13" s="1"/>
      <c r="BA13">
        <f t="shared" si="8"/>
        <v>4</v>
      </c>
    </row>
    <row r="14" spans="2:68" x14ac:dyDescent="0.3">
      <c r="B14" s="229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60">
        <f t="shared" si="1"/>
        <v>0.25336440697329038</v>
      </c>
      <c r="K14" s="91"/>
      <c r="L14" s="64"/>
      <c r="M14" s="1"/>
      <c r="N14" s="55">
        <v>225</v>
      </c>
      <c r="O14" s="54"/>
      <c r="P14" s="54"/>
      <c r="Q14" s="54"/>
      <c r="R14" s="54">
        <f t="shared" si="2"/>
        <v>780</v>
      </c>
      <c r="S14" s="54"/>
      <c r="T14" s="69">
        <f t="shared" si="3"/>
        <v>1.4219046230129795E-2</v>
      </c>
      <c r="U14" s="69"/>
      <c r="V14" s="79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97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102"/>
      <c r="AW14" s="98"/>
      <c r="AX14" s="98"/>
      <c r="AY14" s="243"/>
      <c r="AZ14" s="1"/>
      <c r="BA14">
        <f t="shared" si="8"/>
        <v>5</v>
      </c>
      <c r="BP14" s="87"/>
    </row>
    <row r="15" spans="2:68" x14ac:dyDescent="0.3">
      <c r="B15" s="229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60">
        <f t="shared" si="1"/>
        <v>0.24345559282485052</v>
      </c>
      <c r="K15" s="91"/>
      <c r="L15" s="64"/>
      <c r="M15" s="1"/>
      <c r="N15" s="55">
        <v>247</v>
      </c>
      <c r="O15" s="54"/>
      <c r="P15" s="54"/>
      <c r="Q15" s="54"/>
      <c r="R15" s="54">
        <f t="shared" si="2"/>
        <v>1027</v>
      </c>
      <c r="S15" s="54"/>
      <c r="T15" s="69">
        <f t="shared" si="3"/>
        <v>1.5056222603392415E-2</v>
      </c>
      <c r="U15" s="69"/>
      <c r="V15" s="79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97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102"/>
      <c r="AW15" s="98"/>
      <c r="AX15" s="98"/>
      <c r="AY15" s="243"/>
      <c r="AZ15" s="1"/>
      <c r="BA15">
        <f t="shared" si="8"/>
        <v>6</v>
      </c>
      <c r="BP15" s="87"/>
    </row>
    <row r="16" spans="2:68" x14ac:dyDescent="0.3">
      <c r="B16" s="229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60">
        <f t="shared" si="1"/>
        <v>0.25251059213323362</v>
      </c>
      <c r="K16" s="91"/>
      <c r="L16" s="64"/>
      <c r="M16" s="1"/>
      <c r="N16" s="55">
        <v>268</v>
      </c>
      <c r="O16" s="54"/>
      <c r="P16" s="54"/>
      <c r="Q16" s="54"/>
      <c r="R16" s="54">
        <f t="shared" si="2"/>
        <v>1295</v>
      </c>
      <c r="S16" s="54"/>
      <c r="T16" s="69">
        <f t="shared" si="3"/>
        <v>1.5157722244981565E-2</v>
      </c>
      <c r="U16" s="69"/>
      <c r="V16" s="79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97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102"/>
      <c r="AW16" s="98"/>
      <c r="AX16" s="98"/>
      <c r="AY16" s="243"/>
      <c r="AZ16" s="1"/>
      <c r="BA16">
        <f t="shared" si="8"/>
        <v>7</v>
      </c>
      <c r="BP16" s="87"/>
    </row>
    <row r="17" spans="2:68" x14ac:dyDescent="0.3">
      <c r="B17" s="229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60">
        <f t="shared" si="1"/>
        <v>0.21877450693509687</v>
      </c>
      <c r="K17" s="91"/>
      <c r="L17" s="64"/>
      <c r="M17" s="1"/>
      <c r="N17" s="55">
        <f>401-1</f>
        <v>400</v>
      </c>
      <c r="O17" s="54"/>
      <c r="P17" s="54"/>
      <c r="Q17" s="54"/>
      <c r="R17" s="54">
        <f t="shared" si="2"/>
        <v>1695</v>
      </c>
      <c r="S17" s="54"/>
      <c r="T17" s="69">
        <f t="shared" si="3"/>
        <v>1.6278355069819256E-2</v>
      </c>
      <c r="U17" s="69"/>
      <c r="V17" s="79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97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102"/>
      <c r="AW17" s="98"/>
      <c r="AX17" s="98"/>
      <c r="AY17" s="243"/>
      <c r="AZ17" s="1"/>
      <c r="BA17">
        <f t="shared" si="8"/>
        <v>8</v>
      </c>
      <c r="BP17" s="87"/>
    </row>
    <row r="18" spans="2:68" x14ac:dyDescent="0.3">
      <c r="B18" s="229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60">
        <f t="shared" si="1"/>
        <v>0.18681213145612047</v>
      </c>
      <c r="K18" s="91"/>
      <c r="L18" s="64"/>
      <c r="M18" s="1"/>
      <c r="N18" s="55">
        <v>525</v>
      </c>
      <c r="O18" s="54"/>
      <c r="P18" s="54"/>
      <c r="Q18" s="54"/>
      <c r="R18" s="54">
        <f t="shared" si="2"/>
        <v>2220</v>
      </c>
      <c r="S18" s="54"/>
      <c r="T18" s="69">
        <f t="shared" si="3"/>
        <v>1.7964362588810307E-2</v>
      </c>
      <c r="U18" s="69"/>
      <c r="V18" s="79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97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102"/>
      <c r="AW18" s="98"/>
      <c r="AX18" s="98"/>
      <c r="AY18" s="243"/>
      <c r="AZ18" s="1"/>
      <c r="BA18">
        <f t="shared" si="8"/>
        <v>9</v>
      </c>
      <c r="BP18" s="87"/>
    </row>
    <row r="19" spans="2:68" x14ac:dyDescent="0.3">
      <c r="B19" s="230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60">
        <f t="shared" si="1"/>
        <v>0.16113709559954037</v>
      </c>
      <c r="K19" s="91"/>
      <c r="L19" s="64"/>
      <c r="M19" s="1"/>
      <c r="N19" s="55">
        <v>363</v>
      </c>
      <c r="O19" s="54"/>
      <c r="P19" s="54"/>
      <c r="Q19" s="54"/>
      <c r="R19" s="54">
        <f t="shared" si="2"/>
        <v>2583</v>
      </c>
      <c r="S19" s="54"/>
      <c r="T19" s="69">
        <f t="shared" si="3"/>
        <v>1.8001128990668403E-2</v>
      </c>
      <c r="U19" s="69"/>
      <c r="V19" s="79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97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102"/>
      <c r="AW19" s="98"/>
      <c r="AX19" s="98"/>
      <c r="AY19" s="243"/>
      <c r="AZ19" s="1"/>
      <c r="BA19">
        <f t="shared" si="8"/>
        <v>10</v>
      </c>
      <c r="BP19" s="87"/>
    </row>
    <row r="20" spans="2:68" x14ac:dyDescent="0.3">
      <c r="B20" s="230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60">
        <f t="shared" si="1"/>
        <v>0.14184164860513901</v>
      </c>
      <c r="K20" s="91"/>
      <c r="L20" s="64"/>
      <c r="M20" s="1"/>
      <c r="N20" s="55">
        <f>573-15</f>
        <v>558</v>
      </c>
      <c r="O20" s="54"/>
      <c r="P20" s="54"/>
      <c r="Q20" s="54"/>
      <c r="R20" s="54">
        <f t="shared" si="2"/>
        <v>3141</v>
      </c>
      <c r="S20" s="54"/>
      <c r="T20" s="69">
        <f t="shared" si="3"/>
        <v>1.9170674544078514E-2</v>
      </c>
      <c r="U20" s="69"/>
      <c r="V20" s="79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97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102"/>
      <c r="AW20" s="98"/>
      <c r="AX20" s="98"/>
      <c r="AY20" s="243"/>
      <c r="AZ20" s="1"/>
      <c r="BA20">
        <f t="shared" si="8"/>
        <v>11</v>
      </c>
      <c r="BP20" s="87"/>
    </row>
    <row r="21" spans="2:68" x14ac:dyDescent="0.3">
      <c r="B21" s="230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60">
        <f t="shared" si="1"/>
        <v>0.1510094968384561</v>
      </c>
      <c r="K21" s="91"/>
      <c r="L21" s="64"/>
      <c r="M21" s="1"/>
      <c r="N21" s="55">
        <f>748+164</f>
        <v>912</v>
      </c>
      <c r="O21" s="54"/>
      <c r="P21" s="54"/>
      <c r="Q21" s="54"/>
      <c r="R21" s="54">
        <f t="shared" si="2"/>
        <v>4053</v>
      </c>
      <c r="S21" s="54"/>
      <c r="T21" s="69">
        <f t="shared" si="3"/>
        <v>2.1491521109732431E-2</v>
      </c>
      <c r="U21" s="70"/>
      <c r="V21" s="80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97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102"/>
      <c r="AW21" s="98"/>
      <c r="AX21" s="98"/>
      <c r="AY21" s="243"/>
      <c r="AZ21" s="1"/>
      <c r="BA21">
        <f t="shared" si="8"/>
        <v>12</v>
      </c>
      <c r="BP21" s="87"/>
    </row>
    <row r="22" spans="2:68" x14ac:dyDescent="0.3">
      <c r="B22" s="230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60">
        <f t="shared" si="1"/>
        <v>0.14037627395458835</v>
      </c>
      <c r="K22" s="91"/>
      <c r="L22" s="64"/>
      <c r="M22" s="1"/>
      <c r="N22" s="55">
        <f>1046+3</f>
        <v>1049</v>
      </c>
      <c r="O22" s="54"/>
      <c r="P22" s="54"/>
      <c r="Q22" s="54"/>
      <c r="R22" s="54">
        <f t="shared" si="2"/>
        <v>5102</v>
      </c>
      <c r="S22" s="54"/>
      <c r="T22" s="69">
        <f t="shared" si="3"/>
        <v>2.3723722327361328E-2</v>
      </c>
      <c r="U22" s="70"/>
      <c r="V22" s="80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102"/>
      <c r="AW22" s="98"/>
      <c r="AX22" s="98"/>
      <c r="AY22" s="243"/>
      <c r="AZ22" s="1"/>
      <c r="BA22">
        <f t="shared" si="8"/>
        <v>13</v>
      </c>
    </row>
    <row r="23" spans="2:68" x14ac:dyDescent="0.3">
      <c r="B23" s="230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60">
        <f t="shared" si="1"/>
        <v>0.1386503238646139</v>
      </c>
      <c r="K23" s="91"/>
      <c r="L23" s="64"/>
      <c r="M23" s="1"/>
      <c r="N23" s="55">
        <f>968+6</f>
        <v>974</v>
      </c>
      <c r="O23" s="54"/>
      <c r="P23" s="54"/>
      <c r="Q23" s="54"/>
      <c r="R23" s="54">
        <f t="shared" si="2"/>
        <v>6076</v>
      </c>
      <c r="S23" s="54"/>
      <c r="T23" s="69">
        <f t="shared" si="3"/>
        <v>2.4812456866100122E-2</v>
      </c>
      <c r="U23" s="70"/>
      <c r="V23" s="80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97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102"/>
      <c r="AW23" s="98"/>
      <c r="AX23" s="98"/>
      <c r="AY23" s="243"/>
      <c r="AZ23" s="1"/>
      <c r="BA23">
        <f t="shared" si="8"/>
        <v>14</v>
      </c>
    </row>
    <row r="24" spans="2:68" x14ac:dyDescent="0.3">
      <c r="B24" s="230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64" t="s">
        <v>48</v>
      </c>
      <c r="J24" s="60">
        <f t="shared" si="1"/>
        <v>0.13183761643600664</v>
      </c>
      <c r="K24" s="91"/>
      <c r="L24" s="64"/>
      <c r="M24" s="1"/>
      <c r="N24" s="55">
        <f>7121-6076</f>
        <v>1045</v>
      </c>
      <c r="O24" s="54"/>
      <c r="P24" s="54"/>
      <c r="Q24" s="54"/>
      <c r="R24" s="54">
        <f>+R23+N24+21</f>
        <v>7142</v>
      </c>
      <c r="S24" s="163" t="s">
        <v>48</v>
      </c>
      <c r="T24" s="69">
        <f t="shared" si="3"/>
        <v>2.5555424355299835E-2</v>
      </c>
      <c r="U24" s="70"/>
      <c r="V24" s="80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97">
        <v>698344</v>
      </c>
      <c r="AK24" s="98"/>
      <c r="AL24" s="98">
        <f>+AJ24</f>
        <v>698344</v>
      </c>
      <c r="AM24" s="98"/>
      <c r="AN24" s="98">
        <f t="shared" ref="AN24:AN51" si="9">+D24</f>
        <v>32284</v>
      </c>
      <c r="AO24" s="98"/>
      <c r="AP24" s="98"/>
      <c r="AQ24" s="98"/>
      <c r="AR24" s="98"/>
      <c r="AS24" s="98"/>
      <c r="AT24" s="98">
        <f>+AN24</f>
        <v>32284</v>
      </c>
      <c r="AU24" s="98"/>
      <c r="AV24" s="107">
        <f t="shared" ref="AV24:AV51" si="10">+AT24/AL24</f>
        <v>4.6229365470312624E-2</v>
      </c>
      <c r="AW24" s="98"/>
      <c r="AX24" s="98"/>
      <c r="AY24" s="243"/>
      <c r="AZ24" s="1"/>
      <c r="BA24">
        <f t="shared" si="8"/>
        <v>15</v>
      </c>
    </row>
    <row r="25" spans="2:68" x14ac:dyDescent="0.3">
      <c r="B25" s="230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60">
        <f t="shared" si="1"/>
        <v>0.12235974394481001</v>
      </c>
      <c r="K25" s="21"/>
      <c r="L25" s="63"/>
      <c r="M25" s="1"/>
      <c r="N25" s="55">
        <f>1331-1</f>
        <v>1330</v>
      </c>
      <c r="O25" s="54"/>
      <c r="P25" s="54"/>
      <c r="Q25" s="54"/>
      <c r="R25" s="54">
        <f t="shared" ref="R25:R34" si="12">+R24+N25</f>
        <v>8472</v>
      </c>
      <c r="S25" s="54"/>
      <c r="T25" s="69">
        <f t="shared" si="3"/>
        <v>2.7009535590291615E-2</v>
      </c>
      <c r="U25" s="70"/>
      <c r="V25" s="80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97">
        <v>934611</v>
      </c>
      <c r="AK25" s="98"/>
      <c r="AL25" s="98">
        <f>+AL24+AJ25</f>
        <v>1632955</v>
      </c>
      <c r="AM25" s="98"/>
      <c r="AN25" s="98">
        <f t="shared" si="9"/>
        <v>34196</v>
      </c>
      <c r="AO25" s="98"/>
      <c r="AP25" s="98"/>
      <c r="AQ25" s="98"/>
      <c r="AR25" s="98"/>
      <c r="AS25" s="98"/>
      <c r="AT25" s="98">
        <f t="shared" ref="AT25:AT51" si="13">+AT24+AN25</f>
        <v>66480</v>
      </c>
      <c r="AU25" s="98"/>
      <c r="AV25" s="107">
        <f t="shared" si="10"/>
        <v>4.0711470922346296E-2</v>
      </c>
      <c r="AW25" s="98"/>
      <c r="AX25" s="120"/>
      <c r="AY25" s="243"/>
      <c r="AZ25" s="1"/>
      <c r="BA25">
        <f t="shared" si="8"/>
        <v>16</v>
      </c>
    </row>
    <row r="26" spans="2:68" x14ac:dyDescent="0.3">
      <c r="B26" s="230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60">
        <f t="shared" si="1"/>
        <v>8.0709797332840241E-2</v>
      </c>
      <c r="K26" s="21"/>
      <c r="L26" s="63"/>
      <c r="M26" s="1"/>
      <c r="N26" s="55">
        <v>1165</v>
      </c>
      <c r="O26" s="54"/>
      <c r="P26" s="54"/>
      <c r="Q26" s="54"/>
      <c r="R26" s="54">
        <f t="shared" si="12"/>
        <v>9637</v>
      </c>
      <c r="S26" s="54"/>
      <c r="T26" s="69">
        <f t="shared" si="3"/>
        <v>2.842915426437314E-2</v>
      </c>
      <c r="U26" s="70"/>
      <c r="V26" s="80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97">
        <v>139414</v>
      </c>
      <c r="AK26" s="98"/>
      <c r="AL26" s="98">
        <f>+AL25+AJ26</f>
        <v>1772369</v>
      </c>
      <c r="AM26" s="98"/>
      <c r="AN26" s="98">
        <f t="shared" si="9"/>
        <v>25316</v>
      </c>
      <c r="AO26" s="98"/>
      <c r="AP26" s="98"/>
      <c r="AQ26" s="98"/>
      <c r="AR26" s="98"/>
      <c r="AS26" s="98"/>
      <c r="AT26" s="98">
        <f t="shared" si="13"/>
        <v>91796</v>
      </c>
      <c r="AU26" s="98"/>
      <c r="AV26" s="107">
        <f t="shared" si="10"/>
        <v>5.1792826437384087E-2</v>
      </c>
      <c r="AW26" s="98"/>
      <c r="AX26" s="120"/>
      <c r="AY26" s="243"/>
      <c r="AZ26" s="1"/>
      <c r="BA26">
        <f t="shared" si="8"/>
        <v>17</v>
      </c>
    </row>
    <row r="27" spans="2:68" x14ac:dyDescent="0.3">
      <c r="B27" s="230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60">
        <f t="shared" si="1"/>
        <v>9.2069513810427078E-2</v>
      </c>
      <c r="K27" s="21"/>
      <c r="L27" s="63"/>
      <c r="M27" s="1"/>
      <c r="N27" s="55">
        <v>1255</v>
      </c>
      <c r="O27" s="54"/>
      <c r="P27" s="54"/>
      <c r="Q27" s="54"/>
      <c r="R27" s="54">
        <f t="shared" si="12"/>
        <v>10892</v>
      </c>
      <c r="S27" s="54"/>
      <c r="T27" s="69">
        <f t="shared" si="3"/>
        <v>2.9422490430667247E-2</v>
      </c>
      <c r="U27" s="70"/>
      <c r="V27" s="80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97">
        <f t="shared" ref="AJ27:AJ51" si="14">+AL27-AL26</f>
        <v>142171</v>
      </c>
      <c r="AK27" s="98"/>
      <c r="AL27" s="98">
        <v>1914540</v>
      </c>
      <c r="AM27" s="98"/>
      <c r="AN27" s="98">
        <f t="shared" si="9"/>
        <v>31210</v>
      </c>
      <c r="AO27" s="98"/>
      <c r="AP27" s="98"/>
      <c r="AQ27" s="98"/>
      <c r="AR27" s="98"/>
      <c r="AS27" s="98"/>
      <c r="AT27" s="98">
        <f t="shared" si="13"/>
        <v>123006</v>
      </c>
      <c r="AU27" s="98"/>
      <c r="AV27" s="107">
        <f t="shared" si="10"/>
        <v>6.4248331191826755E-2</v>
      </c>
      <c r="AW27" s="98"/>
      <c r="AX27" s="120"/>
      <c r="AY27" s="243"/>
      <c r="AZ27" s="1"/>
      <c r="BA27">
        <f t="shared" si="8"/>
        <v>18</v>
      </c>
    </row>
    <row r="28" spans="2:68" x14ac:dyDescent="0.3">
      <c r="B28" s="230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60">
        <f t="shared" si="1"/>
        <v>9.0385285513232286E-2</v>
      </c>
      <c r="K28" s="21"/>
      <c r="L28" s="63"/>
      <c r="M28" s="1"/>
      <c r="N28" s="55">
        <v>1970</v>
      </c>
      <c r="O28" s="54"/>
      <c r="P28" s="54"/>
      <c r="Q28" s="54"/>
      <c r="R28" s="54">
        <f t="shared" si="12"/>
        <v>12862</v>
      </c>
      <c r="S28" s="54"/>
      <c r="T28" s="69">
        <f t="shared" si="3"/>
        <v>3.1864002001719301E-2</v>
      </c>
      <c r="U28" s="70"/>
      <c r="V28" s="80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97">
        <f t="shared" si="14"/>
        <v>161199</v>
      </c>
      <c r="AK28" s="98"/>
      <c r="AL28" s="98">
        <v>2075739</v>
      </c>
      <c r="AM28" s="98"/>
      <c r="AN28" s="98">
        <f t="shared" si="9"/>
        <v>33460</v>
      </c>
      <c r="AO28" s="98"/>
      <c r="AP28" s="98"/>
      <c r="AQ28" s="98"/>
      <c r="AR28" s="98"/>
      <c r="AS28" s="98"/>
      <c r="AT28" s="98">
        <f t="shared" si="13"/>
        <v>156466</v>
      </c>
      <c r="AU28" s="98"/>
      <c r="AV28" s="107">
        <f t="shared" si="10"/>
        <v>7.5378455576544059E-2</v>
      </c>
      <c r="AW28" s="98"/>
      <c r="AX28" s="120"/>
      <c r="AY28" s="243"/>
      <c r="AZ28" s="1"/>
      <c r="BA28">
        <f t="shared" si="8"/>
        <v>19</v>
      </c>
    </row>
    <row r="29" spans="2:68" x14ac:dyDescent="0.3">
      <c r="B29" s="230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60">
        <f t="shared" si="1"/>
        <v>7.9114982423021757E-2</v>
      </c>
      <c r="K29" s="21"/>
      <c r="L29" s="63"/>
      <c r="M29" s="1"/>
      <c r="N29" s="55">
        <f>1940+10</f>
        <v>1950</v>
      </c>
      <c r="O29" s="54"/>
      <c r="P29" s="54"/>
      <c r="Q29" s="54"/>
      <c r="R29" s="54">
        <f t="shared" si="12"/>
        <v>14812</v>
      </c>
      <c r="S29" s="54"/>
      <c r="T29" s="69">
        <f t="shared" si="3"/>
        <v>3.4004609860694049E-2</v>
      </c>
      <c r="U29" s="70"/>
      <c r="V29" s="80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97">
        <f t="shared" si="14"/>
        <v>133302</v>
      </c>
      <c r="AK29" s="98"/>
      <c r="AL29" s="98">
        <v>2209041</v>
      </c>
      <c r="AM29" s="98"/>
      <c r="AN29" s="98">
        <f t="shared" si="9"/>
        <v>31935</v>
      </c>
      <c r="AO29" s="98"/>
      <c r="AP29" s="98"/>
      <c r="AQ29" s="98"/>
      <c r="AR29" s="98"/>
      <c r="AS29" s="98"/>
      <c r="AT29" s="98">
        <f t="shared" si="13"/>
        <v>188401</v>
      </c>
      <c r="AU29" s="98"/>
      <c r="AV29" s="107">
        <f t="shared" si="10"/>
        <v>8.528633013149145E-2</v>
      </c>
      <c r="AW29" s="98"/>
      <c r="AX29" s="120"/>
      <c r="AY29" s="243"/>
      <c r="AZ29" s="1"/>
      <c r="BA29">
        <f t="shared" si="8"/>
        <v>20</v>
      </c>
    </row>
    <row r="30" spans="2:68" x14ac:dyDescent="0.3">
      <c r="B30" s="230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60">
        <f t="shared" si="1"/>
        <v>7.699018338429893E-2</v>
      </c>
      <c r="K30" s="21"/>
      <c r="L30" s="63"/>
      <c r="M30" s="1"/>
      <c r="N30" s="55">
        <v>1900</v>
      </c>
      <c r="O30" s="54"/>
      <c r="P30" s="54"/>
      <c r="Q30" s="54"/>
      <c r="R30" s="54">
        <f t="shared" si="12"/>
        <v>16712</v>
      </c>
      <c r="S30" s="54"/>
      <c r="T30" s="69">
        <f t="shared" si="3"/>
        <v>3.5623843589328193E-2</v>
      </c>
      <c r="U30" s="70"/>
      <c r="V30" s="80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97">
        <f t="shared" si="14"/>
        <v>144055</v>
      </c>
      <c r="AK30" s="98"/>
      <c r="AL30" s="98">
        <v>2353096</v>
      </c>
      <c r="AM30" s="98"/>
      <c r="AN30" s="98">
        <f t="shared" si="9"/>
        <v>33536</v>
      </c>
      <c r="AO30" s="98"/>
      <c r="AP30" s="98"/>
      <c r="AQ30" s="98"/>
      <c r="AR30" s="98"/>
      <c r="AS30" s="98"/>
      <c r="AT30" s="98">
        <f t="shared" si="13"/>
        <v>221937</v>
      </c>
      <c r="AU30" s="98"/>
      <c r="AV30" s="107">
        <f t="shared" si="10"/>
        <v>9.4317018940153735E-2</v>
      </c>
      <c r="AW30" s="98"/>
      <c r="AX30" s="120"/>
      <c r="AY30" s="243"/>
      <c r="AZ30" s="1"/>
      <c r="BA30">
        <f t="shared" si="8"/>
        <v>21</v>
      </c>
    </row>
    <row r="31" spans="2:68" x14ac:dyDescent="0.3">
      <c r="B31" s="230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60">
        <f t="shared" si="1"/>
        <v>7.1946862663176472E-2</v>
      </c>
      <c r="K31" s="21"/>
      <c r="L31" s="63"/>
      <c r="M31" s="1"/>
      <c r="N31" s="55">
        <v>2035</v>
      </c>
      <c r="O31" s="54"/>
      <c r="P31" s="54"/>
      <c r="Q31" s="54"/>
      <c r="R31" s="54">
        <f t="shared" si="12"/>
        <v>18747</v>
      </c>
      <c r="S31" s="54"/>
      <c r="T31" s="69">
        <f t="shared" si="3"/>
        <v>3.7279567925293709E-2</v>
      </c>
      <c r="U31" s="70"/>
      <c r="V31" s="80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97">
        <f t="shared" si="14"/>
        <v>185792</v>
      </c>
      <c r="AK31" s="98"/>
      <c r="AL31" s="98">
        <v>2538888</v>
      </c>
      <c r="AM31" s="98"/>
      <c r="AN31" s="98">
        <f t="shared" si="9"/>
        <v>33752</v>
      </c>
      <c r="AO31" s="98"/>
      <c r="AP31" s="98"/>
      <c r="AQ31" s="98"/>
      <c r="AR31" s="98"/>
      <c r="AS31" s="98"/>
      <c r="AT31" s="98">
        <f t="shared" si="13"/>
        <v>255689</v>
      </c>
      <c r="AU31" s="98"/>
      <c r="AV31" s="107">
        <f t="shared" si="10"/>
        <v>0.10070905057647285</v>
      </c>
      <c r="AW31" s="98"/>
      <c r="AX31" s="120"/>
      <c r="AY31" s="243"/>
      <c r="AZ31" s="1"/>
      <c r="BA31">
        <f t="shared" si="8"/>
        <v>22</v>
      </c>
    </row>
    <row r="32" spans="2:68" x14ac:dyDescent="0.3">
      <c r="B32" s="230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60">
        <f t="shared" si="1"/>
        <v>5.9662819462451978E-2</v>
      </c>
      <c r="K32" s="21"/>
      <c r="L32" s="63"/>
      <c r="M32" s="1"/>
      <c r="N32" s="55">
        <v>1830</v>
      </c>
      <c r="O32" s="54"/>
      <c r="P32" s="54"/>
      <c r="Q32" s="54"/>
      <c r="R32" s="54">
        <f t="shared" si="12"/>
        <v>20577</v>
      </c>
      <c r="S32" s="54"/>
      <c r="T32" s="69">
        <f t="shared" si="3"/>
        <v>3.8614769957157256E-2</v>
      </c>
      <c r="U32" s="70"/>
      <c r="V32" s="80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97">
        <f t="shared" si="14"/>
        <v>131786</v>
      </c>
      <c r="AK32" s="98"/>
      <c r="AL32" s="98">
        <v>2670674</v>
      </c>
      <c r="AM32" s="98"/>
      <c r="AN32" s="98">
        <f t="shared" si="9"/>
        <v>30003</v>
      </c>
      <c r="AO32" s="98"/>
      <c r="AP32" s="98"/>
      <c r="AQ32" s="98"/>
      <c r="AR32" s="98"/>
      <c r="AS32" s="98"/>
      <c r="AT32" s="98">
        <f t="shared" si="13"/>
        <v>285692</v>
      </c>
      <c r="AU32" s="98"/>
      <c r="AV32" s="107">
        <f t="shared" si="10"/>
        <v>0.10697374520439409</v>
      </c>
      <c r="AW32" s="98"/>
      <c r="AX32" s="120"/>
      <c r="AY32" s="243"/>
      <c r="AZ32" s="1"/>
      <c r="BA32">
        <f t="shared" si="8"/>
        <v>23</v>
      </c>
    </row>
    <row r="33" spans="2:53" x14ac:dyDescent="0.3">
      <c r="B33" s="230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60">
        <f t="shared" si="1"/>
        <v>5.14582109634645E-2</v>
      </c>
      <c r="K33" s="21"/>
      <c r="L33" s="63"/>
      <c r="M33" s="1"/>
      <c r="N33" s="55">
        <v>1528</v>
      </c>
      <c r="O33" s="54"/>
      <c r="P33" s="54"/>
      <c r="Q33" s="54"/>
      <c r="R33" s="54">
        <f t="shared" si="12"/>
        <v>22105</v>
      </c>
      <c r="S33" s="54"/>
      <c r="T33" s="69">
        <f t="shared" si="3"/>
        <v>3.9452079243262536E-2</v>
      </c>
      <c r="U33" s="70"/>
      <c r="V33" s="80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97">
        <f t="shared" si="14"/>
        <v>161584</v>
      </c>
      <c r="AK33" s="98"/>
      <c r="AL33" s="98">
        <v>2832258</v>
      </c>
      <c r="AM33" s="98"/>
      <c r="AN33" s="98">
        <f t="shared" si="9"/>
        <v>27421</v>
      </c>
      <c r="AO33" s="98"/>
      <c r="AP33" s="98"/>
      <c r="AQ33" s="98"/>
      <c r="AR33" s="98"/>
      <c r="AS33" s="98"/>
      <c r="AT33" s="98">
        <f t="shared" si="13"/>
        <v>313113</v>
      </c>
      <c r="AU33" s="98"/>
      <c r="AV33" s="107">
        <f t="shared" si="10"/>
        <v>0.1105524284863879</v>
      </c>
      <c r="AW33" s="98"/>
      <c r="AX33" s="120"/>
      <c r="AY33" s="243"/>
      <c r="AZ33" s="1"/>
      <c r="BA33">
        <f t="shared" si="8"/>
        <v>24</v>
      </c>
    </row>
    <row r="34" spans="2:53" x14ac:dyDescent="0.3">
      <c r="B34" s="230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60">
        <f t="shared" si="1"/>
        <v>4.7547742280920936E-2</v>
      </c>
      <c r="K34" s="21"/>
      <c r="L34" s="63"/>
      <c r="M34" s="1"/>
      <c r="N34" s="55">
        <v>1535</v>
      </c>
      <c r="O34" s="54"/>
      <c r="P34" s="54"/>
      <c r="Q34" s="54"/>
      <c r="R34" s="54">
        <f t="shared" si="12"/>
        <v>23640</v>
      </c>
      <c r="S34" s="54"/>
      <c r="T34" s="69">
        <f t="shared" si="3"/>
        <v>4.0276620648412705E-2</v>
      </c>
      <c r="U34" s="70"/>
      <c r="V34" s="80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97">
        <f t="shared" si="14"/>
        <v>111697</v>
      </c>
      <c r="AK34" s="98"/>
      <c r="AL34" s="98">
        <v>2943955</v>
      </c>
      <c r="AM34" s="98"/>
      <c r="AN34" s="98">
        <f t="shared" si="9"/>
        <v>26641</v>
      </c>
      <c r="AO34" s="98"/>
      <c r="AP34" s="98"/>
      <c r="AQ34" s="98"/>
      <c r="AR34" s="98"/>
      <c r="AS34" s="98"/>
      <c r="AT34" s="98">
        <f t="shared" si="13"/>
        <v>339754</v>
      </c>
      <c r="AU34" s="98"/>
      <c r="AV34" s="107">
        <f t="shared" si="10"/>
        <v>0.11540733469091749</v>
      </c>
      <c r="AW34" s="98"/>
      <c r="AX34" s="120"/>
      <c r="AY34" s="243"/>
      <c r="AZ34" s="1"/>
      <c r="BA34">
        <f t="shared" si="8"/>
        <v>25</v>
      </c>
    </row>
    <row r="35" spans="2:53" x14ac:dyDescent="0.3">
      <c r="B35" s="230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86" t="s">
        <v>70</v>
      </c>
      <c r="J35" s="60">
        <f t="shared" si="1"/>
        <v>5.2339161857835798E-2</v>
      </c>
      <c r="K35" s="21"/>
      <c r="L35" s="63"/>
      <c r="M35" s="1"/>
      <c r="N35" s="55">
        <v>2407</v>
      </c>
      <c r="O35" s="54"/>
      <c r="P35" s="54"/>
      <c r="Q35" s="54"/>
      <c r="R35" s="54">
        <f>+R34+N35+3778+317</f>
        <v>30142</v>
      </c>
      <c r="S35" s="187" t="s">
        <v>70</v>
      </c>
      <c r="T35" s="69">
        <f t="shared" si="3"/>
        <v>4.8412950809666531E-2</v>
      </c>
      <c r="U35" s="70"/>
      <c r="V35" s="80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97">
        <f t="shared" si="14"/>
        <v>121064</v>
      </c>
      <c r="AK35" s="98"/>
      <c r="AL35" s="98">
        <v>3065019</v>
      </c>
      <c r="AM35" s="98"/>
      <c r="AN35" s="98">
        <f t="shared" si="9"/>
        <v>30720</v>
      </c>
      <c r="AO35" s="98"/>
      <c r="AP35" s="98"/>
      <c r="AQ35" s="98"/>
      <c r="AR35" s="98"/>
      <c r="AS35" s="98"/>
      <c r="AT35" s="98">
        <f t="shared" si="13"/>
        <v>370474</v>
      </c>
      <c r="AU35" s="98"/>
      <c r="AV35" s="107">
        <f t="shared" si="10"/>
        <v>0.12087168138272553</v>
      </c>
      <c r="AW35" s="98"/>
      <c r="AX35" s="120"/>
      <c r="AY35" s="243"/>
      <c r="AZ35" s="1"/>
      <c r="BA35">
        <f t="shared" si="8"/>
        <v>26</v>
      </c>
    </row>
    <row r="36" spans="2:53" x14ac:dyDescent="0.3">
      <c r="B36" s="230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60">
        <f t="shared" si="1"/>
        <v>4.8734183314541234E-2</v>
      </c>
      <c r="K36" s="21"/>
      <c r="L36" s="63"/>
      <c r="M36" s="1"/>
      <c r="N36" s="55">
        <v>2618</v>
      </c>
      <c r="O36" s="54"/>
      <c r="P36" s="54"/>
      <c r="Q36" s="54"/>
      <c r="R36" s="54">
        <f t="shared" ref="R36:R51" si="16">+R35+N36</f>
        <v>32760</v>
      </c>
      <c r="S36" s="54"/>
      <c r="T36" s="69">
        <f t="shared" si="3"/>
        <v>5.0172756009703744E-2</v>
      </c>
      <c r="U36" s="70"/>
      <c r="V36" s="80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97">
        <f t="shared" si="14"/>
        <v>193860</v>
      </c>
      <c r="AK36" s="98"/>
      <c r="AL36" s="98">
        <v>3258879</v>
      </c>
      <c r="AM36" s="98"/>
      <c r="AN36" s="98">
        <f t="shared" si="9"/>
        <v>30342</v>
      </c>
      <c r="AO36" s="98"/>
      <c r="AP36" s="98"/>
      <c r="AQ36" s="98"/>
      <c r="AR36" s="98"/>
      <c r="AS36" s="98"/>
      <c r="AT36" s="98">
        <f t="shared" si="13"/>
        <v>400816</v>
      </c>
      <c r="AU36" s="98"/>
      <c r="AV36" s="107">
        <f t="shared" si="10"/>
        <v>0.12299198589453612</v>
      </c>
      <c r="AW36" s="98"/>
      <c r="AX36" s="120"/>
      <c r="AY36" s="243"/>
      <c r="AZ36" s="1"/>
      <c r="BA36">
        <f t="shared" si="8"/>
        <v>27</v>
      </c>
    </row>
    <row r="37" spans="2:53" x14ac:dyDescent="0.3">
      <c r="B37" s="230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60">
        <f t="shared" si="1"/>
        <v>4.5282596976157219E-2</v>
      </c>
      <c r="K37" s="21"/>
      <c r="L37" s="63"/>
      <c r="M37" s="1"/>
      <c r="N37" s="55">
        <v>2176</v>
      </c>
      <c r="O37" s="54"/>
      <c r="P37" s="54"/>
      <c r="Q37" s="54"/>
      <c r="R37" s="54">
        <f t="shared" si="16"/>
        <v>34936</v>
      </c>
      <c r="S37" s="54"/>
      <c r="T37" s="69">
        <f t="shared" si="3"/>
        <v>5.1187453389029629E-2</v>
      </c>
      <c r="U37" s="70"/>
      <c r="V37" s="80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97">
        <f t="shared" si="14"/>
        <v>139261</v>
      </c>
      <c r="AK37" s="98"/>
      <c r="AL37" s="98">
        <v>3398140</v>
      </c>
      <c r="AM37" s="98"/>
      <c r="AN37" s="98">
        <f t="shared" si="9"/>
        <v>29567</v>
      </c>
      <c r="AO37" s="98"/>
      <c r="AP37" s="98"/>
      <c r="AQ37" s="98"/>
      <c r="AR37" s="98"/>
      <c r="AS37" s="98"/>
      <c r="AT37" s="98">
        <f t="shared" si="13"/>
        <v>430383</v>
      </c>
      <c r="AU37" s="98"/>
      <c r="AV37" s="107">
        <f t="shared" si="10"/>
        <v>0.12665252167362145</v>
      </c>
      <c r="AW37" s="98"/>
      <c r="AX37" s="120"/>
      <c r="AY37" s="243"/>
      <c r="AZ37" s="1"/>
      <c r="BA37">
        <f t="shared" si="8"/>
        <v>28</v>
      </c>
    </row>
    <row r="38" spans="2:53" x14ac:dyDescent="0.3">
      <c r="B38" s="230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60">
        <f t="shared" si="1"/>
        <v>4.7127445564979907E-2</v>
      </c>
      <c r="K38" s="21"/>
      <c r="L38" s="63"/>
      <c r="M38" s="1"/>
      <c r="N38" s="55">
        <v>2528</v>
      </c>
      <c r="O38" s="54"/>
      <c r="P38" s="54"/>
      <c r="Q38" s="54"/>
      <c r="R38" s="54">
        <f t="shared" si="16"/>
        <v>37464</v>
      </c>
      <c r="S38" s="54"/>
      <c r="T38" s="69">
        <f t="shared" si="3"/>
        <v>5.2420957188991937E-2</v>
      </c>
      <c r="U38" s="70"/>
      <c r="V38" s="80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97">
        <f t="shared" si="14"/>
        <v>174117</v>
      </c>
      <c r="AK38" s="98"/>
      <c r="AL38" s="98">
        <v>3572257</v>
      </c>
      <c r="AM38" s="98"/>
      <c r="AN38" s="98">
        <f t="shared" si="9"/>
        <v>32165</v>
      </c>
      <c r="AO38" s="98"/>
      <c r="AP38" s="98"/>
      <c r="AQ38" s="98"/>
      <c r="AR38" s="98"/>
      <c r="AS38" s="98"/>
      <c r="AT38" s="98">
        <f t="shared" si="13"/>
        <v>462548</v>
      </c>
      <c r="AU38" s="98"/>
      <c r="AV38" s="107">
        <f t="shared" si="10"/>
        <v>0.12948340502936939</v>
      </c>
      <c r="AW38" s="98"/>
      <c r="AX38" s="120"/>
      <c r="AY38" s="243"/>
      <c r="AZ38" s="1"/>
      <c r="BA38">
        <f t="shared" si="8"/>
        <v>29</v>
      </c>
    </row>
    <row r="39" spans="2:53" x14ac:dyDescent="0.3">
      <c r="B39" s="245">
        <f t="shared" si="4"/>
        <v>43939</v>
      </c>
      <c r="C39" s="246"/>
      <c r="D39" s="247">
        <v>29057</v>
      </c>
      <c r="E39" s="247"/>
      <c r="F39" s="247"/>
      <c r="G39" s="247"/>
      <c r="H39" s="247">
        <f t="shared" si="15"/>
        <v>743733</v>
      </c>
      <c r="I39" s="247"/>
      <c r="J39" s="248">
        <f t="shared" si="1"/>
        <v>4.0657584695722254E-2</v>
      </c>
      <c r="K39" s="247"/>
      <c r="L39" s="247"/>
      <c r="M39" s="247"/>
      <c r="N39" s="247">
        <v>1867</v>
      </c>
      <c r="O39" s="247"/>
      <c r="P39" s="247"/>
      <c r="Q39" s="247"/>
      <c r="R39" s="247">
        <f t="shared" si="16"/>
        <v>39331</v>
      </c>
      <c r="S39" s="247"/>
      <c r="T39" s="248">
        <f t="shared" si="3"/>
        <v>5.2883225566164205E-2</v>
      </c>
      <c r="U39" s="247"/>
      <c r="V39" s="247"/>
      <c r="W39" s="247"/>
      <c r="X39" s="247">
        <f t="shared" si="5"/>
        <v>7759</v>
      </c>
      <c r="Y39" s="247"/>
      <c r="Z39" s="247"/>
      <c r="AA39" s="247"/>
      <c r="AB39" s="247">
        <v>68269</v>
      </c>
      <c r="AC39" s="247"/>
      <c r="AD39" s="248">
        <f t="shared" si="6"/>
        <v>0.12822673938192033</v>
      </c>
      <c r="AE39" s="248"/>
      <c r="AF39" s="248"/>
      <c r="AG39" s="247"/>
      <c r="AH39" s="248">
        <f t="shared" si="7"/>
        <v>9.1792350211702317E-2</v>
      </c>
      <c r="AI39" s="247"/>
      <c r="AJ39" s="247">
        <f t="shared" si="14"/>
        <v>149888</v>
      </c>
      <c r="AK39" s="247"/>
      <c r="AL39" s="247">
        <v>3722145</v>
      </c>
      <c r="AM39" s="247"/>
      <c r="AN39" s="247">
        <f t="shared" si="9"/>
        <v>29057</v>
      </c>
      <c r="AO39" s="247"/>
      <c r="AP39" s="247"/>
      <c r="AQ39" s="247"/>
      <c r="AR39" s="247"/>
      <c r="AS39" s="247"/>
      <c r="AT39" s="247">
        <f t="shared" si="13"/>
        <v>491605</v>
      </c>
      <c r="AU39" s="247"/>
      <c r="AV39" s="248">
        <f t="shared" si="10"/>
        <v>0.13207572515310392</v>
      </c>
      <c r="AW39" s="247"/>
      <c r="AX39" s="249"/>
      <c r="AY39" s="247"/>
      <c r="AZ39" s="247"/>
      <c r="BA39" s="250">
        <f t="shared" si="8"/>
        <v>30</v>
      </c>
    </row>
    <row r="40" spans="2:53" x14ac:dyDescent="0.3">
      <c r="B40" s="230">
        <f t="shared" si="4"/>
        <v>43940</v>
      </c>
      <c r="C40" s="92"/>
      <c r="D40" s="22">
        <v>26183</v>
      </c>
      <c r="E40" s="21"/>
      <c r="F40" s="21"/>
      <c r="G40" s="21"/>
      <c r="H40" s="21">
        <f t="shared" si="15"/>
        <v>769916</v>
      </c>
      <c r="I40" s="21"/>
      <c r="J40" s="60">
        <f t="shared" si="1"/>
        <v>3.5204838295463559E-2</v>
      </c>
      <c r="K40" s="21"/>
      <c r="L40" s="63"/>
      <c r="M40" s="1"/>
      <c r="N40" s="55">
        <v>1570</v>
      </c>
      <c r="O40" s="54"/>
      <c r="P40" s="54"/>
      <c r="Q40" s="54"/>
      <c r="R40" s="54">
        <f t="shared" si="16"/>
        <v>40901</v>
      </c>
      <c r="S40" s="54"/>
      <c r="T40" s="69">
        <f t="shared" si="3"/>
        <v>5.312397716114485E-2</v>
      </c>
      <c r="U40" s="70"/>
      <c r="V40" s="80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97">
        <f t="shared" si="14"/>
        <v>139404</v>
      </c>
      <c r="AK40" s="98"/>
      <c r="AL40" s="98">
        <v>3861549</v>
      </c>
      <c r="AM40" s="98"/>
      <c r="AN40" s="98">
        <f t="shared" si="9"/>
        <v>26183</v>
      </c>
      <c r="AO40" s="98"/>
      <c r="AP40" s="211">
        <f t="shared" ref="AP40:AP51" si="17">+AN40/AJ40</f>
        <v>0.18782100944018823</v>
      </c>
      <c r="AQ40" s="98"/>
      <c r="AR40" s="98"/>
      <c r="AS40" s="98"/>
      <c r="AT40" s="98">
        <f t="shared" si="13"/>
        <v>517788</v>
      </c>
      <c r="AU40" s="98"/>
      <c r="AV40" s="107">
        <f t="shared" si="10"/>
        <v>0.13408815995860729</v>
      </c>
      <c r="AW40" s="98"/>
      <c r="AX40" s="120"/>
      <c r="AY40" s="243"/>
      <c r="AZ40" s="1"/>
      <c r="BA40">
        <f t="shared" si="8"/>
        <v>31</v>
      </c>
    </row>
    <row r="41" spans="2:53" x14ac:dyDescent="0.3">
      <c r="B41" s="230">
        <f t="shared" si="4"/>
        <v>43941</v>
      </c>
      <c r="C41" s="92"/>
      <c r="D41" s="22">
        <v>28143</v>
      </c>
      <c r="E41" s="21"/>
      <c r="F41" s="21"/>
      <c r="G41" s="21"/>
      <c r="H41" s="21">
        <f t="shared" si="15"/>
        <v>798059</v>
      </c>
      <c r="I41" s="21"/>
      <c r="J41" s="60">
        <f t="shared" si="1"/>
        <v>3.6553338286254601E-2</v>
      </c>
      <c r="K41" s="21"/>
      <c r="L41" s="63"/>
      <c r="M41" s="1"/>
      <c r="N41" s="55">
        <v>1952</v>
      </c>
      <c r="O41" s="54"/>
      <c r="P41" s="54"/>
      <c r="Q41" s="54"/>
      <c r="R41" s="54">
        <f t="shared" si="16"/>
        <v>42853</v>
      </c>
      <c r="S41" s="54"/>
      <c r="T41" s="69">
        <f t="shared" si="3"/>
        <v>5.369653120884546E-2</v>
      </c>
      <c r="U41" s="70"/>
      <c r="V41" s="80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97">
        <f t="shared" si="14"/>
        <v>164811</v>
      </c>
      <c r="AK41" s="98"/>
      <c r="AL41" s="98">
        <v>4026360</v>
      </c>
      <c r="AM41" s="98"/>
      <c r="AN41" s="98">
        <f t="shared" si="9"/>
        <v>28143</v>
      </c>
      <c r="AO41" s="98"/>
      <c r="AP41" s="211">
        <f t="shared" si="17"/>
        <v>0.17075923330360232</v>
      </c>
      <c r="AQ41" s="98"/>
      <c r="AR41" s="98"/>
      <c r="AS41" s="98"/>
      <c r="AT41" s="98">
        <f t="shared" si="13"/>
        <v>545931</v>
      </c>
      <c r="AU41" s="98"/>
      <c r="AV41" s="107">
        <f t="shared" si="10"/>
        <v>0.13558921705957738</v>
      </c>
      <c r="AW41" s="98"/>
      <c r="AX41" s="120"/>
      <c r="AY41" s="243"/>
      <c r="AZ41" s="1"/>
      <c r="BA41">
        <f t="shared" si="8"/>
        <v>32</v>
      </c>
    </row>
    <row r="42" spans="2:53" x14ac:dyDescent="0.3">
      <c r="B42" s="230">
        <f t="shared" si="4"/>
        <v>43942</v>
      </c>
      <c r="C42" s="92"/>
      <c r="D42" s="22">
        <v>26105</v>
      </c>
      <c r="E42" s="21"/>
      <c r="F42" s="21"/>
      <c r="G42" s="21"/>
      <c r="H42" s="21">
        <f t="shared" si="15"/>
        <v>824164</v>
      </c>
      <c r="I42" s="21"/>
      <c r="J42" s="60">
        <f t="shared" si="1"/>
        <v>3.2710614127526912E-2</v>
      </c>
      <c r="K42" s="21"/>
      <c r="L42" s="63"/>
      <c r="M42" s="1"/>
      <c r="N42" s="55">
        <v>2683</v>
      </c>
      <c r="O42" s="54"/>
      <c r="P42" s="54"/>
      <c r="Q42" s="54"/>
      <c r="R42" s="54">
        <f t="shared" si="16"/>
        <v>45536</v>
      </c>
      <c r="S42" s="54"/>
      <c r="T42" s="69">
        <f t="shared" si="3"/>
        <v>5.5251139336345678E-2</v>
      </c>
      <c r="U42" s="70"/>
      <c r="V42" s="80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97">
        <f t="shared" si="14"/>
        <v>161032</v>
      </c>
      <c r="AK42" s="98"/>
      <c r="AL42" s="98">
        <v>4187392</v>
      </c>
      <c r="AM42" s="98"/>
      <c r="AN42" s="98">
        <f t="shared" si="9"/>
        <v>26105</v>
      </c>
      <c r="AO42" s="98"/>
      <c r="AP42" s="211">
        <f t="shared" si="17"/>
        <v>0.16211063639525064</v>
      </c>
      <c r="AQ42" s="98"/>
      <c r="AR42" s="98"/>
      <c r="AS42" s="98"/>
      <c r="AT42" s="98">
        <f t="shared" si="13"/>
        <v>572036</v>
      </c>
      <c r="AU42" s="98"/>
      <c r="AV42" s="107">
        <f t="shared" si="10"/>
        <v>0.13660913523262211</v>
      </c>
      <c r="AW42" s="98"/>
      <c r="AX42" s="120"/>
      <c r="AY42" s="243"/>
      <c r="AZ42" s="1"/>
      <c r="BA42">
        <f t="shared" si="8"/>
        <v>33</v>
      </c>
    </row>
    <row r="43" spans="2:53" x14ac:dyDescent="0.3">
      <c r="B43" s="230">
        <f t="shared" si="4"/>
        <v>43943</v>
      </c>
      <c r="C43" s="92"/>
      <c r="D43" s="22">
        <v>30210</v>
      </c>
      <c r="E43" s="21"/>
      <c r="F43" s="21"/>
      <c r="G43" s="21"/>
      <c r="H43" s="21">
        <f t="shared" si="15"/>
        <v>854374</v>
      </c>
      <c r="I43" s="21"/>
      <c r="J43" s="60">
        <f t="shared" si="1"/>
        <v>3.6655325881741981E-2</v>
      </c>
      <c r="K43" s="21"/>
      <c r="L43" s="63"/>
      <c r="M43" s="1"/>
      <c r="N43" s="55">
        <v>2358</v>
      </c>
      <c r="O43" s="54"/>
      <c r="P43" s="54"/>
      <c r="Q43" s="54"/>
      <c r="R43" s="54">
        <f t="shared" si="16"/>
        <v>47894</v>
      </c>
      <c r="S43" s="54"/>
      <c r="T43" s="69">
        <f t="shared" si="3"/>
        <v>5.6057417477591784E-2</v>
      </c>
      <c r="U43" s="70"/>
      <c r="V43" s="80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97">
        <f t="shared" si="14"/>
        <v>137950</v>
      </c>
      <c r="AK43" s="98"/>
      <c r="AL43" s="98">
        <v>4325342</v>
      </c>
      <c r="AM43" s="98"/>
      <c r="AN43" s="98">
        <f t="shared" si="9"/>
        <v>30210</v>
      </c>
      <c r="AO43" s="98"/>
      <c r="AP43" s="211">
        <f t="shared" si="17"/>
        <v>0.21899238854657485</v>
      </c>
      <c r="AQ43" s="98"/>
      <c r="AR43" s="98"/>
      <c r="AS43" s="98"/>
      <c r="AT43" s="98">
        <f t="shared" si="13"/>
        <v>602246</v>
      </c>
      <c r="AU43" s="98"/>
      <c r="AV43" s="107">
        <f t="shared" si="10"/>
        <v>0.13923661990196382</v>
      </c>
      <c r="AW43" s="98"/>
      <c r="AX43" s="120"/>
      <c r="AY43" s="243"/>
      <c r="AZ43" s="1"/>
      <c r="BA43">
        <f t="shared" si="8"/>
        <v>34</v>
      </c>
    </row>
    <row r="44" spans="2:53" x14ac:dyDescent="0.3">
      <c r="B44" s="230">
        <f t="shared" si="4"/>
        <v>43944</v>
      </c>
      <c r="C44" s="92"/>
      <c r="D44" s="22">
        <v>31900</v>
      </c>
      <c r="E44" s="21"/>
      <c r="F44" s="21"/>
      <c r="G44" s="21"/>
      <c r="H44" s="21">
        <f t="shared" si="15"/>
        <v>886274</v>
      </c>
      <c r="I44" s="21"/>
      <c r="J44" s="60">
        <f t="shared" si="1"/>
        <v>3.7337278522052403E-2</v>
      </c>
      <c r="K44" s="21"/>
      <c r="L44" s="63"/>
      <c r="M44" s="1"/>
      <c r="N44" s="55">
        <v>2340</v>
      </c>
      <c r="O44" s="54"/>
      <c r="P44" s="54"/>
      <c r="Q44" s="54"/>
      <c r="R44" s="54">
        <f t="shared" si="16"/>
        <v>50234</v>
      </c>
      <c r="S44" s="54"/>
      <c r="T44" s="69">
        <f t="shared" si="3"/>
        <v>5.6679988355745517E-2</v>
      </c>
      <c r="U44" s="70"/>
      <c r="V44" s="80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97">
        <f t="shared" si="14"/>
        <v>371362</v>
      </c>
      <c r="AK44" s="98"/>
      <c r="AL44" s="98">
        <v>4696704</v>
      </c>
      <c r="AM44" s="98"/>
      <c r="AN44" s="98">
        <f t="shared" si="9"/>
        <v>31900</v>
      </c>
      <c r="AO44" s="98"/>
      <c r="AP44" s="211">
        <f t="shared" si="17"/>
        <v>8.590001130971936E-2</v>
      </c>
      <c r="AQ44" s="98"/>
      <c r="AR44" s="98"/>
      <c r="AS44" s="98"/>
      <c r="AT44" s="98">
        <f t="shared" si="13"/>
        <v>634146</v>
      </c>
      <c r="AU44" s="98"/>
      <c r="AV44" s="107">
        <f t="shared" si="10"/>
        <v>0.13501936677295398</v>
      </c>
      <c r="AW44" s="98"/>
      <c r="AX44" s="120"/>
      <c r="AY44" s="243"/>
      <c r="AZ44" s="1"/>
      <c r="BA44">
        <f t="shared" si="8"/>
        <v>35</v>
      </c>
    </row>
    <row r="45" spans="2:53" x14ac:dyDescent="0.3">
      <c r="B45" s="230">
        <f t="shared" si="4"/>
        <v>43945</v>
      </c>
      <c r="C45" s="92"/>
      <c r="D45" s="22">
        <v>38764</v>
      </c>
      <c r="E45" s="21"/>
      <c r="F45" s="21"/>
      <c r="G45" s="21"/>
      <c r="H45" s="21">
        <f t="shared" si="15"/>
        <v>925038</v>
      </c>
      <c r="I45" s="21"/>
      <c r="J45" s="60">
        <f t="shared" si="1"/>
        <v>4.3738166752042819E-2</v>
      </c>
      <c r="K45" s="21"/>
      <c r="L45" s="63"/>
      <c r="M45" s="1"/>
      <c r="N45" s="55">
        <v>1957</v>
      </c>
      <c r="O45" s="54"/>
      <c r="P45" s="54"/>
      <c r="Q45" s="54"/>
      <c r="R45" s="54">
        <f t="shared" si="16"/>
        <v>52191</v>
      </c>
      <c r="S45" s="54"/>
      <c r="T45" s="69">
        <f t="shared" si="3"/>
        <v>5.6420384892296317E-2</v>
      </c>
      <c r="U45" s="70"/>
      <c r="V45" s="80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97">
        <f t="shared" si="14"/>
        <v>318898</v>
      </c>
      <c r="AK45" s="98"/>
      <c r="AL45" s="98">
        <v>5015602</v>
      </c>
      <c r="AM45" s="98"/>
      <c r="AN45" s="98">
        <f t="shared" si="9"/>
        <v>38764</v>
      </c>
      <c r="AO45" s="98"/>
      <c r="AP45" s="211">
        <f t="shared" si="17"/>
        <v>0.12155610884985167</v>
      </c>
      <c r="AQ45" s="98"/>
      <c r="AR45" s="98"/>
      <c r="AS45" s="98"/>
      <c r="AT45" s="98">
        <f t="shared" si="13"/>
        <v>672910</v>
      </c>
      <c r="AU45" s="98"/>
      <c r="AV45" s="107">
        <f t="shared" si="10"/>
        <v>0.13416335666187229</v>
      </c>
      <c r="AW45" s="98"/>
      <c r="AX45" s="120"/>
      <c r="AY45" s="243"/>
      <c r="AZ45" s="1"/>
      <c r="BA45">
        <f t="shared" si="8"/>
        <v>36</v>
      </c>
    </row>
    <row r="46" spans="2:53" x14ac:dyDescent="0.3">
      <c r="B46" s="230">
        <f t="shared" si="4"/>
        <v>43946</v>
      </c>
      <c r="C46" s="92"/>
      <c r="D46" s="22">
        <v>35419</v>
      </c>
      <c r="E46" s="21"/>
      <c r="F46" s="21"/>
      <c r="G46" s="21"/>
      <c r="H46" s="21">
        <f>+H45+D46+194</f>
        <v>960651</v>
      </c>
      <c r="I46" s="21"/>
      <c r="J46" s="60">
        <f t="shared" si="1"/>
        <v>3.8289237847526261E-2</v>
      </c>
      <c r="K46" s="21"/>
      <c r="L46" s="63"/>
      <c r="M46" s="1"/>
      <c r="N46" s="55">
        <v>2065</v>
      </c>
      <c r="O46" s="54"/>
      <c r="P46" s="54"/>
      <c r="Q46" s="54"/>
      <c r="R46" s="54">
        <f t="shared" si="16"/>
        <v>54256</v>
      </c>
      <c r="S46" s="54"/>
      <c r="T46" s="69">
        <f t="shared" si="3"/>
        <v>5.6478367273859083E-2</v>
      </c>
      <c r="U46" s="70"/>
      <c r="V46" s="80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97">
        <f t="shared" si="14"/>
        <v>263635</v>
      </c>
      <c r="AK46" s="98"/>
      <c r="AL46" s="98">
        <v>5279237</v>
      </c>
      <c r="AM46" s="98"/>
      <c r="AN46" s="98">
        <f t="shared" si="9"/>
        <v>35419</v>
      </c>
      <c r="AO46" s="98"/>
      <c r="AP46" s="211">
        <f t="shared" si="17"/>
        <v>0.13434862594116867</v>
      </c>
      <c r="AQ46" s="98"/>
      <c r="AR46" s="98"/>
      <c r="AS46" s="98"/>
      <c r="AT46" s="98">
        <f t="shared" si="13"/>
        <v>708329</v>
      </c>
      <c r="AU46" s="98"/>
      <c r="AV46" s="107">
        <f t="shared" si="10"/>
        <v>0.13417260865537955</v>
      </c>
      <c r="AW46" s="98"/>
      <c r="AX46" s="120"/>
      <c r="AY46" s="243"/>
      <c r="AZ46" s="1"/>
      <c r="BA46">
        <f t="shared" si="8"/>
        <v>37</v>
      </c>
    </row>
    <row r="47" spans="2:53" x14ac:dyDescent="0.3">
      <c r="B47" s="230">
        <f t="shared" si="4"/>
        <v>43947</v>
      </c>
      <c r="C47" s="92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60">
        <f t="shared" si="1"/>
        <v>2.759482892330305E-2</v>
      </c>
      <c r="K47" s="21"/>
      <c r="L47" s="63"/>
      <c r="M47" s="1"/>
      <c r="N47" s="55">
        <v>1156</v>
      </c>
      <c r="O47" s="54"/>
      <c r="P47" s="54"/>
      <c r="Q47" s="54"/>
      <c r="R47" s="54">
        <f t="shared" si="16"/>
        <v>55412</v>
      </c>
      <c r="S47" s="54"/>
      <c r="T47" s="69">
        <f t="shared" si="3"/>
        <v>5.6132744438591516E-2</v>
      </c>
      <c r="U47" s="70"/>
      <c r="V47" s="80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97">
        <f t="shared" si="14"/>
        <v>191227</v>
      </c>
      <c r="AK47" s="98"/>
      <c r="AL47" s="98">
        <v>5470464</v>
      </c>
      <c r="AM47" s="98"/>
      <c r="AN47" s="98">
        <f t="shared" si="9"/>
        <v>26509</v>
      </c>
      <c r="AO47" s="98"/>
      <c r="AP47" s="211">
        <f t="shared" si="17"/>
        <v>0.13862582166744236</v>
      </c>
      <c r="AQ47" s="98"/>
      <c r="AR47" s="98"/>
      <c r="AS47" s="98"/>
      <c r="AT47" s="98">
        <f t="shared" si="13"/>
        <v>734838</v>
      </c>
      <c r="AU47" s="98"/>
      <c r="AV47" s="107">
        <f t="shared" si="10"/>
        <v>0.13432827635827602</v>
      </c>
      <c r="AW47" s="98"/>
      <c r="AX47" s="120"/>
      <c r="AY47" s="243"/>
      <c r="AZ47" s="1"/>
      <c r="BA47">
        <f t="shared" si="8"/>
        <v>38</v>
      </c>
    </row>
    <row r="48" spans="2:53" x14ac:dyDescent="0.3">
      <c r="B48" s="230">
        <f t="shared" si="4"/>
        <v>43948</v>
      </c>
      <c r="C48" s="92"/>
      <c r="D48" s="22">
        <v>23196</v>
      </c>
      <c r="E48" s="21"/>
      <c r="F48" s="21"/>
      <c r="G48" s="21"/>
      <c r="H48" s="21">
        <f t="shared" si="18"/>
        <v>1010356</v>
      </c>
      <c r="I48" s="21"/>
      <c r="J48" s="60">
        <f t="shared" si="1"/>
        <v>2.3497710604157382E-2</v>
      </c>
      <c r="K48" s="21"/>
      <c r="L48" s="63"/>
      <c r="M48" s="1"/>
      <c r="N48" s="55">
        <v>1384</v>
      </c>
      <c r="O48" s="54"/>
      <c r="P48" s="54"/>
      <c r="Q48" s="54"/>
      <c r="R48" s="54">
        <f t="shared" si="16"/>
        <v>56796</v>
      </c>
      <c r="S48" s="54"/>
      <c r="T48" s="69">
        <f t="shared" si="3"/>
        <v>5.6213849375863559E-2</v>
      </c>
      <c r="U48" s="70"/>
      <c r="V48" s="80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97">
        <f t="shared" si="14"/>
        <v>202776</v>
      </c>
      <c r="AK48" s="98"/>
      <c r="AL48" s="98">
        <v>5673240</v>
      </c>
      <c r="AM48" s="98"/>
      <c r="AN48" s="98">
        <f t="shared" si="9"/>
        <v>23196</v>
      </c>
      <c r="AO48" s="98"/>
      <c r="AP48" s="211">
        <f t="shared" si="17"/>
        <v>0.11439223576754645</v>
      </c>
      <c r="AQ48" s="98"/>
      <c r="AR48" s="98"/>
      <c r="AS48" s="98"/>
      <c r="AT48" s="98">
        <f t="shared" si="13"/>
        <v>758034</v>
      </c>
      <c r="AU48" s="98"/>
      <c r="AV48" s="107">
        <f t="shared" si="10"/>
        <v>0.133615711656831</v>
      </c>
      <c r="AW48" s="98"/>
      <c r="AX48" s="120"/>
      <c r="AY48" s="243"/>
      <c r="AZ48" s="1"/>
      <c r="BA48">
        <f t="shared" si="8"/>
        <v>39</v>
      </c>
    </row>
    <row r="49" spans="2:67" x14ac:dyDescent="0.3">
      <c r="B49" s="230">
        <f t="shared" si="4"/>
        <v>43949</v>
      </c>
      <c r="C49" s="92"/>
      <c r="D49" s="22">
        <v>25409</v>
      </c>
      <c r="E49" s="21"/>
      <c r="F49" s="21"/>
      <c r="G49" s="21"/>
      <c r="H49" s="21">
        <f t="shared" si="18"/>
        <v>1035765</v>
      </c>
      <c r="I49" s="21"/>
      <c r="J49" s="60">
        <f t="shared" si="1"/>
        <v>2.5148561497135662E-2</v>
      </c>
      <c r="K49" s="21"/>
      <c r="L49" s="63"/>
      <c r="M49" s="1"/>
      <c r="N49" s="55">
        <v>2470</v>
      </c>
      <c r="O49" s="54"/>
      <c r="P49" s="54"/>
      <c r="Q49" s="54"/>
      <c r="R49" s="54">
        <f t="shared" si="16"/>
        <v>59266</v>
      </c>
      <c r="S49" s="54"/>
      <c r="T49" s="69">
        <f t="shared" si="3"/>
        <v>5.7219543043064786E-2</v>
      </c>
      <c r="U49" s="70"/>
      <c r="V49" s="80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97">
        <f t="shared" si="14"/>
        <v>187926</v>
      </c>
      <c r="AK49" s="98"/>
      <c r="AL49" s="98">
        <v>5861166</v>
      </c>
      <c r="AM49" s="98"/>
      <c r="AN49" s="98">
        <f t="shared" si="9"/>
        <v>25409</v>
      </c>
      <c r="AO49" s="98"/>
      <c r="AP49" s="211">
        <f t="shared" si="17"/>
        <v>0.13520747528282409</v>
      </c>
      <c r="AQ49" s="98"/>
      <c r="AR49" s="98"/>
      <c r="AS49" s="98"/>
      <c r="AT49" s="98">
        <f t="shared" si="13"/>
        <v>783443</v>
      </c>
      <c r="AU49" s="98"/>
      <c r="AV49" s="107">
        <f t="shared" si="10"/>
        <v>0.13366674822040528</v>
      </c>
      <c r="AW49" s="98"/>
      <c r="AX49" s="120"/>
      <c r="AY49" s="243"/>
      <c r="AZ49" s="1"/>
      <c r="BA49">
        <f t="shared" si="8"/>
        <v>40</v>
      </c>
    </row>
    <row r="50" spans="2:67" x14ac:dyDescent="0.3">
      <c r="B50" s="230">
        <f t="shared" si="4"/>
        <v>43950</v>
      </c>
      <c r="C50" s="92"/>
      <c r="D50" s="22">
        <v>28429</v>
      </c>
      <c r="E50" s="21"/>
      <c r="F50" s="21"/>
      <c r="G50" s="21"/>
      <c r="H50" s="21">
        <f t="shared" si="18"/>
        <v>1064194</v>
      </c>
      <c r="I50" s="21"/>
      <c r="J50" s="60">
        <f t="shared" si="1"/>
        <v>2.7447345681694206E-2</v>
      </c>
      <c r="K50" s="21"/>
      <c r="L50" s="63"/>
      <c r="M50" s="1"/>
      <c r="N50" s="55">
        <v>2390</v>
      </c>
      <c r="O50" s="54"/>
      <c r="P50" s="54"/>
      <c r="Q50" s="54"/>
      <c r="R50" s="54">
        <f t="shared" si="16"/>
        <v>61656</v>
      </c>
      <c r="S50" s="54"/>
      <c r="T50" s="69">
        <f t="shared" si="3"/>
        <v>5.7936804755523902E-2</v>
      </c>
      <c r="U50" s="70"/>
      <c r="V50" s="80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97">
        <f t="shared" si="14"/>
        <v>278745</v>
      </c>
      <c r="AK50" s="98"/>
      <c r="AL50" s="98">
        <v>6139911</v>
      </c>
      <c r="AM50" s="98"/>
      <c r="AN50" s="98">
        <f t="shared" si="9"/>
        <v>28429</v>
      </c>
      <c r="AO50" s="98"/>
      <c r="AP50" s="211">
        <f t="shared" si="17"/>
        <v>0.10198927335019463</v>
      </c>
      <c r="AQ50" s="98"/>
      <c r="AR50" s="98"/>
      <c r="AS50" s="98"/>
      <c r="AT50" s="98">
        <f t="shared" si="13"/>
        <v>811872</v>
      </c>
      <c r="AU50" s="98"/>
      <c r="AV50" s="107">
        <f t="shared" si="10"/>
        <v>0.13222862676673977</v>
      </c>
      <c r="AW50" s="98"/>
      <c r="AX50" s="120"/>
      <c r="AY50" s="243"/>
      <c r="AZ50" s="1"/>
      <c r="BA50">
        <f t="shared" si="8"/>
        <v>41</v>
      </c>
    </row>
    <row r="51" spans="2:67" x14ac:dyDescent="0.3">
      <c r="B51" s="230">
        <f t="shared" si="4"/>
        <v>43951</v>
      </c>
      <c r="C51" s="92"/>
      <c r="D51" s="22">
        <v>30825</v>
      </c>
      <c r="E51" s="21"/>
      <c r="F51" s="21"/>
      <c r="G51" s="21"/>
      <c r="H51" s="21">
        <f t="shared" si="18"/>
        <v>1095019</v>
      </c>
      <c r="I51" s="21"/>
      <c r="J51" s="60">
        <f t="shared" si="1"/>
        <v>2.8965583342886729E-2</v>
      </c>
      <c r="K51" s="21"/>
      <c r="L51" s="63"/>
      <c r="M51" s="1"/>
      <c r="N51" s="55">
        <v>2201</v>
      </c>
      <c r="O51" s="54"/>
      <c r="P51" s="54"/>
      <c r="Q51" s="54"/>
      <c r="R51" s="54">
        <f t="shared" si="16"/>
        <v>63857</v>
      </c>
      <c r="S51" s="54"/>
      <c r="T51" s="69">
        <f t="shared" si="3"/>
        <v>5.8315883103398206E-2</v>
      </c>
      <c r="U51" s="70"/>
      <c r="V51" s="80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0.13910626208312368</v>
      </c>
      <c r="AI51" s="1"/>
      <c r="AJ51" s="97">
        <f t="shared" si="14"/>
        <v>236535</v>
      </c>
      <c r="AK51" s="98"/>
      <c r="AL51" s="98">
        <v>6376446</v>
      </c>
      <c r="AM51" s="98"/>
      <c r="AN51" s="98">
        <f t="shared" si="9"/>
        <v>30825</v>
      </c>
      <c r="AO51" s="98"/>
      <c r="AP51" s="211">
        <f t="shared" si="17"/>
        <v>0.13031898027776015</v>
      </c>
      <c r="AQ51" s="98"/>
      <c r="AR51" s="98"/>
      <c r="AS51" s="98"/>
      <c r="AT51" s="98">
        <f t="shared" si="13"/>
        <v>842697</v>
      </c>
      <c r="AU51" s="98"/>
      <c r="AV51" s="107">
        <f t="shared" si="10"/>
        <v>0.13215778820992133</v>
      </c>
      <c r="AW51" s="98"/>
      <c r="AX51" s="120"/>
      <c r="AY51" s="243"/>
      <c r="AZ51" s="1"/>
      <c r="BA51">
        <f t="shared" si="8"/>
        <v>42</v>
      </c>
    </row>
    <row r="52" spans="2:67" x14ac:dyDescent="0.3">
      <c r="B52" s="230">
        <f t="shared" si="4"/>
        <v>43952</v>
      </c>
      <c r="C52" s="92"/>
      <c r="D52" s="22">
        <v>36007</v>
      </c>
      <c r="E52" s="21"/>
      <c r="F52" s="21"/>
      <c r="G52" s="21"/>
      <c r="H52" s="21">
        <f t="shared" si="18"/>
        <v>1131026</v>
      </c>
      <c r="I52" s="21"/>
      <c r="J52" s="60">
        <f t="shared" ref="J52" si="19">+D52/H51</f>
        <v>3.2882534458306203E-2</v>
      </c>
      <c r="K52" s="21"/>
      <c r="L52" s="63"/>
      <c r="M52" s="1"/>
      <c r="N52" s="55">
        <v>1897</v>
      </c>
      <c r="O52" s="54"/>
      <c r="P52" s="54"/>
      <c r="Q52" s="54"/>
      <c r="R52" s="54">
        <f t="shared" ref="R52" si="20">+R51+N52</f>
        <v>65754</v>
      </c>
      <c r="S52" s="54"/>
      <c r="T52" s="69">
        <f t="shared" ref="T52" si="21">+R52/H52</f>
        <v>5.8136594561044572E-2</v>
      </c>
      <c r="U52" s="70"/>
      <c r="V52" s="80"/>
      <c r="W52" s="1"/>
      <c r="X52" s="29">
        <f t="shared" ref="X52" si="22">+AB52-AB51</f>
        <v>9212</v>
      </c>
      <c r="Y52" s="30"/>
      <c r="Z52" s="30"/>
      <c r="AA52" s="30"/>
      <c r="AB52" s="30">
        <v>161536</v>
      </c>
      <c r="AC52" s="30"/>
      <c r="AD52" s="31">
        <f t="shared" ref="AD52" si="23">+X52/AB51</f>
        <v>6.047635303694756E-2</v>
      </c>
      <c r="AE52" s="31"/>
      <c r="AF52" s="31"/>
      <c r="AG52" s="30"/>
      <c r="AH52" s="32">
        <f t="shared" ref="AH52" si="24">+AB52/H52</f>
        <v>0.14282253458364352</v>
      </c>
      <c r="AI52" s="1"/>
      <c r="AJ52" s="97">
        <f t="shared" ref="AJ52" si="25">+AL52-AL51</f>
        <v>323432</v>
      </c>
      <c r="AK52" s="98"/>
      <c r="AL52" s="98">
        <v>6699878</v>
      </c>
      <c r="AM52" s="98"/>
      <c r="AN52" s="98">
        <f t="shared" ref="AN52" si="26">+D52</f>
        <v>36007</v>
      </c>
      <c r="AO52" s="98"/>
      <c r="AP52" s="211">
        <f t="shared" ref="AP52" si="27">+AN52/AJ52</f>
        <v>0.11132788344999876</v>
      </c>
      <c r="AQ52" s="98"/>
      <c r="AR52" s="98"/>
      <c r="AS52" s="98"/>
      <c r="AT52" s="98">
        <f t="shared" ref="AT52" si="28">+AT51+AN52</f>
        <v>878704</v>
      </c>
      <c r="AU52" s="98"/>
      <c r="AV52" s="107">
        <f t="shared" ref="AV52" si="29">+AT52/AL52</f>
        <v>0.13115223889151414</v>
      </c>
      <c r="AW52" s="98"/>
      <c r="AX52" s="120"/>
      <c r="AY52" s="243"/>
      <c r="AZ52" s="1"/>
      <c r="BA52">
        <f t="shared" si="8"/>
        <v>43</v>
      </c>
    </row>
    <row r="53" spans="2:67" x14ac:dyDescent="0.3">
      <c r="B53" s="230">
        <f t="shared" si="4"/>
        <v>43953</v>
      </c>
      <c r="C53" s="92"/>
      <c r="D53" s="22"/>
      <c r="E53" s="21"/>
      <c r="F53" s="21"/>
      <c r="G53" s="21"/>
      <c r="H53" s="21"/>
      <c r="I53" s="21"/>
      <c r="J53" s="60"/>
      <c r="K53" s="21"/>
      <c r="L53" s="63"/>
      <c r="M53" s="1"/>
      <c r="N53" s="55"/>
      <c r="O53" s="54"/>
      <c r="P53" s="54"/>
      <c r="Q53" s="54"/>
      <c r="R53" s="54"/>
      <c r="S53" s="54"/>
      <c r="T53" s="69"/>
      <c r="U53" s="70"/>
      <c r="V53" s="80"/>
      <c r="W53" s="1"/>
      <c r="X53" s="29"/>
      <c r="Y53" s="30"/>
      <c r="Z53" s="30"/>
      <c r="AA53" s="30"/>
      <c r="AB53" s="30"/>
      <c r="AC53" s="30"/>
      <c r="AD53" s="31"/>
      <c r="AE53" s="31"/>
      <c r="AF53" s="31"/>
      <c r="AG53" s="30"/>
      <c r="AH53" s="32"/>
      <c r="AI53" s="1"/>
      <c r="AJ53" s="97"/>
      <c r="AK53" s="98"/>
      <c r="AL53" s="98"/>
      <c r="AM53" s="98"/>
      <c r="AN53" s="98"/>
      <c r="AO53" s="98"/>
      <c r="AP53" s="211"/>
      <c r="AQ53" s="98"/>
      <c r="AR53" s="98"/>
      <c r="AS53" s="98"/>
      <c r="AT53" s="98"/>
      <c r="AU53" s="98"/>
      <c r="AV53" s="107"/>
      <c r="AW53" s="98"/>
      <c r="AX53" s="120"/>
      <c r="AY53" s="243"/>
      <c r="AZ53" s="1"/>
      <c r="BA53">
        <f t="shared" si="8"/>
        <v>44</v>
      </c>
    </row>
    <row r="54" spans="2:67" x14ac:dyDescent="0.3">
      <c r="B54" s="230">
        <f t="shared" si="4"/>
        <v>43954</v>
      </c>
      <c r="C54" s="92"/>
      <c r="D54" s="22"/>
      <c r="E54" s="21"/>
      <c r="F54" s="21"/>
      <c r="G54" s="21"/>
      <c r="H54" s="21"/>
      <c r="I54" s="21"/>
      <c r="J54" s="60"/>
      <c r="K54" s="21"/>
      <c r="L54" s="63"/>
      <c r="M54" s="1"/>
      <c r="N54" s="55"/>
      <c r="O54" s="54"/>
      <c r="P54" s="54"/>
      <c r="Q54" s="54"/>
      <c r="R54" s="54"/>
      <c r="S54" s="54"/>
      <c r="T54" s="69"/>
      <c r="U54" s="70"/>
      <c r="V54" s="80"/>
      <c r="W54" s="1"/>
      <c r="X54" s="29"/>
      <c r="Y54" s="30"/>
      <c r="Z54" s="30"/>
      <c r="AA54" s="30"/>
      <c r="AB54" s="30"/>
      <c r="AC54" s="30"/>
      <c r="AD54" s="31"/>
      <c r="AE54" s="31"/>
      <c r="AF54" s="31"/>
      <c r="AG54" s="30"/>
      <c r="AH54" s="32"/>
      <c r="AI54" s="1"/>
      <c r="AJ54" s="97"/>
      <c r="AK54" s="98"/>
      <c r="AL54" s="98"/>
      <c r="AM54" s="98"/>
      <c r="AN54" s="98"/>
      <c r="AO54" s="98"/>
      <c r="AP54" s="211"/>
      <c r="AQ54" s="98"/>
      <c r="AR54" s="98"/>
      <c r="AS54" s="98"/>
      <c r="AT54" s="98"/>
      <c r="AU54" s="98"/>
      <c r="AV54" s="107"/>
      <c r="AW54" s="98"/>
      <c r="AX54" s="120"/>
      <c r="AY54" s="243"/>
      <c r="AZ54" s="1"/>
      <c r="BA54">
        <f t="shared" si="8"/>
        <v>45</v>
      </c>
    </row>
    <row r="55" spans="2:67" x14ac:dyDescent="0.3">
      <c r="B55" s="230">
        <f t="shared" si="4"/>
        <v>43955</v>
      </c>
      <c r="C55" s="92"/>
      <c r="D55" s="22"/>
      <c r="E55" s="21"/>
      <c r="F55" s="21"/>
      <c r="G55" s="21"/>
      <c r="H55" s="21"/>
      <c r="I55" s="21"/>
      <c r="J55" s="60"/>
      <c r="K55" s="21"/>
      <c r="L55" s="63"/>
      <c r="M55" s="1"/>
      <c r="N55" s="55"/>
      <c r="O55" s="54"/>
      <c r="P55" s="54"/>
      <c r="Q55" s="54"/>
      <c r="R55" s="54"/>
      <c r="S55" s="54"/>
      <c r="T55" s="69"/>
      <c r="U55" s="70"/>
      <c r="V55" s="80"/>
      <c r="W55" s="1"/>
      <c r="X55" s="29"/>
      <c r="Y55" s="30"/>
      <c r="Z55" s="30"/>
      <c r="AA55" s="30"/>
      <c r="AB55" s="30"/>
      <c r="AC55" s="30"/>
      <c r="AD55" s="31"/>
      <c r="AE55" s="31"/>
      <c r="AF55" s="31"/>
      <c r="AG55" s="30"/>
      <c r="AH55" s="32"/>
      <c r="AI55" s="1"/>
      <c r="AJ55" s="97"/>
      <c r="AK55" s="98"/>
      <c r="AL55" s="98"/>
      <c r="AM55" s="98"/>
      <c r="AN55" s="98"/>
      <c r="AO55" s="98"/>
      <c r="AP55" s="211"/>
      <c r="AQ55" s="98"/>
      <c r="AR55" s="98"/>
      <c r="AS55" s="98"/>
      <c r="AT55" s="98"/>
      <c r="AU55" s="98"/>
      <c r="AV55" s="107"/>
      <c r="AW55" s="98"/>
      <c r="AX55" s="120"/>
      <c r="AY55" s="243"/>
      <c r="AZ55" s="1"/>
      <c r="BA55">
        <f t="shared" si="8"/>
        <v>46</v>
      </c>
    </row>
    <row r="56" spans="2:67" x14ac:dyDescent="0.3">
      <c r="B56" s="230">
        <f t="shared" si="4"/>
        <v>43956</v>
      </c>
      <c r="D56" s="23"/>
      <c r="E56" s="24"/>
      <c r="F56" s="24"/>
      <c r="G56" s="24"/>
      <c r="H56" s="24"/>
      <c r="I56" s="24"/>
      <c r="J56" s="61"/>
      <c r="K56" s="24"/>
      <c r="L56" s="65"/>
      <c r="M56" s="1"/>
      <c r="N56" s="56"/>
      <c r="O56" s="57"/>
      <c r="P56" s="57"/>
      <c r="Q56" s="57"/>
      <c r="R56" s="57"/>
      <c r="S56" s="57"/>
      <c r="T56" s="71"/>
      <c r="U56" s="71"/>
      <c r="V56" s="81"/>
      <c r="W56" s="1"/>
      <c r="X56" s="33"/>
      <c r="Y56" s="34"/>
      <c r="Z56" s="34"/>
      <c r="AA56" s="34"/>
      <c r="AB56" s="34"/>
      <c r="AC56" s="34"/>
      <c r="AD56" s="34"/>
      <c r="AE56" s="34"/>
      <c r="AF56" s="34"/>
      <c r="AG56" s="34"/>
      <c r="AH56" s="35"/>
      <c r="AI56" s="1"/>
      <c r="AJ56" s="99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3"/>
      <c r="AW56" s="100"/>
      <c r="AX56" s="100"/>
      <c r="AY56" s="244"/>
      <c r="AZ56" s="1"/>
      <c r="BA56">
        <f t="shared" si="8"/>
        <v>47</v>
      </c>
    </row>
    <row r="57" spans="2:67" x14ac:dyDescent="0.3">
      <c r="B57" s="87"/>
      <c r="D57" s="1"/>
      <c r="E57" s="1"/>
      <c r="F57" s="1"/>
      <c r="G57" s="1"/>
      <c r="H57" s="90"/>
      <c r="I57" s="1"/>
      <c r="J57" s="90"/>
      <c r="K57" s="1"/>
      <c r="L57" s="1"/>
      <c r="M57" s="1"/>
      <c r="N57" s="90"/>
      <c r="O57" s="1"/>
      <c r="P57" s="1"/>
      <c r="Q57" s="1"/>
      <c r="R57" s="1"/>
      <c r="S57" s="1"/>
      <c r="T57" s="9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90"/>
      <c r="AM57" s="1"/>
      <c r="AN57" s="90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2:67" x14ac:dyDescent="0.3">
      <c r="B58" s="239" t="s">
        <v>85</v>
      </c>
      <c r="D58" s="87">
        <f>+D52</f>
        <v>36007</v>
      </c>
      <c r="E58" s="87">
        <f t="shared" ref="E58:G58" si="30">+E51</f>
        <v>0</v>
      </c>
      <c r="F58" s="87">
        <f t="shared" si="30"/>
        <v>0</v>
      </c>
      <c r="G58" s="87">
        <f t="shared" si="30"/>
        <v>0</v>
      </c>
      <c r="H58" s="87">
        <f t="shared" ref="H58:AB58" si="31">+H52</f>
        <v>1131026</v>
      </c>
      <c r="I58" s="87">
        <f t="shared" si="31"/>
        <v>0</v>
      </c>
      <c r="J58" s="90">
        <f>+J52</f>
        <v>3.2882534458306203E-2</v>
      </c>
      <c r="K58" s="87"/>
      <c r="L58" s="87"/>
      <c r="M58" s="87"/>
      <c r="N58" s="87">
        <f t="shared" si="31"/>
        <v>1897</v>
      </c>
      <c r="O58" s="87">
        <f t="shared" si="31"/>
        <v>0</v>
      </c>
      <c r="P58" s="87">
        <f t="shared" si="31"/>
        <v>0</v>
      </c>
      <c r="Q58" s="87">
        <f t="shared" si="31"/>
        <v>0</v>
      </c>
      <c r="R58" s="87">
        <f t="shared" si="31"/>
        <v>65754</v>
      </c>
      <c r="S58" s="87">
        <f t="shared" si="31"/>
        <v>0</v>
      </c>
      <c r="T58" s="87"/>
      <c r="U58" s="87"/>
      <c r="V58" s="87"/>
      <c r="W58" s="87"/>
      <c r="X58" s="87">
        <f t="shared" si="31"/>
        <v>9212</v>
      </c>
      <c r="Y58" s="87">
        <f t="shared" si="31"/>
        <v>0</v>
      </c>
      <c r="Z58" s="87">
        <f t="shared" si="31"/>
        <v>0</v>
      </c>
      <c r="AA58" s="87">
        <f t="shared" si="31"/>
        <v>0</v>
      </c>
      <c r="AB58" s="87">
        <f t="shared" si="31"/>
        <v>161536</v>
      </c>
      <c r="AS58" s="14"/>
      <c r="AT58" s="14"/>
      <c r="AU58" s="14"/>
      <c r="AV58" s="93"/>
      <c r="AW58" s="14"/>
      <c r="AX58" s="14"/>
      <c r="AY58" s="14"/>
      <c r="AZ58" s="14"/>
      <c r="BA58" s="215"/>
      <c r="BB58" s="14"/>
      <c r="BC58" s="93"/>
      <c r="BD58" s="14"/>
      <c r="BE58" s="215"/>
      <c r="BF58" s="92"/>
      <c r="BG58" s="92"/>
      <c r="BH58" s="92"/>
      <c r="BI58" s="92"/>
      <c r="BJ58" s="92"/>
      <c r="BK58" s="212"/>
    </row>
    <row r="59" spans="2:67" x14ac:dyDescent="0.3">
      <c r="R59" s="87"/>
      <c r="AS59" s="14"/>
      <c r="AT59" s="14"/>
      <c r="AU59" s="14"/>
      <c r="AV59" s="14"/>
      <c r="AW59" s="14"/>
      <c r="AX59" s="14"/>
      <c r="AY59" s="14"/>
      <c r="AZ59" s="14"/>
      <c r="BA59" s="93"/>
      <c r="BB59" s="14"/>
      <c r="BC59" s="14"/>
      <c r="BD59" s="14"/>
      <c r="BE59" s="93"/>
      <c r="BF59" s="92"/>
      <c r="BG59" s="92"/>
      <c r="BH59" s="92"/>
      <c r="BI59" s="92"/>
      <c r="BJ59" s="92"/>
      <c r="BK59" s="159"/>
    </row>
    <row r="60" spans="2:67" x14ac:dyDescent="0.3">
      <c r="R60" s="87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92"/>
      <c r="BG60" s="159"/>
      <c r="BH60" s="159"/>
      <c r="BI60" s="159"/>
      <c r="BJ60" s="159"/>
    </row>
    <row r="61" spans="2:67" x14ac:dyDescent="0.3">
      <c r="AS61" s="92"/>
      <c r="AT61" s="92"/>
      <c r="AU61" s="92"/>
      <c r="AV61" s="92"/>
      <c r="AW61" s="14"/>
      <c r="AX61" s="14"/>
    </row>
    <row r="62" spans="2:67" x14ac:dyDescent="0.3">
      <c r="U62" s="1"/>
      <c r="V62" s="14"/>
      <c r="W62" s="14"/>
      <c r="X62" s="185"/>
      <c r="Y62" s="14"/>
      <c r="Z62" s="14"/>
      <c r="AA62" s="14"/>
      <c r="AL62" t="s">
        <v>113</v>
      </c>
      <c r="AQ62" s="124"/>
      <c r="AR62" s="124"/>
      <c r="AS62" s="124"/>
      <c r="AT62" s="124"/>
      <c r="AU62" s="14"/>
      <c r="AV62" s="14"/>
      <c r="AW62" s="1"/>
      <c r="AX62" s="1"/>
    </row>
    <row r="63" spans="2:67" x14ac:dyDescent="0.3">
      <c r="D63" s="1"/>
      <c r="E63" s="167" t="s">
        <v>29</v>
      </c>
      <c r="F63" s="168"/>
      <c r="G63" s="168" t="s">
        <v>69</v>
      </c>
      <c r="H63" s="158"/>
      <c r="I63" s="158"/>
      <c r="J63" s="158"/>
      <c r="K63" s="92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Q63" s="129"/>
      <c r="AR63" s="129"/>
      <c r="AS63" s="206"/>
      <c r="AT63" s="206"/>
      <c r="AU63" s="124"/>
      <c r="AV63" s="124"/>
      <c r="AW63" s="1"/>
      <c r="AX63" s="1"/>
    </row>
    <row r="64" spans="2:67" x14ac:dyDescent="0.3">
      <c r="D64" s="1"/>
      <c r="E64" s="167" t="s">
        <v>41</v>
      </c>
      <c r="F64" s="168"/>
      <c r="G64" s="168" t="s">
        <v>43</v>
      </c>
      <c r="H64" s="14"/>
      <c r="I64" s="14"/>
      <c r="J64" s="14"/>
      <c r="K64" s="9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Q64" s="146"/>
      <c r="AR64" s="146"/>
      <c r="AS64" s="146"/>
      <c r="AT64" s="146"/>
      <c r="AU64" s="124"/>
      <c r="AV64" s="124"/>
      <c r="AW64" s="1"/>
      <c r="AX64" s="1"/>
      <c r="BO64" s="88"/>
    </row>
    <row r="65" spans="4:68" x14ac:dyDescent="0.3">
      <c r="D65" s="1"/>
      <c r="E65" s="167" t="s">
        <v>48</v>
      </c>
      <c r="F65" s="168"/>
      <c r="G65" s="168" t="s">
        <v>59</v>
      </c>
      <c r="H65" s="14"/>
      <c r="I65" s="14"/>
      <c r="J65" s="14"/>
      <c r="K65" s="92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Q65" s="147"/>
      <c r="AR65" s="147"/>
      <c r="AS65" s="147"/>
      <c r="AT65" s="147"/>
      <c r="AU65" s="124"/>
      <c r="AV65" s="170"/>
      <c r="AW65" s="1"/>
      <c r="AX65" s="1"/>
      <c r="BO65" s="87"/>
    </row>
    <row r="66" spans="4:68" x14ac:dyDescent="0.3">
      <c r="D66" s="1"/>
      <c r="E66" s="167" t="s">
        <v>70</v>
      </c>
      <c r="F66" s="92"/>
      <c r="G66" s="127" t="s">
        <v>71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Q66" s="147"/>
      <c r="AR66" s="147"/>
      <c r="AS66" s="147"/>
      <c r="AT66" s="147"/>
      <c r="AU66" s="149"/>
      <c r="AV66" s="149"/>
      <c r="AW66" s="92"/>
      <c r="AX66" s="92"/>
      <c r="BN66" s="14"/>
      <c r="BO66" s="93"/>
      <c r="BP66" s="1"/>
    </row>
    <row r="67" spans="4:68" x14ac:dyDescent="0.3">
      <c r="U67" s="1"/>
      <c r="V67" s="1"/>
      <c r="W67" s="1"/>
      <c r="X67" s="1"/>
      <c r="Y67" s="1"/>
      <c r="Z67" s="1"/>
      <c r="AA67" s="1"/>
      <c r="AQ67" s="147"/>
      <c r="AR67" s="147"/>
      <c r="AS67" s="147"/>
      <c r="AT67" s="147"/>
      <c r="AU67" s="124"/>
      <c r="AV67" s="124"/>
      <c r="AW67" s="1"/>
      <c r="AX67" s="1"/>
    </row>
    <row r="68" spans="4:68" x14ac:dyDescent="0.3">
      <c r="U68" s="1"/>
      <c r="V68" s="1"/>
      <c r="W68" s="1"/>
      <c r="X68" s="1"/>
      <c r="Y68" s="1"/>
      <c r="Z68" s="1"/>
      <c r="AA68" s="1"/>
      <c r="AQ68" s="147"/>
      <c r="AR68" s="147"/>
      <c r="AS68" s="147"/>
      <c r="AT68" s="147"/>
      <c r="AU68" s="124"/>
      <c r="AV68" s="124"/>
      <c r="AW68" s="1"/>
      <c r="AX68" s="1"/>
    </row>
    <row r="69" spans="4:68" x14ac:dyDescent="0.3">
      <c r="U69" s="1"/>
      <c r="V69" s="1"/>
      <c r="W69" s="1"/>
      <c r="X69" s="1" t="s">
        <v>18</v>
      </c>
      <c r="Y69" s="1"/>
      <c r="Z69" s="1"/>
      <c r="AA69" s="1"/>
      <c r="AQ69" s="148"/>
      <c r="AR69" s="148"/>
      <c r="AS69" s="148"/>
      <c r="AT69" s="148"/>
      <c r="AU69" s="124"/>
      <c r="AV69" s="124"/>
      <c r="AW69" s="1"/>
      <c r="AX69" s="1"/>
    </row>
    <row r="70" spans="4:68" x14ac:dyDescent="0.3">
      <c r="U70" s="1"/>
      <c r="V70" s="1"/>
      <c r="W70" s="1"/>
      <c r="X70" s="1"/>
      <c r="Y70" s="1"/>
      <c r="Z70" s="1"/>
      <c r="AA70" s="1"/>
      <c r="AQ70" s="148"/>
      <c r="AR70" s="148"/>
      <c r="AS70" s="148"/>
      <c r="AT70" s="148"/>
      <c r="AU70" s="124"/>
      <c r="AV70" s="124"/>
      <c r="AW70" s="1"/>
      <c r="AX70" s="1"/>
    </row>
    <row r="71" spans="4:68" x14ac:dyDescent="0.3">
      <c r="U71" s="1"/>
      <c r="V71" s="1"/>
      <c r="W71" s="1"/>
      <c r="X71" s="1"/>
      <c r="Y71" s="1"/>
      <c r="Z71" s="1"/>
      <c r="AA71" s="1"/>
      <c r="AQ71" s="148"/>
      <c r="AR71" s="148"/>
      <c r="AS71" s="148"/>
      <c r="AT71" s="148"/>
      <c r="AU71" s="124"/>
      <c r="AV71" s="124"/>
      <c r="AW71" s="1"/>
      <c r="AX71" s="1"/>
    </row>
    <row r="72" spans="4:68" x14ac:dyDescent="0.3">
      <c r="U72" s="1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"/>
      <c r="AX72" s="1"/>
    </row>
    <row r="73" spans="4:68" x14ac:dyDescent="0.3">
      <c r="U73" s="1"/>
    </row>
    <row r="74" spans="4:68" x14ac:dyDescent="0.3">
      <c r="U74" s="1"/>
    </row>
    <row r="75" spans="4:68" x14ac:dyDescent="0.3">
      <c r="U75" s="1"/>
    </row>
    <row r="76" spans="4:68" x14ac:dyDescent="0.3">
      <c r="U76" s="1"/>
    </row>
    <row r="77" spans="4:68" x14ac:dyDescent="0.3">
      <c r="U77" s="1"/>
    </row>
    <row r="78" spans="4:68" x14ac:dyDescent="0.3">
      <c r="U78" s="1"/>
    </row>
    <row r="79" spans="4:68" x14ac:dyDescent="0.3">
      <c r="U79" s="1"/>
    </row>
    <row r="80" spans="4:68" x14ac:dyDescent="0.3">
      <c r="U80" s="1"/>
    </row>
    <row r="81" spans="21:65" x14ac:dyDescent="0.3">
      <c r="U81" s="1"/>
    </row>
    <row r="82" spans="21:65" x14ac:dyDescent="0.3">
      <c r="U82" s="1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"/>
      <c r="AX82" s="1"/>
      <c r="AY82" s="1"/>
      <c r="AZ82" s="1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</row>
    <row r="83" spans="21:65" x14ac:dyDescent="0.3">
      <c r="U83" s="14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23"/>
      <c r="BB83" s="123"/>
      <c r="BC83" s="123"/>
      <c r="BD83" s="123"/>
      <c r="BE83" s="165"/>
      <c r="BF83" s="1"/>
      <c r="BG83" s="1"/>
      <c r="BH83" s="1"/>
      <c r="BI83" s="1"/>
      <c r="BJ83" s="1"/>
      <c r="BK83" s="1"/>
      <c r="BL83" s="1"/>
      <c r="BM83" s="1"/>
    </row>
    <row r="84" spans="21:65" x14ac:dyDescent="0.3">
      <c r="U84" s="14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23"/>
      <c r="BB84" s="123"/>
      <c r="BC84" s="123"/>
      <c r="BD84" s="123"/>
      <c r="BE84" s="123"/>
      <c r="BF84" s="1"/>
      <c r="BG84" s="1"/>
      <c r="BH84" s="1"/>
      <c r="BI84" s="1"/>
      <c r="BJ84" s="1"/>
      <c r="BK84" s="1"/>
      <c r="BL84" s="1"/>
      <c r="BM84" s="1"/>
    </row>
    <row r="85" spans="21:65" x14ac:dyDescent="0.3">
      <c r="U85" s="14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23"/>
      <c r="BB85" s="123"/>
      <c r="BC85" s="123"/>
      <c r="BD85" s="123"/>
      <c r="BE85" s="123"/>
      <c r="BF85" s="1"/>
      <c r="BG85" s="1"/>
      <c r="BH85" s="1"/>
      <c r="BI85" s="1"/>
      <c r="BJ85" s="1"/>
      <c r="BK85" s="1"/>
    </row>
    <row r="86" spans="21:65" x14ac:dyDescent="0.3">
      <c r="U86" s="14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23"/>
      <c r="BB86" s="123"/>
      <c r="BC86" s="123"/>
      <c r="BD86" s="123"/>
      <c r="BE86" s="123"/>
      <c r="BF86" s="1"/>
      <c r="BG86" s="1"/>
      <c r="BH86" s="1"/>
      <c r="BI86" s="1"/>
      <c r="BJ86" s="1"/>
      <c r="BK86" s="1"/>
    </row>
    <row r="87" spans="21:65" x14ac:dyDescent="0.3">
      <c r="U87" s="1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23"/>
      <c r="BB87" s="123"/>
      <c r="BC87" s="166"/>
      <c r="BD87" s="123"/>
      <c r="BE87" s="123"/>
    </row>
    <row r="88" spans="21:65" x14ac:dyDescent="0.3">
      <c r="U88" s="14"/>
      <c r="V88" s="124"/>
      <c r="W88" s="124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124"/>
      <c r="AL88" s="124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23"/>
      <c r="BB88" s="123"/>
      <c r="BC88" s="123"/>
      <c r="BD88" s="123"/>
      <c r="BE88" s="123"/>
    </row>
    <row r="89" spans="21:65" x14ac:dyDescent="0.3">
      <c r="U89" s="14"/>
      <c r="V89" s="124"/>
      <c r="W89" s="124"/>
      <c r="X89" s="205"/>
      <c r="Y89" s="205"/>
      <c r="Z89" s="205"/>
      <c r="AA89" s="205"/>
      <c r="AB89" s="205"/>
      <c r="AC89" s="205"/>
      <c r="AD89" s="205"/>
      <c r="AE89" s="124"/>
      <c r="AF89" s="124"/>
      <c r="AG89" s="124"/>
      <c r="AH89" s="149"/>
      <c r="AI89" s="124"/>
      <c r="AJ89" s="124"/>
      <c r="AK89" s="149"/>
      <c r="AL89" s="124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23"/>
      <c r="BB89" s="123"/>
      <c r="BC89" s="123"/>
      <c r="BD89" s="123"/>
      <c r="BE89" s="123"/>
    </row>
    <row r="90" spans="21:65" x14ac:dyDescent="0.3">
      <c r="U90" s="14"/>
      <c r="V90" s="124"/>
      <c r="W90" s="124"/>
      <c r="X90" s="205"/>
      <c r="Y90" s="205"/>
      <c r="Z90" s="205"/>
      <c r="AA90" s="205"/>
      <c r="AB90" s="205"/>
      <c r="AC90" s="205"/>
      <c r="AD90" s="205"/>
      <c r="AE90" s="205"/>
      <c r="AF90" s="149"/>
      <c r="AG90" s="124"/>
      <c r="AH90" s="149"/>
      <c r="AI90" s="124"/>
      <c r="AJ90" s="124"/>
      <c r="AK90" s="149"/>
      <c r="AL90" s="12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23"/>
      <c r="BB90" s="123"/>
      <c r="BC90" s="123"/>
      <c r="BD90" s="123"/>
      <c r="BE90" s="123"/>
    </row>
    <row r="91" spans="21:65" x14ac:dyDescent="0.3">
      <c r="U91" s="14"/>
      <c r="V91" s="124"/>
      <c r="W91" s="124"/>
      <c r="X91" s="124"/>
      <c r="Y91" s="124"/>
      <c r="Z91" s="206"/>
      <c r="AA91" s="206"/>
      <c r="AB91" s="206"/>
      <c r="AC91" s="206"/>
      <c r="AD91" s="206"/>
      <c r="AE91" s="124"/>
      <c r="AF91" s="124"/>
      <c r="AG91" s="124"/>
      <c r="AH91" s="149"/>
      <c r="AI91" s="124"/>
      <c r="AJ91" s="124"/>
      <c r="AK91" s="149"/>
      <c r="AL91" s="12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23"/>
      <c r="BB91" s="123"/>
      <c r="BC91" s="123"/>
      <c r="BD91" s="123"/>
      <c r="BE91" s="123"/>
    </row>
    <row r="92" spans="21:65" x14ac:dyDescent="0.3">
      <c r="U92" s="14"/>
      <c r="V92" s="124"/>
      <c r="W92" s="124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149"/>
      <c r="AI92" s="124"/>
      <c r="AJ92" s="124"/>
      <c r="AK92" s="149"/>
      <c r="AL92" s="12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1:65" x14ac:dyDescent="0.3">
      <c r="U93" s="14"/>
      <c r="V93" s="124"/>
      <c r="W93" s="124"/>
      <c r="X93" s="124"/>
      <c r="Y93" s="124"/>
      <c r="Z93" s="206"/>
      <c r="AA93" s="206"/>
      <c r="AB93" s="206"/>
      <c r="AC93" s="206"/>
      <c r="AD93" s="206"/>
      <c r="AE93" s="206"/>
      <c r="AF93" s="206"/>
      <c r="AG93" s="124"/>
      <c r="AH93" s="149"/>
      <c r="AI93" s="124"/>
      <c r="AJ93" s="124"/>
      <c r="AK93" s="149"/>
      <c r="AL93" s="12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1:65" x14ac:dyDescent="0.3">
      <c r="U94" s="14"/>
      <c r="V94" s="124"/>
      <c r="W94" s="124"/>
      <c r="X94" s="124"/>
      <c r="Y94" s="124"/>
      <c r="Z94" s="206"/>
      <c r="AA94" s="206"/>
      <c r="AB94" s="206"/>
      <c r="AC94" s="206"/>
      <c r="AD94" s="206"/>
      <c r="AE94" s="206"/>
      <c r="AF94" s="206"/>
      <c r="AG94" s="124"/>
      <c r="AH94" s="149"/>
      <c r="AI94" s="124"/>
      <c r="AJ94" s="124"/>
      <c r="AK94" s="149"/>
      <c r="AL94" s="12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1:65" x14ac:dyDescent="0.3">
      <c r="U95" s="14"/>
      <c r="V95" s="124"/>
      <c r="W95" s="124"/>
      <c r="X95" s="124"/>
      <c r="Y95" s="124"/>
      <c r="Z95" s="206"/>
      <c r="AA95" s="206"/>
      <c r="AB95" s="206"/>
      <c r="AC95" s="206"/>
      <c r="AD95" s="206"/>
      <c r="AE95" s="206"/>
      <c r="AF95" s="206"/>
      <c r="AG95" s="124"/>
      <c r="AH95" s="149"/>
      <c r="AI95" s="124"/>
      <c r="AJ95" s="124"/>
      <c r="AK95" s="149"/>
      <c r="AL95" s="12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1:65" x14ac:dyDescent="0.3">
      <c r="U96" s="14"/>
      <c r="V96" s="124"/>
      <c r="W96" s="124"/>
      <c r="X96" s="124"/>
      <c r="Y96" s="124"/>
      <c r="Z96" s="206"/>
      <c r="AA96" s="206"/>
      <c r="AB96" s="206"/>
      <c r="AC96" s="206"/>
      <c r="AD96" s="206"/>
      <c r="AE96" s="206"/>
      <c r="AF96" s="206"/>
      <c r="AG96" s="124"/>
      <c r="AH96" s="149"/>
      <c r="AI96" s="124"/>
      <c r="AJ96" s="124"/>
      <c r="AK96" s="149"/>
      <c r="AL96" s="12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3">
      <c r="U97" s="14"/>
      <c r="V97" s="124"/>
      <c r="W97" s="124"/>
      <c r="X97" s="124"/>
      <c r="Y97" s="124"/>
      <c r="Z97" s="206"/>
      <c r="AA97" s="206"/>
      <c r="AB97" s="206"/>
      <c r="AC97" s="206"/>
      <c r="AD97" s="206"/>
      <c r="AE97" s="206"/>
      <c r="AF97" s="206"/>
      <c r="AG97" s="124"/>
      <c r="AH97" s="149"/>
      <c r="AI97" s="124"/>
      <c r="AJ97" s="124"/>
      <c r="AK97" s="149"/>
      <c r="AL97" s="124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3">
      <c r="U98" s="14"/>
      <c r="V98" s="124"/>
      <c r="W98" s="124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124"/>
      <c r="AI98" s="124"/>
      <c r="AJ98" s="149"/>
      <c r="AK98" s="149"/>
      <c r="AL98" s="124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3">
      <c r="U99" s="14"/>
      <c r="V99" s="124"/>
      <c r="W99" s="124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124"/>
      <c r="AJ99" s="124"/>
      <c r="AK99" s="149"/>
      <c r="AL99" s="124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24"/>
      <c r="AG100" s="149"/>
      <c r="AH100" s="207"/>
      <c r="AI100" s="149"/>
      <c r="AJ100" s="149"/>
      <c r="AK100" s="149"/>
      <c r="AL100" s="149"/>
    </row>
    <row r="101" spans="2:57" x14ac:dyDescent="0.3">
      <c r="B101" s="169"/>
      <c r="D101" s="86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24"/>
      <c r="AI101" s="149"/>
      <c r="AJ101" s="208"/>
      <c r="AK101" s="149"/>
      <c r="AL101" s="149"/>
    </row>
    <row r="102" spans="2:57" x14ac:dyDescent="0.3">
      <c r="B102" s="1"/>
      <c r="D102" s="86"/>
      <c r="O102" s="92"/>
      <c r="P102" s="92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</row>
    <row r="103" spans="2:57" x14ac:dyDescent="0.3">
      <c r="B103" s="1"/>
      <c r="D103" s="86"/>
      <c r="O103" s="92"/>
      <c r="P103" s="92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</row>
    <row r="104" spans="2:57" x14ac:dyDescent="0.3">
      <c r="B104" s="1"/>
      <c r="D104" s="86"/>
      <c r="O104" s="92"/>
      <c r="P104" s="92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</row>
    <row r="105" spans="2:57" x14ac:dyDescent="0.3">
      <c r="B105" s="1"/>
      <c r="D105" s="86"/>
      <c r="O105" s="92"/>
      <c r="P105" s="92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</row>
    <row r="106" spans="2:57" x14ac:dyDescent="0.3">
      <c r="B106" s="86"/>
      <c r="D106" s="86"/>
      <c r="O106" s="92"/>
      <c r="P106" s="92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</row>
    <row r="107" spans="2:57" x14ac:dyDescent="0.3">
      <c r="B107" s="88"/>
      <c r="D107" s="86"/>
      <c r="O107" s="92"/>
      <c r="P107" s="92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</row>
    <row r="108" spans="2:57" x14ac:dyDescent="0.3">
      <c r="B108" s="1"/>
      <c r="D108" s="86"/>
      <c r="O108" s="92"/>
      <c r="P108" s="92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</row>
    <row r="109" spans="2:57" x14ac:dyDescent="0.3">
      <c r="B109" s="1"/>
      <c r="D109" s="86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</row>
    <row r="110" spans="2:57" x14ac:dyDescent="0.3">
      <c r="B110" s="1"/>
      <c r="D110" s="86"/>
    </row>
    <row r="111" spans="2:57" x14ac:dyDescent="0.3">
      <c r="B111" s="1"/>
      <c r="D111" s="86"/>
    </row>
    <row r="112" spans="2:57" x14ac:dyDescent="0.3">
      <c r="B112" s="88" t="e">
        <f>+B111/B110</f>
        <v>#DIV/0!</v>
      </c>
      <c r="D112" s="86"/>
    </row>
    <row r="113" spans="2:4" x14ac:dyDescent="0.3">
      <c r="B113" s="1"/>
      <c r="D113" s="86"/>
    </row>
    <row r="114" spans="2:4" x14ac:dyDescent="0.3">
      <c r="B114" s="1"/>
      <c r="D114" s="86"/>
    </row>
    <row r="115" spans="2:4" x14ac:dyDescent="0.3">
      <c r="B115" s="1">
        <f>+B111*50</f>
        <v>0</v>
      </c>
      <c r="D115" s="86"/>
    </row>
    <row r="116" spans="2:4" x14ac:dyDescent="0.3">
      <c r="B116" s="1"/>
      <c r="D116" s="86"/>
    </row>
    <row r="117" spans="2:4" x14ac:dyDescent="0.3">
      <c r="B117" s="1"/>
      <c r="D117" s="86"/>
    </row>
    <row r="118" spans="2:4" x14ac:dyDescent="0.3">
      <c r="B118" s="1"/>
      <c r="D118" s="86"/>
    </row>
    <row r="119" spans="2:4" x14ac:dyDescent="0.3">
      <c r="B119" s="1"/>
      <c r="D119" s="86"/>
    </row>
    <row r="120" spans="2:4" x14ac:dyDescent="0.3">
      <c r="B120" s="1"/>
      <c r="D120" s="86"/>
    </row>
    <row r="121" spans="2:4" x14ac:dyDescent="0.3">
      <c r="B121" s="1"/>
      <c r="D121" s="86"/>
    </row>
    <row r="122" spans="2:4" x14ac:dyDescent="0.3">
      <c r="B122" s="1"/>
      <c r="D122" s="86"/>
    </row>
    <row r="123" spans="2:4" x14ac:dyDescent="0.3">
      <c r="B123" s="1"/>
      <c r="D123" s="86"/>
    </row>
    <row r="124" spans="2:4" x14ac:dyDescent="0.3">
      <c r="B124" s="1"/>
      <c r="D124" s="86"/>
    </row>
    <row r="125" spans="2:4" x14ac:dyDescent="0.3">
      <c r="B125" s="1"/>
    </row>
    <row r="126" spans="2:4" x14ac:dyDescent="0.3">
      <c r="B126" s="1"/>
    </row>
    <row r="127" spans="2:4" x14ac:dyDescent="0.3">
      <c r="B127" s="1"/>
    </row>
    <row r="128" spans="2:4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1"/>
  <sheetViews>
    <sheetView topLeftCell="A25" workbookViewId="0">
      <selection activeCell="AH19" sqref="AH1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25" t="s">
        <v>5</v>
      </c>
      <c r="D1" s="225"/>
      <c r="E1" s="225"/>
    </row>
    <row r="2" spans="3:38" ht="15.6" x14ac:dyDescent="0.3">
      <c r="C2" s="225" t="s">
        <v>6</v>
      </c>
      <c r="D2" s="225"/>
      <c r="E2" s="225"/>
    </row>
    <row r="3" spans="3:38" x14ac:dyDescent="0.3">
      <c r="C3" s="226" t="s">
        <v>14</v>
      </c>
      <c r="D3" s="226"/>
    </row>
    <row r="4" spans="3:38" x14ac:dyDescent="0.3">
      <c r="D4" s="226"/>
      <c r="E4" s="226"/>
    </row>
    <row r="5" spans="3:38" x14ac:dyDescent="0.3">
      <c r="D5" s="226"/>
      <c r="E5" s="226"/>
    </row>
    <row r="7" spans="3:38" x14ac:dyDescent="0.3">
      <c r="C7" s="89" t="s">
        <v>81</v>
      </c>
      <c r="E7" s="373" t="s">
        <v>7</v>
      </c>
      <c r="F7" s="374"/>
      <c r="G7" s="379">
        <v>0.7</v>
      </c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80"/>
    </row>
    <row r="8" spans="3:38" x14ac:dyDescent="0.3">
      <c r="E8" s="375" t="s">
        <v>13</v>
      </c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7"/>
      <c r="Q8" s="377"/>
      <c r="R8" s="377"/>
      <c r="S8" s="378"/>
    </row>
    <row r="9" spans="3:38" x14ac:dyDescent="0.3">
      <c r="E9" s="371" t="s">
        <v>38</v>
      </c>
      <c r="F9" s="372"/>
      <c r="G9" s="372"/>
      <c r="H9" s="372"/>
      <c r="I9" s="372"/>
      <c r="J9" s="372"/>
      <c r="K9" s="372"/>
      <c r="L9" s="372"/>
      <c r="M9" s="372"/>
      <c r="N9" s="154"/>
      <c r="O9" s="155"/>
      <c r="P9" s="5"/>
      <c r="Q9" s="371" t="s">
        <v>4</v>
      </c>
      <c r="R9" s="372"/>
      <c r="S9" s="389"/>
      <c r="U9" s="89" t="s">
        <v>19</v>
      </c>
    </row>
    <row r="10" spans="3:38" x14ac:dyDescent="0.3">
      <c r="E10" s="36" t="s">
        <v>8</v>
      </c>
      <c r="F10" s="5"/>
      <c r="G10" s="4" t="s">
        <v>52</v>
      </c>
      <c r="H10" s="5"/>
      <c r="I10" s="221" t="s">
        <v>53</v>
      </c>
      <c r="J10" s="5"/>
      <c r="K10" s="4" t="s">
        <v>9</v>
      </c>
      <c r="L10" s="5"/>
      <c r="M10" s="232" t="s">
        <v>82</v>
      </c>
      <c r="N10" s="161"/>
      <c r="O10" s="162" t="s">
        <v>16</v>
      </c>
      <c r="P10" s="6"/>
      <c r="Q10" s="4" t="s">
        <v>4</v>
      </c>
      <c r="R10" s="6"/>
      <c r="S10" s="232" t="s">
        <v>83</v>
      </c>
    </row>
    <row r="11" spans="3:38" x14ac:dyDescent="0.3">
      <c r="C11" s="229">
        <v>43910</v>
      </c>
      <c r="E11" s="38"/>
      <c r="F11" s="7"/>
      <c r="G11" s="7"/>
      <c r="H11" s="7"/>
      <c r="I11" s="7"/>
      <c r="J11" s="7"/>
      <c r="K11" s="7"/>
      <c r="L11" s="6"/>
      <c r="M11" s="44"/>
      <c r="N11" s="44"/>
      <c r="O11" s="44"/>
      <c r="P11" s="6"/>
      <c r="Q11" s="6"/>
      <c r="R11" s="6"/>
      <c r="S11" s="37"/>
      <c r="U11">
        <v>1</v>
      </c>
      <c r="AJ11" s="149"/>
      <c r="AK11" s="149"/>
      <c r="AL11" s="149"/>
    </row>
    <row r="12" spans="3:38" ht="15" thickBot="1" x14ac:dyDescent="0.35">
      <c r="C12" s="229">
        <f t="shared" ref="C12" si="0">+C11+1</f>
        <v>43911</v>
      </c>
      <c r="E12" s="38"/>
      <c r="F12" s="7"/>
      <c r="G12" s="7"/>
      <c r="H12" s="7"/>
      <c r="I12" s="7"/>
      <c r="J12" s="7"/>
      <c r="K12" s="7"/>
      <c r="L12" s="6"/>
      <c r="M12" s="44"/>
      <c r="N12" s="44"/>
      <c r="O12" s="44"/>
      <c r="P12" s="6"/>
      <c r="Q12" s="6"/>
      <c r="R12" s="6"/>
      <c r="S12" s="37"/>
      <c r="U12">
        <f t="shared" ref="U12:U57" si="1">+U11+1</f>
        <v>2</v>
      </c>
      <c r="X12" s="14"/>
      <c r="Y12" s="14"/>
      <c r="Z12" s="14"/>
      <c r="AA12" s="14"/>
      <c r="AB12" s="14"/>
      <c r="AC12" s="14"/>
      <c r="AD12" s="14"/>
      <c r="AE12" s="92"/>
      <c r="AF12" s="92"/>
      <c r="AG12" s="92"/>
      <c r="AH12" s="92"/>
      <c r="AI12" s="92"/>
      <c r="AJ12" s="149"/>
      <c r="AK12" s="149"/>
      <c r="AL12" s="149"/>
    </row>
    <row r="13" spans="3:38" ht="15" thickBot="1" x14ac:dyDescent="0.35">
      <c r="C13" s="229">
        <f>+C12+1</f>
        <v>43912</v>
      </c>
      <c r="E13" s="38"/>
      <c r="F13" s="7"/>
      <c r="G13" s="7"/>
      <c r="H13" s="7"/>
      <c r="I13" s="7"/>
      <c r="J13" s="7"/>
      <c r="K13" s="7"/>
      <c r="L13" s="6"/>
      <c r="M13" s="44"/>
      <c r="N13" s="44"/>
      <c r="O13" s="44"/>
      <c r="P13" s="6"/>
      <c r="Q13" s="6"/>
      <c r="R13" s="6"/>
      <c r="S13" s="37"/>
      <c r="U13">
        <f t="shared" si="1"/>
        <v>3</v>
      </c>
      <c r="X13" s="1"/>
      <c r="Y13" s="1"/>
      <c r="Z13" s="1"/>
      <c r="AA13" s="268" t="s">
        <v>62</v>
      </c>
      <c r="AB13" s="269"/>
      <c r="AC13" s="269"/>
      <c r="AD13" s="269"/>
      <c r="AE13" s="269"/>
      <c r="AF13" s="269"/>
      <c r="AG13" s="269"/>
      <c r="AH13" s="269"/>
      <c r="AI13" s="270"/>
      <c r="AJ13" s="209"/>
      <c r="AK13" s="209"/>
      <c r="AL13" s="149"/>
    </row>
    <row r="14" spans="3:38" ht="15" thickBot="1" x14ac:dyDescent="0.35">
      <c r="C14" s="229">
        <f t="shared" ref="C14:C57" si="2">+C13+1</f>
        <v>43913</v>
      </c>
      <c r="E14" s="38"/>
      <c r="F14" s="7"/>
      <c r="G14" s="7"/>
      <c r="H14" s="7"/>
      <c r="I14" s="7"/>
      <c r="J14" s="7"/>
      <c r="K14" s="7"/>
      <c r="L14" s="6"/>
      <c r="M14" s="44"/>
      <c r="N14" s="44"/>
      <c r="O14" s="44"/>
      <c r="P14" s="6"/>
      <c r="Q14" s="6"/>
      <c r="R14" s="6"/>
      <c r="S14" s="37"/>
      <c r="U14">
        <f t="shared" si="1"/>
        <v>4</v>
      </c>
      <c r="X14" s="1"/>
      <c r="Y14" s="1"/>
      <c r="Z14" s="1"/>
      <c r="AA14" s="271"/>
      <c r="AB14" s="386" t="s">
        <v>49</v>
      </c>
      <c r="AC14" s="387"/>
      <c r="AD14" s="388"/>
      <c r="AE14" s="272"/>
      <c r="AF14" s="384" t="s">
        <v>33</v>
      </c>
      <c r="AG14" s="273"/>
      <c r="AH14" s="273"/>
      <c r="AI14" s="274"/>
      <c r="AJ14" s="149"/>
      <c r="AK14" s="149"/>
      <c r="AL14" s="149"/>
    </row>
    <row r="15" spans="3:38" ht="15" thickBot="1" x14ac:dyDescent="0.35">
      <c r="C15" s="229">
        <f t="shared" si="2"/>
        <v>43914</v>
      </c>
      <c r="E15" s="38"/>
      <c r="F15" s="7"/>
      <c r="G15" s="7"/>
      <c r="H15" s="7"/>
      <c r="I15" s="7"/>
      <c r="J15" s="7"/>
      <c r="K15" s="7"/>
      <c r="L15" s="6"/>
      <c r="M15" s="44"/>
      <c r="N15" s="44"/>
      <c r="O15" s="44"/>
      <c r="P15" s="6"/>
      <c r="Q15" s="6"/>
      <c r="R15" s="6"/>
      <c r="S15" s="37"/>
      <c r="U15">
        <f t="shared" si="1"/>
        <v>5</v>
      </c>
      <c r="X15" s="1"/>
      <c r="Y15" s="1"/>
      <c r="Z15" s="1"/>
      <c r="AA15" s="255"/>
      <c r="AB15" s="227"/>
      <c r="AC15" s="227"/>
      <c r="AD15" s="275" t="s">
        <v>21</v>
      </c>
      <c r="AE15" s="276"/>
      <c r="AF15" s="385"/>
      <c r="AG15" s="277"/>
      <c r="AH15" s="278" t="s">
        <v>4</v>
      </c>
      <c r="AI15" s="279"/>
      <c r="AJ15" s="149"/>
      <c r="AK15" s="149"/>
      <c r="AL15" s="149"/>
    </row>
    <row r="16" spans="3:38" x14ac:dyDescent="0.3">
      <c r="C16" s="229">
        <f t="shared" si="2"/>
        <v>43915</v>
      </c>
      <c r="E16" s="38"/>
      <c r="F16" s="7"/>
      <c r="G16" s="7"/>
      <c r="H16" s="7"/>
      <c r="I16" s="7"/>
      <c r="J16" s="7"/>
      <c r="K16" s="7"/>
      <c r="L16" s="6"/>
      <c r="M16" s="44"/>
      <c r="N16" s="44"/>
      <c r="O16" s="44"/>
      <c r="P16" s="6"/>
      <c r="Q16" s="6"/>
      <c r="R16" s="6"/>
      <c r="S16" s="37"/>
      <c r="U16">
        <f t="shared" si="1"/>
        <v>6</v>
      </c>
      <c r="X16" s="1"/>
      <c r="Y16" s="1"/>
      <c r="Z16" s="1"/>
      <c r="AA16" s="255"/>
      <c r="AB16" s="267" t="s">
        <v>40</v>
      </c>
      <c r="AC16" s="227"/>
      <c r="AD16" s="267">
        <f>+K59</f>
        <v>458359</v>
      </c>
      <c r="AE16" s="266"/>
      <c r="AF16" s="280">
        <f>+AH30</f>
        <v>1477.7162551624381</v>
      </c>
      <c r="AG16" s="280"/>
      <c r="AH16" s="281">
        <f>+Q59</f>
        <v>33860</v>
      </c>
      <c r="AI16" s="282"/>
      <c r="AJ16" s="149"/>
      <c r="AK16" s="149"/>
      <c r="AL16" s="149"/>
    </row>
    <row r="17" spans="3:39" x14ac:dyDescent="0.3">
      <c r="C17" s="229">
        <f t="shared" si="2"/>
        <v>43916</v>
      </c>
      <c r="E17" s="38"/>
      <c r="F17" s="7"/>
      <c r="G17" s="7"/>
      <c r="H17" s="7"/>
      <c r="I17" s="7"/>
      <c r="J17" s="7"/>
      <c r="K17" s="7"/>
      <c r="L17" s="6"/>
      <c r="M17" s="44"/>
      <c r="N17" s="44"/>
      <c r="O17" s="44"/>
      <c r="P17" s="6"/>
      <c r="Q17" s="6"/>
      <c r="R17" s="6"/>
      <c r="S17" s="37"/>
      <c r="U17">
        <f t="shared" si="1"/>
        <v>7</v>
      </c>
      <c r="X17" s="92"/>
      <c r="Y17" s="92"/>
      <c r="Z17" s="14"/>
      <c r="AA17" s="255"/>
      <c r="AB17" s="283" t="s">
        <v>60</v>
      </c>
      <c r="AC17" s="227"/>
      <c r="AD17" s="217">
        <v>64311</v>
      </c>
      <c r="AE17" s="267"/>
      <c r="AF17" s="218">
        <v>933</v>
      </c>
      <c r="AG17" s="280"/>
      <c r="AH17" s="217">
        <v>3716</v>
      </c>
      <c r="AI17" s="284"/>
      <c r="AJ17" s="149"/>
      <c r="AK17" s="124"/>
      <c r="AL17" s="124"/>
    </row>
    <row r="18" spans="3:39" x14ac:dyDescent="0.3">
      <c r="C18" s="229">
        <f t="shared" si="2"/>
        <v>43917</v>
      </c>
      <c r="E18" s="38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45"/>
      <c r="N18" s="45"/>
      <c r="O18" s="45"/>
      <c r="P18" s="66"/>
      <c r="Q18" s="6"/>
      <c r="R18" s="6"/>
      <c r="S18" s="39"/>
      <c r="U18">
        <f t="shared" si="1"/>
        <v>8</v>
      </c>
      <c r="X18" s="1"/>
      <c r="Y18" s="1"/>
      <c r="Z18" s="1"/>
      <c r="AA18" s="255"/>
      <c r="AB18" s="267" t="s">
        <v>96</v>
      </c>
      <c r="AC18" s="227"/>
      <c r="AD18" s="217">
        <v>49579</v>
      </c>
      <c r="AE18" s="267"/>
      <c r="AF18" s="218">
        <v>387</v>
      </c>
      <c r="AG18" s="280"/>
      <c r="AH18" s="217">
        <v>2635</v>
      </c>
      <c r="AI18" s="284"/>
      <c r="AJ18" s="149"/>
      <c r="AK18" s="124"/>
      <c r="AL18" s="124"/>
    </row>
    <row r="19" spans="3:39" ht="15" thickBot="1" x14ac:dyDescent="0.35">
      <c r="C19" s="229">
        <f t="shared" si="2"/>
        <v>43918</v>
      </c>
      <c r="E19" s="38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45">
        <f t="shared" ref="M19:M30" si="4">+(K19-K18)/K18</f>
        <v>0.1815252816835832</v>
      </c>
      <c r="N19" s="45"/>
      <c r="O19" s="45"/>
      <c r="P19" s="66"/>
      <c r="Q19" s="7">
        <f>728+140</f>
        <v>868</v>
      </c>
      <c r="R19" s="6"/>
      <c r="S19" s="45">
        <f>+Q19/K19</f>
        <v>1.3681788089908893E-2</v>
      </c>
      <c r="U19">
        <f t="shared" si="1"/>
        <v>9</v>
      </c>
      <c r="X19" s="1"/>
      <c r="Y19" s="1"/>
      <c r="Z19" s="14"/>
      <c r="AA19" s="255"/>
      <c r="AB19" s="227"/>
      <c r="AC19" s="227"/>
      <c r="AD19" s="285">
        <f>SUM(AD16:AD18)</f>
        <v>572249</v>
      </c>
      <c r="AE19" s="267"/>
      <c r="AF19" s="267"/>
      <c r="AG19" s="267"/>
      <c r="AH19" s="285">
        <f>SUM(AH16:AH18)</f>
        <v>40211</v>
      </c>
      <c r="AI19" s="284"/>
      <c r="AJ19" s="149"/>
      <c r="AK19" s="124"/>
      <c r="AL19" s="124"/>
    </row>
    <row r="20" spans="3:39" ht="15" thickTop="1" x14ac:dyDescent="0.3">
      <c r="C20" s="229">
        <f t="shared" si="2"/>
        <v>43919</v>
      </c>
      <c r="E20" s="38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45">
        <f t="shared" si="4"/>
        <v>0.14906528797957189</v>
      </c>
      <c r="N20" s="45"/>
      <c r="O20" s="45"/>
      <c r="P20" s="66"/>
      <c r="Q20" s="7">
        <f>965+161</f>
        <v>1126</v>
      </c>
      <c r="R20" s="6"/>
      <c r="S20" s="45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55"/>
      <c r="AB20" s="227"/>
      <c r="AC20" s="227"/>
      <c r="AD20" s="267"/>
      <c r="AE20" s="267"/>
      <c r="AF20" s="267"/>
      <c r="AG20" s="267"/>
      <c r="AH20" s="267"/>
      <c r="AI20" s="284"/>
      <c r="AJ20" s="149"/>
      <c r="AK20" s="124"/>
      <c r="AL20" s="124"/>
    </row>
    <row r="21" spans="3:39" ht="15" thickBot="1" x14ac:dyDescent="0.35">
      <c r="C21" s="229">
        <f t="shared" si="2"/>
        <v>43920</v>
      </c>
      <c r="E21" s="38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45">
        <f t="shared" si="4"/>
        <v>0.13997448524671122</v>
      </c>
      <c r="N21" s="45"/>
      <c r="O21" s="45"/>
      <c r="P21" s="66"/>
      <c r="Q21" s="7">
        <f>1218+198</f>
        <v>1416</v>
      </c>
      <c r="R21" s="6"/>
      <c r="S21" s="45">
        <f t="shared" si="5"/>
        <v>1.7039096061514023E-2</v>
      </c>
      <c r="U21">
        <f t="shared" si="1"/>
        <v>11</v>
      </c>
      <c r="X21" s="1"/>
      <c r="Y21" s="1"/>
      <c r="Z21" s="1"/>
      <c r="AA21" s="255"/>
      <c r="AB21" s="286" t="s">
        <v>30</v>
      </c>
      <c r="AC21" s="227"/>
      <c r="AD21" s="287">
        <f>+AD19/'Main Table'!H58</f>
        <v>0.50595565442350576</v>
      </c>
      <c r="AE21" s="267"/>
      <c r="AF21" s="267"/>
      <c r="AG21" s="267"/>
      <c r="AH21" s="287">
        <f>+AH19/'Main Table'!R58</f>
        <v>0.61153694071843534</v>
      </c>
      <c r="AI21" s="284"/>
      <c r="AJ21" s="149"/>
      <c r="AK21" s="124"/>
      <c r="AL21" s="124"/>
    </row>
    <row r="22" spans="3:39" ht="15.6" thickTop="1" thickBot="1" x14ac:dyDescent="0.35">
      <c r="C22" s="229">
        <f t="shared" si="2"/>
        <v>43921</v>
      </c>
      <c r="E22" s="38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45">
        <f t="shared" si="4"/>
        <v>0.13703476408793908</v>
      </c>
      <c r="N22" s="45"/>
      <c r="O22" s="45"/>
      <c r="P22" s="6"/>
      <c r="Q22" s="7">
        <f>1550+267</f>
        <v>1817</v>
      </c>
      <c r="R22" s="6"/>
      <c r="S22" s="45">
        <f t="shared" si="5"/>
        <v>1.9229344593665005E-2</v>
      </c>
      <c r="U22">
        <f t="shared" si="1"/>
        <v>12</v>
      </c>
      <c r="X22" s="1"/>
      <c r="Y22" s="1"/>
      <c r="Z22" s="1"/>
      <c r="AA22" s="260"/>
      <c r="AB22" s="288"/>
      <c r="AC22" s="261"/>
      <c r="AD22" s="289"/>
      <c r="AE22" s="290"/>
      <c r="AF22" s="290"/>
      <c r="AG22" s="290"/>
      <c r="AH22" s="289"/>
      <c r="AI22" s="291"/>
      <c r="AJ22" s="149"/>
      <c r="AK22" s="124"/>
      <c r="AL22" s="124"/>
    </row>
    <row r="23" spans="3:39" x14ac:dyDescent="0.3">
      <c r="C23" s="229">
        <f t="shared" si="2"/>
        <v>43922</v>
      </c>
      <c r="E23" s="38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45">
        <f t="shared" si="4"/>
        <v>0.12145072017440814</v>
      </c>
      <c r="N23" s="45"/>
      <c r="O23" s="45"/>
      <c r="P23" s="6"/>
      <c r="Q23" s="7">
        <f>1941+355</f>
        <v>2296</v>
      </c>
      <c r="R23" s="6"/>
      <c r="S23" s="45">
        <f t="shared" si="5"/>
        <v>2.1667122783508075E-2</v>
      </c>
      <c r="U23">
        <f t="shared" si="1"/>
        <v>13</v>
      </c>
      <c r="X23" s="1"/>
      <c r="Y23" s="1"/>
      <c r="Z23" s="124"/>
      <c r="AA23" s="124"/>
      <c r="AB23" s="129"/>
      <c r="AC23" s="124"/>
      <c r="AD23" s="130"/>
      <c r="AE23" s="124"/>
      <c r="AF23" s="124"/>
      <c r="AG23" s="124"/>
      <c r="AH23" s="124"/>
      <c r="AI23" s="124"/>
      <c r="AJ23" s="130"/>
      <c r="AK23" s="124"/>
      <c r="AL23" s="124"/>
    </row>
    <row r="24" spans="3:39" ht="15" thickBot="1" x14ac:dyDescent="0.35">
      <c r="C24" s="229">
        <f t="shared" si="2"/>
        <v>43923</v>
      </c>
      <c r="E24" s="38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45">
        <f t="shared" si="4"/>
        <v>0.11446016212594487</v>
      </c>
      <c r="N24" s="45"/>
      <c r="O24" s="45"/>
      <c r="P24" s="6"/>
      <c r="Q24" s="7">
        <f>2373+537</f>
        <v>2910</v>
      </c>
      <c r="R24" s="6"/>
      <c r="S24" s="45">
        <f t="shared" si="5"/>
        <v>2.4640970058257688E-2</v>
      </c>
      <c r="U24">
        <f t="shared" si="1"/>
        <v>14</v>
      </c>
      <c r="X24" s="1"/>
      <c r="Y24" s="1"/>
      <c r="Z24" s="124"/>
      <c r="AA24" s="124"/>
      <c r="AB24" s="129"/>
      <c r="AC24" s="124"/>
      <c r="AD24" s="124"/>
      <c r="AE24" s="124"/>
      <c r="AF24" s="124"/>
      <c r="AG24" s="124"/>
      <c r="AH24" s="124"/>
      <c r="AI24" s="124"/>
      <c r="AJ24" s="157"/>
      <c r="AK24" s="124"/>
      <c r="AL24" s="124"/>
      <c r="AM24" s="160"/>
    </row>
    <row r="25" spans="3:39" ht="15" thickBot="1" x14ac:dyDescent="0.35">
      <c r="C25" s="229">
        <f t="shared" si="2"/>
        <v>43924</v>
      </c>
      <c r="E25" s="38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45">
        <f t="shared" si="4"/>
        <v>0.12582136566860858</v>
      </c>
      <c r="N25" s="45"/>
      <c r="O25" s="45"/>
      <c r="P25" s="6"/>
      <c r="Q25" s="7">
        <f>2935+646</f>
        <v>3581</v>
      </c>
      <c r="R25" s="6"/>
      <c r="S25" s="45">
        <f t="shared" si="5"/>
        <v>2.6933925012222179E-2</v>
      </c>
      <c r="U25">
        <f t="shared" si="1"/>
        <v>15</v>
      </c>
      <c r="X25" s="1"/>
      <c r="Y25" s="386" t="s">
        <v>58</v>
      </c>
      <c r="Z25" s="387"/>
      <c r="AA25" s="387"/>
      <c r="AB25" s="387"/>
      <c r="AC25" s="387"/>
      <c r="AD25" s="387"/>
      <c r="AE25" s="387"/>
      <c r="AF25" s="387"/>
      <c r="AG25" s="387"/>
      <c r="AH25" s="387"/>
      <c r="AI25" s="388"/>
      <c r="AJ25" s="209"/>
      <c r="AK25" s="209"/>
      <c r="AL25" s="124"/>
      <c r="AM25" s="160"/>
    </row>
    <row r="26" spans="3:39" x14ac:dyDescent="0.3">
      <c r="C26" s="229">
        <f t="shared" si="2"/>
        <v>43925</v>
      </c>
      <c r="E26" s="38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45">
        <f t="shared" si="4"/>
        <v>0.1128351697942913</v>
      </c>
      <c r="N26" s="45"/>
      <c r="O26" s="45"/>
      <c r="P26" s="6"/>
      <c r="Q26" s="7">
        <f>3565+846</f>
        <v>4411</v>
      </c>
      <c r="R26" s="6"/>
      <c r="S26" s="45">
        <f t="shared" si="5"/>
        <v>2.9812715856634021E-2</v>
      </c>
      <c r="U26">
        <f t="shared" si="1"/>
        <v>16</v>
      </c>
      <c r="X26" s="1"/>
      <c r="Y26" s="251"/>
      <c r="Z26" s="252" t="s">
        <v>54</v>
      </c>
      <c r="AA26" s="253"/>
      <c r="AB26" s="252" t="s">
        <v>21</v>
      </c>
      <c r="AC26" s="253"/>
      <c r="AD26" s="252" t="s">
        <v>55</v>
      </c>
      <c r="AE26" s="253"/>
      <c r="AF26" s="252" t="s">
        <v>57</v>
      </c>
      <c r="AG26" s="253"/>
      <c r="AH26" s="252" t="s">
        <v>56</v>
      </c>
      <c r="AI26" s="254"/>
      <c r="AJ26" s="160"/>
      <c r="AK26" s="160"/>
      <c r="AL26" s="124"/>
      <c r="AM26" s="160"/>
    </row>
    <row r="27" spans="3:39" x14ac:dyDescent="0.3">
      <c r="C27" s="229">
        <f t="shared" si="2"/>
        <v>43926</v>
      </c>
      <c r="E27" s="38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45">
        <f t="shared" si="4"/>
        <v>8.5889819339402665E-2</v>
      </c>
      <c r="N27" s="45"/>
      <c r="O27" s="45"/>
      <c r="P27" s="6"/>
      <c r="Q27" s="7">
        <f>4150+914</f>
        <v>5064</v>
      </c>
      <c r="R27" s="6"/>
      <c r="S27" s="45">
        <f t="shared" si="5"/>
        <v>3.1518999159742322E-2</v>
      </c>
      <c r="U27">
        <f t="shared" si="1"/>
        <v>17</v>
      </c>
      <c r="X27" s="1"/>
      <c r="Y27" s="255"/>
      <c r="Z27" s="227" t="s">
        <v>51</v>
      </c>
      <c r="AA27" s="227"/>
      <c r="AB27" s="227">
        <f>+E59</f>
        <v>308314</v>
      </c>
      <c r="AC27" s="227"/>
      <c r="AD27" s="265">
        <v>1585</v>
      </c>
      <c r="AE27" s="227"/>
      <c r="AF27" s="256">
        <f>+AB27/AB$30</f>
        <v>0.67264742265342237</v>
      </c>
      <c r="AG27" s="256"/>
      <c r="AH27" s="227">
        <f>+AD27*AF27</f>
        <v>1066.1461649056744</v>
      </c>
      <c r="AI27" s="257"/>
      <c r="AJ27" s="160"/>
      <c r="AK27" s="124"/>
      <c r="AL27" s="124"/>
      <c r="AM27" s="160"/>
    </row>
    <row r="28" spans="3:39" x14ac:dyDescent="0.3">
      <c r="C28" s="229">
        <f t="shared" si="2"/>
        <v>43927</v>
      </c>
      <c r="E28" s="38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45">
        <f t="shared" si="4"/>
        <v>7.4596209504247973E-2</v>
      </c>
      <c r="N28" s="45"/>
      <c r="O28" s="45"/>
      <c r="P28" s="6"/>
      <c r="Q28" s="7">
        <f>4758+1003</f>
        <v>5761</v>
      </c>
      <c r="R28" s="6"/>
      <c r="S28" s="45">
        <f t="shared" si="5"/>
        <v>3.3368085722560094E-2</v>
      </c>
      <c r="U28">
        <f t="shared" si="1"/>
        <v>18</v>
      </c>
      <c r="X28" s="1"/>
      <c r="Y28" s="255"/>
      <c r="Z28" s="227" t="s">
        <v>52</v>
      </c>
      <c r="AA28" s="227"/>
      <c r="AB28" s="227">
        <f>+G59</f>
        <v>121190</v>
      </c>
      <c r="AC28" s="227"/>
      <c r="AD28" s="265">
        <v>1364</v>
      </c>
      <c r="AE28" s="227"/>
      <c r="AF28" s="256">
        <f>+AB28/AB$30</f>
        <v>0.26439973906915759</v>
      </c>
      <c r="AG28" s="256"/>
      <c r="AH28" s="227">
        <f>+AD28*AF28</f>
        <v>360.64124409033093</v>
      </c>
      <c r="AI28" s="257"/>
      <c r="AJ28" s="160"/>
      <c r="AK28" s="124"/>
      <c r="AL28" s="124"/>
      <c r="AM28" s="160"/>
    </row>
    <row r="29" spans="3:39" x14ac:dyDescent="0.3">
      <c r="C29" s="229">
        <f t="shared" si="2"/>
        <v>43928</v>
      </c>
      <c r="E29" s="38">
        <v>139876</v>
      </c>
      <c r="F29" s="7"/>
      <c r="G29" s="7">
        <f>44416</f>
        <v>44416</v>
      </c>
      <c r="H29" s="7"/>
      <c r="I29" s="7"/>
      <c r="J29" s="156" t="s">
        <v>41</v>
      </c>
      <c r="K29" s="7">
        <f t="shared" si="3"/>
        <v>184292</v>
      </c>
      <c r="L29" s="6"/>
      <c r="M29" s="45">
        <f t="shared" si="4"/>
        <v>6.7431219229655379E-2</v>
      </c>
      <c r="N29" s="45"/>
      <c r="O29" s="45"/>
      <c r="P29" s="6"/>
      <c r="Q29" s="7">
        <f>5489+1232+277</f>
        <v>6998</v>
      </c>
      <c r="R29" s="6"/>
      <c r="S29" s="45">
        <f t="shared" si="5"/>
        <v>3.7972348229982855E-2</v>
      </c>
      <c r="U29">
        <f t="shared" si="1"/>
        <v>19</v>
      </c>
      <c r="X29" s="1"/>
      <c r="Y29" s="255"/>
      <c r="Z29" s="227" t="s">
        <v>53</v>
      </c>
      <c r="AA29" s="227"/>
      <c r="AB29" s="227">
        <f>+I59</f>
        <v>28855</v>
      </c>
      <c r="AC29" s="227"/>
      <c r="AD29" s="265">
        <v>809</v>
      </c>
      <c r="AE29" s="227"/>
      <c r="AF29" s="256">
        <f>+AB29/AB$30</f>
        <v>6.2952838277420098E-2</v>
      </c>
      <c r="AG29" s="256"/>
      <c r="AH29" s="227">
        <f>+AD29*AF29</f>
        <v>50.928846166432862</v>
      </c>
      <c r="AI29" s="257"/>
      <c r="AJ29" s="160"/>
      <c r="AK29" s="124"/>
      <c r="AL29" s="124"/>
      <c r="AM29" s="160"/>
    </row>
    <row r="30" spans="3:39" ht="15" thickBot="1" x14ac:dyDescent="0.35">
      <c r="C30" s="229">
        <f t="shared" si="2"/>
        <v>43929</v>
      </c>
      <c r="E30" s="38">
        <v>151069</v>
      </c>
      <c r="F30" s="7"/>
      <c r="G30" s="7">
        <f>47437</f>
        <v>47437</v>
      </c>
      <c r="H30" s="7"/>
      <c r="I30" s="7">
        <v>8781</v>
      </c>
      <c r="J30" s="156"/>
      <c r="K30" s="7">
        <f>SUM(E30:I30)</f>
        <v>207287</v>
      </c>
      <c r="L30" s="6"/>
      <c r="M30" s="45">
        <f t="shared" si="4"/>
        <v>0.12477481388231719</v>
      </c>
      <c r="N30" s="45"/>
      <c r="O30" s="45"/>
      <c r="P30" s="6"/>
      <c r="Q30" s="7">
        <f>6268+1504+335</f>
        <v>8107</v>
      </c>
      <c r="R30" s="6"/>
      <c r="S30" s="45">
        <f t="shared" si="5"/>
        <v>3.9110026195564605E-2</v>
      </c>
      <c r="U30">
        <f t="shared" si="1"/>
        <v>20</v>
      </c>
      <c r="X30" s="1"/>
      <c r="Y30" s="255"/>
      <c r="Z30" s="227"/>
      <c r="AA30" s="227"/>
      <c r="AB30" s="258">
        <f>SUM(AB27:AB29)</f>
        <v>458359</v>
      </c>
      <c r="AC30" s="227"/>
      <c r="AD30" s="227"/>
      <c r="AE30" s="227"/>
      <c r="AF30" s="259">
        <f>SUM(AF27:AF29)</f>
        <v>1</v>
      </c>
      <c r="AG30" s="256"/>
      <c r="AH30" s="258">
        <f>SUM(AH27:AH29)</f>
        <v>1477.7162551624381</v>
      </c>
      <c r="AI30" s="257"/>
      <c r="AJ30" s="160"/>
      <c r="AK30" s="124"/>
      <c r="AL30" s="124"/>
      <c r="AM30" s="160"/>
    </row>
    <row r="31" spans="3:39" ht="15.6" thickTop="1" thickBot="1" x14ac:dyDescent="0.35">
      <c r="C31" s="229">
        <f t="shared" si="2"/>
        <v>43930</v>
      </c>
      <c r="E31" s="38">
        <v>161790</v>
      </c>
      <c r="F31" s="7"/>
      <c r="G31" s="7">
        <f>51027</f>
        <v>51027</v>
      </c>
      <c r="H31" s="7"/>
      <c r="I31" s="7">
        <v>9784</v>
      </c>
      <c r="J31" s="156"/>
      <c r="K31" s="7">
        <f t="shared" ref="K31:K52" si="6">SUM(E31:I31)</f>
        <v>222601</v>
      </c>
      <c r="L31" s="6"/>
      <c r="M31" s="45">
        <f>+(K31-K30)/K30</f>
        <v>7.3878246103228851E-2</v>
      </c>
      <c r="N31" s="45"/>
      <c r="O31" s="45"/>
      <c r="P31" s="6"/>
      <c r="Q31" s="7">
        <f>7067+1209+380</f>
        <v>8656</v>
      </c>
      <c r="R31" s="6"/>
      <c r="S31" s="45">
        <f t="shared" si="5"/>
        <v>3.8885719291467696E-2</v>
      </c>
      <c r="U31">
        <f t="shared" si="1"/>
        <v>21</v>
      </c>
      <c r="X31" s="1"/>
      <c r="Y31" s="260"/>
      <c r="Z31" s="261"/>
      <c r="AA31" s="261"/>
      <c r="AB31" s="261"/>
      <c r="AC31" s="261"/>
      <c r="AD31" s="261"/>
      <c r="AE31" s="261"/>
      <c r="AF31" s="262"/>
      <c r="AG31" s="262"/>
      <c r="AH31" s="263"/>
      <c r="AI31" s="264"/>
      <c r="AJ31" s="160"/>
      <c r="AK31" s="124"/>
      <c r="AL31" s="124"/>
      <c r="AM31" s="160"/>
    </row>
    <row r="32" spans="3:39" x14ac:dyDescent="0.3">
      <c r="C32" s="229">
        <f t="shared" si="2"/>
        <v>43931</v>
      </c>
      <c r="E32" s="38">
        <v>174481</v>
      </c>
      <c r="F32" s="7"/>
      <c r="G32" s="7">
        <f>54588</f>
        <v>54588</v>
      </c>
      <c r="H32" s="7"/>
      <c r="I32" s="7">
        <v>10538</v>
      </c>
      <c r="J32" s="156"/>
      <c r="K32" s="7">
        <f t="shared" si="6"/>
        <v>239607</v>
      </c>
      <c r="L32" s="6"/>
      <c r="M32" s="45">
        <f t="shared" ref="M32:M52" si="7">+(K32-K31)/K31</f>
        <v>7.6396781685616866E-2</v>
      </c>
      <c r="N32" s="45"/>
      <c r="O32" s="45"/>
      <c r="P32" s="6"/>
      <c r="Q32" s="7">
        <f>7884+1932+448</f>
        <v>10264</v>
      </c>
      <c r="R32" s="6"/>
      <c r="S32" s="45">
        <f t="shared" si="5"/>
        <v>4.2836811946228619E-2</v>
      </c>
      <c r="U32">
        <f t="shared" si="1"/>
        <v>22</v>
      </c>
      <c r="X32" s="1"/>
      <c r="Y32" s="1"/>
      <c r="Z32" s="124"/>
      <c r="AA32" s="124"/>
      <c r="AB32" s="124"/>
      <c r="AC32" s="124"/>
      <c r="AD32" s="124"/>
      <c r="AE32" s="124"/>
      <c r="AF32" s="124"/>
      <c r="AG32" s="124"/>
      <c r="AH32" s="124"/>
      <c r="AI32" s="160"/>
      <c r="AJ32" s="160"/>
      <c r="AK32" s="124"/>
      <c r="AL32" s="124"/>
      <c r="AM32" s="160"/>
    </row>
    <row r="33" spans="3:38" x14ac:dyDescent="0.3">
      <c r="C33" s="229">
        <f t="shared" si="2"/>
        <v>43932</v>
      </c>
      <c r="E33" s="38">
        <v>181825</v>
      </c>
      <c r="F33" s="7"/>
      <c r="G33" s="7">
        <f>58151</f>
        <v>58151</v>
      </c>
      <c r="H33" s="7"/>
      <c r="I33" s="7">
        <v>11510</v>
      </c>
      <c r="J33" s="156"/>
      <c r="K33" s="7">
        <f t="shared" si="6"/>
        <v>251486</v>
      </c>
      <c r="L33" s="6"/>
      <c r="M33" s="45">
        <f t="shared" si="7"/>
        <v>4.9577015696536414E-2</v>
      </c>
      <c r="N33" s="45"/>
      <c r="O33" s="45"/>
      <c r="P33" s="6"/>
      <c r="Q33" s="7">
        <f>8650+2183+494</f>
        <v>11327</v>
      </c>
      <c r="R33" s="6"/>
      <c r="S33" s="45">
        <f t="shared" si="5"/>
        <v>4.5040280572278379E-2</v>
      </c>
      <c r="U33">
        <f t="shared" si="1"/>
        <v>23</v>
      </c>
    </row>
    <row r="34" spans="3:38" x14ac:dyDescent="0.3">
      <c r="C34" s="229">
        <f t="shared" si="2"/>
        <v>43933</v>
      </c>
      <c r="E34" s="38">
        <v>189033</v>
      </c>
      <c r="F34" s="7"/>
      <c r="G34" s="7">
        <f>61850</f>
        <v>61850</v>
      </c>
      <c r="H34" s="7"/>
      <c r="I34" s="7">
        <v>12035</v>
      </c>
      <c r="J34" s="156"/>
      <c r="K34" s="7">
        <f t="shared" si="6"/>
        <v>262918</v>
      </c>
      <c r="L34" s="6"/>
      <c r="M34" s="45">
        <f t="shared" si="7"/>
        <v>4.5457798843673208E-2</v>
      </c>
      <c r="N34" s="45"/>
      <c r="O34" s="45"/>
      <c r="P34" s="6"/>
      <c r="Q34" s="7">
        <f>9385+2350+554</f>
        <v>12289</v>
      </c>
      <c r="R34" s="6"/>
      <c r="S34" s="45">
        <f t="shared" si="5"/>
        <v>4.674080892141276E-2</v>
      </c>
      <c r="U34">
        <f t="shared" si="1"/>
        <v>24</v>
      </c>
    </row>
    <row r="35" spans="3:38" ht="15" thickBot="1" x14ac:dyDescent="0.35">
      <c r="C35" s="229">
        <f t="shared" si="2"/>
        <v>43934</v>
      </c>
      <c r="E35" s="38">
        <v>195749</v>
      </c>
      <c r="F35" s="7"/>
      <c r="G35" s="7">
        <f>64584</f>
        <v>64584</v>
      </c>
      <c r="H35" s="7"/>
      <c r="I35" s="7">
        <v>13381</v>
      </c>
      <c r="J35" s="156"/>
      <c r="K35" s="7">
        <f t="shared" si="6"/>
        <v>273714</v>
      </c>
      <c r="L35" s="6"/>
      <c r="M35" s="45">
        <f t="shared" si="7"/>
        <v>4.1062232330992932E-2</v>
      </c>
      <c r="N35" s="45"/>
      <c r="O35" s="45"/>
      <c r="P35" s="6"/>
      <c r="Q35" s="7">
        <f>10058+2443+602</f>
        <v>13103</v>
      </c>
      <c r="R35" s="6"/>
      <c r="S35" s="45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24"/>
      <c r="AI35" s="124"/>
      <c r="AJ35" s="124"/>
      <c r="AK35" s="124"/>
      <c r="AL35" s="124"/>
    </row>
    <row r="36" spans="3:38" ht="15" thickBot="1" x14ac:dyDescent="0.35">
      <c r="C36" s="229">
        <f t="shared" si="2"/>
        <v>43935</v>
      </c>
      <c r="E36" s="38">
        <v>203020</v>
      </c>
      <c r="F36" s="7"/>
      <c r="G36" s="7">
        <f>68824</f>
        <v>68824</v>
      </c>
      <c r="H36" s="7"/>
      <c r="I36" s="7">
        <v>13989</v>
      </c>
      <c r="J36" s="156"/>
      <c r="K36" s="7">
        <f t="shared" si="6"/>
        <v>285833</v>
      </c>
      <c r="L36" s="6"/>
      <c r="M36" s="45">
        <f t="shared" si="7"/>
        <v>4.4276142250670406E-2</v>
      </c>
      <c r="N36" s="45"/>
      <c r="O36" s="45"/>
      <c r="P36" s="6"/>
      <c r="Q36" s="7">
        <f>10842+2805+671+3778</f>
        <v>18096</v>
      </c>
      <c r="R36" s="6"/>
      <c r="S36" s="45">
        <f t="shared" si="5"/>
        <v>6.3309694821801543E-2</v>
      </c>
      <c r="U36">
        <f t="shared" si="1"/>
        <v>26</v>
      </c>
      <c r="X36" s="1"/>
      <c r="Y36" s="381" t="s">
        <v>32</v>
      </c>
      <c r="Z36" s="382"/>
      <c r="AA36" s="382"/>
      <c r="AB36" s="382"/>
      <c r="AC36" s="382"/>
      <c r="AD36" s="382"/>
      <c r="AE36" s="382"/>
      <c r="AF36" s="382"/>
      <c r="AG36" s="383"/>
      <c r="AH36" s="209"/>
      <c r="AI36" s="209"/>
      <c r="AJ36" s="209"/>
      <c r="AK36" s="129"/>
      <c r="AL36" s="129"/>
    </row>
    <row r="37" spans="3:38" x14ac:dyDescent="0.3">
      <c r="C37" s="229">
        <f t="shared" si="2"/>
        <v>43936</v>
      </c>
      <c r="E37" s="38">
        <v>214639</v>
      </c>
      <c r="F37" s="7"/>
      <c r="G37" s="7">
        <f>71030</f>
        <v>71030</v>
      </c>
      <c r="H37" s="7"/>
      <c r="I37" s="7">
        <v>14755</v>
      </c>
      <c r="J37" s="156"/>
      <c r="K37" s="7">
        <f t="shared" si="6"/>
        <v>300424</v>
      </c>
      <c r="L37" s="6"/>
      <c r="M37" s="45">
        <f t="shared" si="7"/>
        <v>5.1047289851066879E-2</v>
      </c>
      <c r="N37" s="45"/>
      <c r="O37" s="45"/>
      <c r="P37" s="6"/>
      <c r="Q37" s="7">
        <f>11620+3156+868-145</f>
        <v>15499</v>
      </c>
      <c r="R37" s="6"/>
      <c r="S37" s="45">
        <f t="shared" si="5"/>
        <v>5.1590418874657151E-2</v>
      </c>
      <c r="U37">
        <f t="shared" si="1"/>
        <v>27</v>
      </c>
      <c r="X37" s="1"/>
      <c r="Y37" s="125"/>
      <c r="Z37" s="137"/>
      <c r="AA37" s="137"/>
      <c r="AB37" s="137"/>
      <c r="AC37" s="137"/>
      <c r="AD37" s="236" t="s">
        <v>31</v>
      </c>
      <c r="AE37" s="220"/>
      <c r="AF37" s="134" t="s">
        <v>35</v>
      </c>
      <c r="AG37" s="150"/>
      <c r="AH37" s="148"/>
      <c r="AI37" s="148"/>
      <c r="AJ37" s="149"/>
      <c r="AK37" s="146"/>
      <c r="AL37" s="146"/>
    </row>
    <row r="38" spans="3:38" x14ac:dyDescent="0.3">
      <c r="C38" s="229">
        <f t="shared" si="2"/>
        <v>43937</v>
      </c>
      <c r="E38" s="38">
        <v>223691</v>
      </c>
      <c r="F38" s="7"/>
      <c r="G38" s="7">
        <f>75317</f>
        <v>75317</v>
      </c>
      <c r="H38" s="7"/>
      <c r="I38" s="7">
        <v>15884</v>
      </c>
      <c r="J38" s="156"/>
      <c r="K38" s="7">
        <f t="shared" si="6"/>
        <v>314892</v>
      </c>
      <c r="L38" s="6"/>
      <c r="M38" s="45">
        <f t="shared" si="7"/>
        <v>4.8158602508454718E-2</v>
      </c>
      <c r="N38" s="45"/>
      <c r="O38" s="45"/>
      <c r="P38" s="6"/>
      <c r="Q38" s="7">
        <f>14832+3518+446</f>
        <v>18796</v>
      </c>
      <c r="R38" s="6"/>
      <c r="S38" s="45">
        <f t="shared" si="5"/>
        <v>5.9690306517790226E-2</v>
      </c>
      <c r="U38">
        <f t="shared" si="1"/>
        <v>28</v>
      </c>
      <c r="X38" s="1"/>
      <c r="Y38" s="125"/>
      <c r="Z38" s="137" t="s">
        <v>39</v>
      </c>
      <c r="AA38" s="137"/>
      <c r="AB38" s="137"/>
      <c r="AC38" s="137"/>
      <c r="AD38" s="222">
        <v>20100000</v>
      </c>
      <c r="AE38" s="220"/>
      <c r="AF38" s="135">
        <f>+AD38/AD$43</f>
        <v>6.0909090909090906E-2</v>
      </c>
      <c r="AG38" s="150"/>
      <c r="AH38" s="148"/>
      <c r="AI38" s="148"/>
      <c r="AJ38" s="149"/>
      <c r="AK38" s="147"/>
      <c r="AL38" s="147"/>
    </row>
    <row r="39" spans="3:38" x14ac:dyDescent="0.3">
      <c r="C39" s="229">
        <f t="shared" si="2"/>
        <v>43938</v>
      </c>
      <c r="E39" s="38">
        <v>230597</v>
      </c>
      <c r="F39" s="7"/>
      <c r="G39" s="7">
        <f>78467</f>
        <v>78467</v>
      </c>
      <c r="H39" s="7"/>
      <c r="I39" s="7">
        <v>16809</v>
      </c>
      <c r="J39" s="156"/>
      <c r="K39" s="7">
        <f t="shared" si="6"/>
        <v>325873</v>
      </c>
      <c r="L39" s="6"/>
      <c r="M39" s="45">
        <f t="shared" si="7"/>
        <v>3.4872273668432353E-2</v>
      </c>
      <c r="N39" s="45"/>
      <c r="O39" s="45"/>
      <c r="P39" s="6"/>
      <c r="Q39" s="7">
        <f>17131+3840+1036</f>
        <v>22007</v>
      </c>
      <c r="R39" s="6"/>
      <c r="S39" s="45">
        <f t="shared" si="5"/>
        <v>6.7532443620674315E-2</v>
      </c>
      <c r="U39">
        <f t="shared" si="1"/>
        <v>29</v>
      </c>
      <c r="X39" s="108"/>
      <c r="Y39" s="125"/>
      <c r="Z39" s="137" t="s">
        <v>60</v>
      </c>
      <c r="AA39" s="137"/>
      <c r="AB39" s="137"/>
      <c r="AC39" s="137"/>
      <c r="AD39" s="220">
        <v>4900000</v>
      </c>
      <c r="AE39" s="220"/>
      <c r="AF39" s="135">
        <f>+AD39/AD$43</f>
        <v>1.4848484848484849E-2</v>
      </c>
      <c r="AG39" s="237"/>
      <c r="AH39" s="235"/>
      <c r="AI39" s="235"/>
      <c r="AJ39" s="149"/>
      <c r="AK39" s="147"/>
      <c r="AL39" s="147"/>
    </row>
    <row r="40" spans="3:38" x14ac:dyDescent="0.3">
      <c r="C40" s="231">
        <f t="shared" si="2"/>
        <v>43939</v>
      </c>
      <c r="D40" s="188"/>
      <c r="E40" s="191">
        <v>238767</v>
      </c>
      <c r="F40" s="190"/>
      <c r="G40" s="190">
        <f>81420</f>
        <v>81420</v>
      </c>
      <c r="H40" s="190"/>
      <c r="I40" s="190">
        <v>17550</v>
      </c>
      <c r="J40" s="193"/>
      <c r="K40" s="190">
        <f t="shared" si="6"/>
        <v>337737</v>
      </c>
      <c r="L40" s="188"/>
      <c r="M40" s="192">
        <f t="shared" si="7"/>
        <v>3.6406821062192937E-2</v>
      </c>
      <c r="N40" s="192"/>
      <c r="O40" s="192"/>
      <c r="P40" s="188"/>
      <c r="Q40" s="190">
        <f>17671+4070+1086</f>
        <v>22827</v>
      </c>
      <c r="R40" s="188"/>
      <c r="S40" s="192">
        <f t="shared" si="5"/>
        <v>6.7588093694205847E-2</v>
      </c>
      <c r="T40" s="188"/>
      <c r="U40" s="189">
        <f t="shared" si="1"/>
        <v>30</v>
      </c>
      <c r="X40" s="108"/>
      <c r="Y40" s="125"/>
      <c r="Z40" s="137" t="s">
        <v>97</v>
      </c>
      <c r="AA40" s="137"/>
      <c r="AB40" s="137"/>
      <c r="AC40" s="137"/>
      <c r="AD40" s="220">
        <v>6000000</v>
      </c>
      <c r="AE40" s="220"/>
      <c r="AF40" s="135">
        <f>+AD40/AD$43</f>
        <v>1.8181818181818181E-2</v>
      </c>
      <c r="AG40" s="150"/>
      <c r="AH40" s="148"/>
      <c r="AI40" s="148"/>
      <c r="AJ40" s="149"/>
      <c r="AK40" s="147"/>
      <c r="AL40" s="147"/>
    </row>
    <row r="41" spans="3:38" ht="15" thickBot="1" x14ac:dyDescent="0.35">
      <c r="C41" s="229">
        <f t="shared" si="2"/>
        <v>43940</v>
      </c>
      <c r="E41" s="38">
        <v>242570</v>
      </c>
      <c r="F41" s="7"/>
      <c r="G41" s="7">
        <f>85301</f>
        <v>85301</v>
      </c>
      <c r="H41" s="7"/>
      <c r="I41" s="7">
        <v>17550</v>
      </c>
      <c r="J41" s="156"/>
      <c r="K41" s="7">
        <f t="shared" si="6"/>
        <v>345421</v>
      </c>
      <c r="L41" s="6"/>
      <c r="M41" s="45">
        <f t="shared" si="7"/>
        <v>2.2751430847079236E-2</v>
      </c>
      <c r="N41" s="45"/>
      <c r="O41" s="45"/>
      <c r="P41" s="6"/>
      <c r="Q41" s="7">
        <f>17428+4362+1086</f>
        <v>22876</v>
      </c>
      <c r="R41" s="6"/>
      <c r="S41" s="45">
        <f t="shared" si="5"/>
        <v>6.6226430935003952E-2</v>
      </c>
      <c r="U41">
        <f t="shared" si="1"/>
        <v>31</v>
      </c>
      <c r="X41" s="108"/>
      <c r="Y41" s="125"/>
      <c r="Z41" s="220" t="s">
        <v>34</v>
      </c>
      <c r="AA41" s="220"/>
      <c r="AB41" s="220"/>
      <c r="AC41" s="220"/>
      <c r="AD41" s="219">
        <f>SUM(AD38:AE40)</f>
        <v>31000000</v>
      </c>
      <c r="AE41" s="220"/>
      <c r="AF41" s="136">
        <f>+AD41/AD43</f>
        <v>9.3939393939393934E-2</v>
      </c>
      <c r="AG41" s="150"/>
      <c r="AH41" s="148"/>
      <c r="AI41" s="148"/>
      <c r="AJ41" s="149"/>
      <c r="AK41" s="147"/>
      <c r="AL41" s="147"/>
    </row>
    <row r="42" spans="3:38" ht="15" thickTop="1" x14ac:dyDescent="0.3">
      <c r="C42" s="229">
        <f t="shared" si="2"/>
        <v>43941</v>
      </c>
      <c r="E42" s="38">
        <v>253060</v>
      </c>
      <c r="F42" s="7"/>
      <c r="G42" s="7">
        <f>88722</f>
        <v>88722</v>
      </c>
      <c r="H42" s="7"/>
      <c r="I42" s="7">
        <v>19815</v>
      </c>
      <c r="J42" s="156"/>
      <c r="K42" s="7">
        <f t="shared" si="6"/>
        <v>361597</v>
      </c>
      <c r="L42" s="6"/>
      <c r="M42" s="45">
        <f t="shared" si="7"/>
        <v>4.6829810578974645E-2</v>
      </c>
      <c r="N42" s="45"/>
      <c r="O42" s="45"/>
      <c r="P42" s="6"/>
      <c r="Q42" s="7">
        <f>18611+4496+1331</f>
        <v>24438</v>
      </c>
      <c r="R42" s="6"/>
      <c r="S42" s="45">
        <f t="shared" si="5"/>
        <v>6.7583525305796227E-2</v>
      </c>
      <c r="U42">
        <f t="shared" si="1"/>
        <v>32</v>
      </c>
      <c r="X42" s="1"/>
      <c r="Y42" s="125"/>
      <c r="Z42" s="137"/>
      <c r="AA42" s="137"/>
      <c r="AB42" s="137"/>
      <c r="AC42" s="137"/>
      <c r="AD42" s="137"/>
      <c r="AE42" s="137"/>
      <c r="AF42" s="137"/>
      <c r="AG42" s="150"/>
      <c r="AH42" s="148"/>
      <c r="AI42" s="148"/>
      <c r="AJ42" s="149"/>
      <c r="AK42" s="148"/>
      <c r="AL42" s="148"/>
    </row>
    <row r="43" spans="3:38" ht="15" thickBot="1" x14ac:dyDescent="0.35">
      <c r="C43" s="229">
        <f t="shared" si="2"/>
        <v>43942</v>
      </c>
      <c r="E43" s="38">
        <v>258361</v>
      </c>
      <c r="F43" s="7"/>
      <c r="G43" s="7">
        <f>92387</f>
        <v>92387</v>
      </c>
      <c r="H43" s="7"/>
      <c r="I43" s="7">
        <v>20360</v>
      </c>
      <c r="J43" s="156"/>
      <c r="K43" s="7">
        <f t="shared" si="6"/>
        <v>371108</v>
      </c>
      <c r="L43" s="6"/>
      <c r="M43" s="45">
        <f t="shared" si="7"/>
        <v>2.6302762467608969E-2</v>
      </c>
      <c r="N43" s="45"/>
      <c r="O43" s="45"/>
      <c r="P43" s="6"/>
      <c r="Q43" s="7">
        <f>18821+4520+1423</f>
        <v>24764</v>
      </c>
      <c r="R43" s="6"/>
      <c r="S43" s="45">
        <f t="shared" si="5"/>
        <v>6.672990072970672E-2</v>
      </c>
      <c r="U43">
        <f t="shared" si="1"/>
        <v>33</v>
      </c>
      <c r="X43" s="1"/>
      <c r="Y43" s="125"/>
      <c r="Z43" s="137" t="s">
        <v>42</v>
      </c>
      <c r="AA43" s="137"/>
      <c r="AB43" s="137"/>
      <c r="AC43" s="137"/>
      <c r="AD43" s="219">
        <v>330000000</v>
      </c>
      <c r="AE43" s="220"/>
      <c r="AF43" s="233"/>
      <c r="AG43" s="150"/>
      <c r="AH43" s="148"/>
      <c r="AI43" s="148"/>
      <c r="AJ43" s="148"/>
      <c r="AK43" s="148"/>
      <c r="AL43" s="148"/>
    </row>
    <row r="44" spans="3:38" ht="15.6" thickTop="1" thickBot="1" x14ac:dyDescent="0.35">
      <c r="C44" s="229">
        <f t="shared" si="2"/>
        <v>43943</v>
      </c>
      <c r="E44" s="38">
        <v>263292</v>
      </c>
      <c r="F44" s="7"/>
      <c r="G44" s="7">
        <f>95418</f>
        <v>95418</v>
      </c>
      <c r="H44" s="7"/>
      <c r="I44" s="7">
        <v>22469</v>
      </c>
      <c r="J44" s="156"/>
      <c r="K44" s="7">
        <f t="shared" si="6"/>
        <v>381179</v>
      </c>
      <c r="L44" s="6"/>
      <c r="M44" s="45">
        <f t="shared" si="7"/>
        <v>2.7137652650980306E-2</v>
      </c>
      <c r="N44" s="45"/>
      <c r="O44" s="45"/>
      <c r="P44" s="6"/>
      <c r="Q44" s="7">
        <f>19413+5129+1544</f>
        <v>26086</v>
      </c>
      <c r="R44" s="6"/>
      <c r="S44" s="45">
        <f t="shared" si="5"/>
        <v>6.8435039705755041E-2</v>
      </c>
      <c r="U44">
        <f t="shared" si="1"/>
        <v>34</v>
      </c>
      <c r="X44" s="1"/>
      <c r="Y44" s="126"/>
      <c r="Z44" s="138"/>
      <c r="AA44" s="138"/>
      <c r="AB44" s="138"/>
      <c r="AC44" s="138"/>
      <c r="AD44" s="138"/>
      <c r="AE44" s="138"/>
      <c r="AF44" s="238"/>
      <c r="AG44" s="151"/>
      <c r="AH44" s="148"/>
      <c r="AI44" s="148"/>
      <c r="AJ44" s="148"/>
      <c r="AK44" s="148"/>
      <c r="AL44" s="148"/>
    </row>
    <row r="45" spans="3:38" x14ac:dyDescent="0.3">
      <c r="C45" s="229">
        <f t="shared" si="2"/>
        <v>43944</v>
      </c>
      <c r="E45" s="38">
        <v>271145</v>
      </c>
      <c r="F45" s="7"/>
      <c r="G45" s="7">
        <f>99989</f>
        <v>99989</v>
      </c>
      <c r="H45" s="7"/>
      <c r="I45" s="7">
        <v>23128</v>
      </c>
      <c r="J45" s="156"/>
      <c r="K45" s="7">
        <f t="shared" si="6"/>
        <v>394262</v>
      </c>
      <c r="L45" s="6"/>
      <c r="M45" s="45">
        <f t="shared" si="7"/>
        <v>3.4322457428137436E-2</v>
      </c>
      <c r="N45" s="45"/>
      <c r="O45" s="45"/>
      <c r="P45" s="6"/>
      <c r="Q45" s="7">
        <f>20971+5426+1637</f>
        <v>28034</v>
      </c>
      <c r="R45" s="6"/>
      <c r="S45" s="45">
        <f t="shared" si="5"/>
        <v>7.110500124282837E-2</v>
      </c>
      <c r="U45">
        <f t="shared" si="1"/>
        <v>35</v>
      </c>
      <c r="AE45" s="160"/>
      <c r="AH45" s="149"/>
      <c r="AI45" s="149"/>
      <c r="AJ45" s="149"/>
      <c r="AK45" s="149"/>
      <c r="AL45" s="149"/>
    </row>
    <row r="46" spans="3:38" x14ac:dyDescent="0.3">
      <c r="C46" s="229">
        <f t="shared" si="2"/>
        <v>43945</v>
      </c>
      <c r="E46" s="38">
        <v>271590</v>
      </c>
      <c r="F46" s="7"/>
      <c r="G46" s="7">
        <f>100025</f>
        <v>100025</v>
      </c>
      <c r="H46" s="7"/>
      <c r="I46" s="7">
        <v>23936</v>
      </c>
      <c r="J46" s="156"/>
      <c r="K46" s="7">
        <f t="shared" si="6"/>
        <v>395551</v>
      </c>
      <c r="L46" s="6"/>
      <c r="M46" s="45">
        <f t="shared" si="7"/>
        <v>3.2693995363489254E-3</v>
      </c>
      <c r="N46" s="45"/>
      <c r="O46" s="45"/>
      <c r="P46" s="6"/>
      <c r="Q46" s="7">
        <f>21349+5426+1767</f>
        <v>28542</v>
      </c>
      <c r="R46" s="6"/>
      <c r="S46" s="45">
        <f t="shared" si="5"/>
        <v>7.2157572601257491E-2</v>
      </c>
      <c r="U46">
        <f t="shared" si="1"/>
        <v>36</v>
      </c>
      <c r="AH46" s="149"/>
      <c r="AI46" s="149"/>
      <c r="AJ46" s="149"/>
      <c r="AK46" s="149"/>
      <c r="AL46" s="149"/>
    </row>
    <row r="47" spans="3:38" x14ac:dyDescent="0.3">
      <c r="C47" s="229">
        <f t="shared" si="2"/>
        <v>43946</v>
      </c>
      <c r="E47" s="38">
        <v>282143</v>
      </c>
      <c r="F47" s="7"/>
      <c r="G47" s="7">
        <f>105498</f>
        <v>105498</v>
      </c>
      <c r="H47" s="7"/>
      <c r="I47" s="7">
        <v>24583</v>
      </c>
      <c r="J47" s="156"/>
      <c r="K47" s="7">
        <f t="shared" si="6"/>
        <v>412224</v>
      </c>
      <c r="L47" s="6"/>
      <c r="M47" s="45">
        <f t="shared" si="7"/>
        <v>4.2151328147318548E-2</v>
      </c>
      <c r="N47" s="45"/>
      <c r="O47" s="45"/>
      <c r="P47" s="6"/>
      <c r="Q47" s="7">
        <f>22009+5914+1865</f>
        <v>29788</v>
      </c>
      <c r="R47" s="6"/>
      <c r="S47" s="45">
        <f t="shared" si="5"/>
        <v>7.2261682968483149E-2</v>
      </c>
      <c r="U47">
        <f t="shared" si="1"/>
        <v>37</v>
      </c>
    </row>
    <row r="48" spans="3:38" x14ac:dyDescent="0.3">
      <c r="C48" s="229">
        <f t="shared" si="2"/>
        <v>43947</v>
      </c>
      <c r="E48" s="38">
        <v>288045</v>
      </c>
      <c r="F48" s="7"/>
      <c r="G48" s="7">
        <f>109038</f>
        <v>109038</v>
      </c>
      <c r="H48" s="7"/>
      <c r="I48" s="7">
        <v>25269</v>
      </c>
      <c r="J48" s="156"/>
      <c r="K48" s="7">
        <f t="shared" si="6"/>
        <v>422352</v>
      </c>
      <c r="L48" s="6"/>
      <c r="M48" s="45">
        <f t="shared" si="7"/>
        <v>2.456916627852818E-2</v>
      </c>
      <c r="N48" s="45"/>
      <c r="O48" s="45"/>
      <c r="P48" s="6"/>
      <c r="Q48" s="7">
        <f>22269+5938+1924</f>
        <v>30131</v>
      </c>
      <c r="R48" s="6"/>
      <c r="S48" s="45">
        <f t="shared" si="5"/>
        <v>7.134096677652764E-2</v>
      </c>
      <c r="U48">
        <f t="shared" si="1"/>
        <v>38</v>
      </c>
      <c r="AD48" s="87">
        <v>14468</v>
      </c>
    </row>
    <row r="49" spans="3:30" x14ac:dyDescent="0.3">
      <c r="C49" s="229">
        <f t="shared" si="2"/>
        <v>43948</v>
      </c>
      <c r="E49" s="38">
        <v>291996</v>
      </c>
      <c r="F49" s="7"/>
      <c r="G49" s="7">
        <f>111188</f>
        <v>111188</v>
      </c>
      <c r="H49" s="7"/>
      <c r="I49" s="7">
        <v>25269</v>
      </c>
      <c r="J49" s="156"/>
      <c r="K49" s="7">
        <f t="shared" si="6"/>
        <v>428453</v>
      </c>
      <c r="L49" s="6"/>
      <c r="M49" s="45">
        <f t="shared" si="7"/>
        <v>1.4445296814031897E-2</v>
      </c>
      <c r="N49" s="45"/>
      <c r="O49" s="45"/>
      <c r="P49" s="6"/>
      <c r="Q49" s="7">
        <f>22668+6044+1924</f>
        <v>30636</v>
      </c>
      <c r="R49" s="6"/>
      <c r="S49" s="45">
        <f t="shared" si="5"/>
        <v>7.1503758872034973E-2</v>
      </c>
      <c r="U49">
        <f t="shared" si="1"/>
        <v>39</v>
      </c>
    </row>
    <row r="50" spans="3:30" x14ac:dyDescent="0.3">
      <c r="C50" s="229">
        <f t="shared" si="2"/>
        <v>43949</v>
      </c>
      <c r="E50" s="38">
        <v>295106</v>
      </c>
      <c r="F50" s="7"/>
      <c r="G50" s="7">
        <f>113856</f>
        <v>113856</v>
      </c>
      <c r="H50" s="7"/>
      <c r="I50" s="7">
        <v>26312</v>
      </c>
      <c r="J50" s="156"/>
      <c r="K50" s="7">
        <f t="shared" si="6"/>
        <v>435274</v>
      </c>
      <c r="L50" s="6"/>
      <c r="M50" s="45">
        <f t="shared" si="7"/>
        <v>1.5920065911546891E-2</v>
      </c>
      <c r="N50" s="45"/>
      <c r="O50" s="45"/>
      <c r="P50" s="6"/>
      <c r="Q50" s="7">
        <f>22912+6442+2087</f>
        <v>31441</v>
      </c>
      <c r="R50" s="6"/>
      <c r="S50" s="45">
        <f t="shared" si="5"/>
        <v>7.223266264467898E-2</v>
      </c>
      <c r="U50">
        <f t="shared" si="1"/>
        <v>40</v>
      </c>
      <c r="AD50" s="339">
        <f>(+AD48/AD40)*100000</f>
        <v>241.13333333333335</v>
      </c>
    </row>
    <row r="51" spans="3:30" x14ac:dyDescent="0.3">
      <c r="C51" s="229">
        <f t="shared" si="2"/>
        <v>43950</v>
      </c>
      <c r="E51" s="38">
        <v>299691</v>
      </c>
      <c r="F51" s="7"/>
      <c r="G51" s="7">
        <f>116365</f>
        <v>116365</v>
      </c>
      <c r="H51" s="7"/>
      <c r="I51" s="7">
        <v>26751</v>
      </c>
      <c r="J51" s="156"/>
      <c r="K51" s="7">
        <f t="shared" si="6"/>
        <v>442807</v>
      </c>
      <c r="L51" s="6"/>
      <c r="M51" s="45">
        <f t="shared" si="7"/>
        <v>1.7306340374109181E-2</v>
      </c>
      <c r="N51" s="45"/>
      <c r="O51" s="45"/>
      <c r="P51" s="6"/>
      <c r="Q51" s="7">
        <f>23477+6711+2169</f>
        <v>32357</v>
      </c>
      <c r="R51" s="6"/>
      <c r="S51" s="45">
        <f t="shared" si="5"/>
        <v>7.3072467237419461E-2</v>
      </c>
      <c r="U51">
        <f t="shared" si="1"/>
        <v>41</v>
      </c>
    </row>
    <row r="52" spans="3:30" x14ac:dyDescent="0.3">
      <c r="C52" s="229">
        <f t="shared" si="2"/>
        <v>43951</v>
      </c>
      <c r="E52" s="38">
        <v>304372</v>
      </c>
      <c r="F52" s="7"/>
      <c r="G52" s="7">
        <v>118652</v>
      </c>
      <c r="H52" s="7"/>
      <c r="I52" s="7">
        <v>27700</v>
      </c>
      <c r="J52" s="156"/>
      <c r="K52" s="7">
        <f t="shared" si="6"/>
        <v>450724</v>
      </c>
      <c r="L52" s="6"/>
      <c r="M52" s="45">
        <f t="shared" si="7"/>
        <v>1.7879121152104643E-2</v>
      </c>
      <c r="N52" s="45"/>
      <c r="O52" s="45"/>
      <c r="P52" s="6"/>
      <c r="Q52" s="7">
        <f>23545+7228+2257</f>
        <v>33030</v>
      </c>
      <c r="R52" s="6"/>
      <c r="S52" s="45">
        <f t="shared" si="5"/>
        <v>7.3282097247983249E-2</v>
      </c>
      <c r="U52">
        <f t="shared" si="1"/>
        <v>42</v>
      </c>
    </row>
    <row r="53" spans="3:30" x14ac:dyDescent="0.3">
      <c r="C53" s="229">
        <f t="shared" si="2"/>
        <v>43952</v>
      </c>
      <c r="E53" s="38">
        <v>308314</v>
      </c>
      <c r="F53" s="7"/>
      <c r="G53" s="7">
        <v>121190</v>
      </c>
      <c r="H53" s="7"/>
      <c r="I53" s="7">
        <v>28855</v>
      </c>
      <c r="J53" s="156"/>
      <c r="K53" s="7">
        <f t="shared" ref="K53" si="8">SUM(E53:I53)</f>
        <v>458359</v>
      </c>
      <c r="L53" s="6"/>
      <c r="M53" s="45">
        <f t="shared" ref="M53" si="9">+(K53-K52)/K52</f>
        <v>1.6939413033253164E-2</v>
      </c>
      <c r="N53" s="45"/>
      <c r="O53" s="45"/>
      <c r="P53" s="6"/>
      <c r="Q53" s="7">
        <f>23981+7538+2341</f>
        <v>33860</v>
      </c>
      <c r="R53" s="6"/>
      <c r="S53" s="45">
        <f t="shared" ref="S53" si="10">+Q53/K53</f>
        <v>7.3872226791663304E-2</v>
      </c>
      <c r="U53">
        <f t="shared" si="1"/>
        <v>43</v>
      </c>
    </row>
    <row r="54" spans="3:30" x14ac:dyDescent="0.3">
      <c r="C54" s="229">
        <f t="shared" si="2"/>
        <v>43953</v>
      </c>
      <c r="E54" s="38"/>
      <c r="F54" s="7"/>
      <c r="G54" s="7"/>
      <c r="H54" s="7"/>
      <c r="I54" s="7"/>
      <c r="J54" s="156"/>
      <c r="K54" s="7"/>
      <c r="L54" s="6"/>
      <c r="M54" s="45"/>
      <c r="N54" s="45"/>
      <c r="O54" s="45"/>
      <c r="P54" s="6"/>
      <c r="Q54" s="7"/>
      <c r="R54" s="6"/>
      <c r="S54" s="45"/>
      <c r="U54">
        <f t="shared" si="1"/>
        <v>44</v>
      </c>
    </row>
    <row r="55" spans="3:30" x14ac:dyDescent="0.3">
      <c r="C55" s="229">
        <f t="shared" si="2"/>
        <v>43954</v>
      </c>
      <c r="E55" s="38"/>
      <c r="F55" s="7"/>
      <c r="G55" s="7"/>
      <c r="H55" s="7"/>
      <c r="I55" s="7"/>
      <c r="J55" s="156"/>
      <c r="K55" s="7"/>
      <c r="L55" s="6"/>
      <c r="M55" s="45"/>
      <c r="N55" s="45"/>
      <c r="O55" s="45"/>
      <c r="P55" s="6"/>
      <c r="Q55" s="7"/>
      <c r="R55" s="6"/>
      <c r="S55" s="45"/>
      <c r="U55">
        <f t="shared" si="1"/>
        <v>45</v>
      </c>
    </row>
    <row r="56" spans="3:30" x14ac:dyDescent="0.3">
      <c r="C56" s="229">
        <f t="shared" si="2"/>
        <v>43955</v>
      </c>
      <c r="E56" s="38"/>
      <c r="F56" s="7"/>
      <c r="G56" s="7"/>
      <c r="H56" s="7"/>
      <c r="I56" s="7"/>
      <c r="J56" s="156"/>
      <c r="K56" s="7"/>
      <c r="L56" s="6"/>
      <c r="M56" s="45"/>
      <c r="N56" s="45"/>
      <c r="O56" s="45"/>
      <c r="P56" s="6"/>
      <c r="Q56" s="7"/>
      <c r="R56" s="6"/>
      <c r="S56" s="45"/>
      <c r="U56">
        <f t="shared" si="1"/>
        <v>46</v>
      </c>
    </row>
    <row r="57" spans="3:30" x14ac:dyDescent="0.3">
      <c r="C57" s="229">
        <f t="shared" si="2"/>
        <v>43956</v>
      </c>
      <c r="E57" s="40"/>
      <c r="F57" s="41"/>
      <c r="G57" s="41"/>
      <c r="H57" s="41"/>
      <c r="I57" s="41"/>
      <c r="J57" s="41"/>
      <c r="K57" s="41"/>
      <c r="L57" s="42"/>
      <c r="M57" s="46"/>
      <c r="N57" s="46"/>
      <c r="O57" s="46"/>
      <c r="P57" s="42"/>
      <c r="Q57" s="42"/>
      <c r="R57" s="42"/>
      <c r="S57" s="43"/>
      <c r="U57">
        <f t="shared" si="1"/>
        <v>47</v>
      </c>
    </row>
    <row r="58" spans="3:30" x14ac:dyDescent="0.3">
      <c r="E58" s="87"/>
      <c r="F58" s="1"/>
      <c r="G58" s="87"/>
      <c r="H58" s="87"/>
      <c r="I58" s="87"/>
      <c r="J58" s="1"/>
      <c r="K58" s="87"/>
      <c r="Q58" s="87"/>
    </row>
    <row r="59" spans="3:30" x14ac:dyDescent="0.3">
      <c r="C59" s="239" t="s">
        <v>84</v>
      </c>
      <c r="E59" s="87">
        <f>+E53</f>
        <v>308314</v>
      </c>
      <c r="F59" s="87">
        <f t="shared" ref="F59" si="11">+F52</f>
        <v>0</v>
      </c>
      <c r="G59" s="87">
        <f t="shared" ref="G59:Q59" si="12">+G53</f>
        <v>121190</v>
      </c>
      <c r="H59" s="87">
        <f t="shared" si="12"/>
        <v>0</v>
      </c>
      <c r="I59" s="87">
        <f t="shared" si="12"/>
        <v>28855</v>
      </c>
      <c r="J59" s="87">
        <f t="shared" si="12"/>
        <v>0</v>
      </c>
      <c r="K59" s="87">
        <f t="shared" si="12"/>
        <v>458359</v>
      </c>
      <c r="L59" s="87">
        <f t="shared" si="12"/>
        <v>0</v>
      </c>
      <c r="M59" s="87"/>
      <c r="N59" s="87"/>
      <c r="O59" s="87"/>
      <c r="P59" s="87">
        <f t="shared" si="12"/>
        <v>0</v>
      </c>
      <c r="Q59" s="87">
        <f t="shared" si="12"/>
        <v>33860</v>
      </c>
    </row>
    <row r="61" spans="3:30" x14ac:dyDescent="0.3">
      <c r="K61" s="1"/>
    </row>
    <row r="62" spans="3:30" x14ac:dyDescent="0.3">
      <c r="C62" s="167" t="s">
        <v>41</v>
      </c>
      <c r="D62" s="168"/>
      <c r="E62" s="168" t="s">
        <v>43</v>
      </c>
      <c r="F62" s="14"/>
      <c r="G62" s="14"/>
      <c r="H62" s="14"/>
      <c r="I62" s="92"/>
      <c r="J62" s="14"/>
      <c r="K62" s="14"/>
      <c r="L62" s="14"/>
      <c r="M62" s="14"/>
      <c r="N62" s="14"/>
      <c r="O62" s="14"/>
      <c r="P62" s="14"/>
      <c r="Q62" s="14"/>
    </row>
    <row r="67" spans="39:39" x14ac:dyDescent="0.3">
      <c r="AM67" s="1">
        <v>3797000</v>
      </c>
    </row>
    <row r="69" spans="39:39" x14ac:dyDescent="0.3">
      <c r="AM69" s="1">
        <v>30000</v>
      </c>
    </row>
    <row r="71" spans="39:39" x14ac:dyDescent="0.3">
      <c r="AM71" s="344">
        <f>+AM69/AM67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P37"/>
  <sheetViews>
    <sheetView workbookViewId="0">
      <selection activeCell="I42" sqref="I4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</cols>
  <sheetData>
    <row r="1" spans="2:6" ht="15.6" x14ac:dyDescent="0.3">
      <c r="B1" s="324" t="s">
        <v>5</v>
      </c>
      <c r="C1" s="324"/>
      <c r="D1" s="324"/>
    </row>
    <row r="2" spans="2:6" ht="15.6" x14ac:dyDescent="0.3">
      <c r="B2" s="324" t="s">
        <v>6</v>
      </c>
      <c r="C2" s="324"/>
      <c r="D2" s="324"/>
    </row>
    <row r="3" spans="2:6" ht="15.6" x14ac:dyDescent="0.3">
      <c r="B3" s="322" t="s">
        <v>14</v>
      </c>
      <c r="C3" s="322"/>
      <c r="D3" s="225"/>
    </row>
    <row r="4" spans="2:6" ht="15.6" x14ac:dyDescent="0.3">
      <c r="B4" s="322"/>
      <c r="C4" s="322"/>
      <c r="D4" s="225"/>
    </row>
    <row r="5" spans="2:6" ht="15.6" x14ac:dyDescent="0.3">
      <c r="B5" s="322"/>
      <c r="C5" t="s">
        <v>98</v>
      </c>
      <c r="D5" s="225"/>
      <c r="E5" t="s">
        <v>99</v>
      </c>
    </row>
    <row r="6" spans="2:6" ht="15.6" x14ac:dyDescent="0.3">
      <c r="B6" s="322"/>
      <c r="C6" s="322"/>
      <c r="D6" s="228"/>
      <c r="E6" t="s">
        <v>100</v>
      </c>
      <c r="F6" t="s">
        <v>101</v>
      </c>
    </row>
    <row r="7" spans="2:6" ht="15.6" x14ac:dyDescent="0.3">
      <c r="B7" s="322"/>
      <c r="C7" s="322"/>
      <c r="D7" s="228"/>
      <c r="E7" t="s">
        <v>102</v>
      </c>
      <c r="F7" t="s">
        <v>105</v>
      </c>
    </row>
    <row r="8" spans="2:6" ht="15.6" x14ac:dyDescent="0.3">
      <c r="B8" s="322"/>
      <c r="C8" s="322"/>
      <c r="D8" s="228"/>
      <c r="E8" t="s">
        <v>103</v>
      </c>
      <c r="F8" t="s">
        <v>104</v>
      </c>
    </row>
    <row r="9" spans="2:6" ht="15.6" x14ac:dyDescent="0.3">
      <c r="B9" s="322"/>
      <c r="C9" s="322"/>
      <c r="D9" s="228"/>
    </row>
    <row r="10" spans="2:6" ht="15.6" x14ac:dyDescent="0.3">
      <c r="B10" s="322"/>
      <c r="C10" s="345" t="s">
        <v>106</v>
      </c>
      <c r="D10" s="228"/>
      <c r="E10" t="s">
        <v>109</v>
      </c>
    </row>
    <row r="11" spans="2:6" ht="15.6" x14ac:dyDescent="0.3">
      <c r="B11" s="322"/>
      <c r="C11" s="322"/>
      <c r="D11" s="228"/>
      <c r="E11" t="s">
        <v>100</v>
      </c>
      <c r="F11" t="s">
        <v>107</v>
      </c>
    </row>
    <row r="12" spans="2:6" ht="15.6" x14ac:dyDescent="0.3">
      <c r="B12" s="322"/>
      <c r="C12" s="322"/>
      <c r="D12" s="228"/>
      <c r="E12" t="s">
        <v>102</v>
      </c>
      <c r="F12" t="s">
        <v>108</v>
      </c>
    </row>
    <row r="13" spans="2:6" ht="15.6" x14ac:dyDescent="0.3">
      <c r="B13" s="322"/>
      <c r="C13" s="322"/>
      <c r="D13" s="228"/>
      <c r="E13" t="s">
        <v>103</v>
      </c>
      <c r="F13" t="s">
        <v>108</v>
      </c>
    </row>
    <row r="14" spans="2:6" ht="15.6" x14ac:dyDescent="0.3">
      <c r="B14" s="322"/>
      <c r="C14" s="322"/>
      <c r="D14" s="228"/>
    </row>
    <row r="15" spans="2:6" ht="15.6" x14ac:dyDescent="0.3">
      <c r="B15" s="322"/>
      <c r="C15" s="322" t="s">
        <v>110</v>
      </c>
      <c r="D15" s="228"/>
      <c r="E15" t="s">
        <v>111</v>
      </c>
    </row>
    <row r="16" spans="2:6" x14ac:dyDescent="0.3">
      <c r="F16" t="s">
        <v>112</v>
      </c>
    </row>
    <row r="17" spans="3:16" ht="15" thickBot="1" x14ac:dyDescent="0.35">
      <c r="C17" s="1"/>
      <c r="D17" s="1"/>
      <c r="E17" s="1"/>
      <c r="F17" s="1"/>
      <c r="G17" s="1"/>
      <c r="H17" s="1"/>
      <c r="I17" s="128"/>
      <c r="J17" s="124"/>
      <c r="K17" s="124"/>
      <c r="L17" s="124"/>
      <c r="M17" s="124"/>
      <c r="N17" s="127"/>
      <c r="O17" s="124"/>
      <c r="P17" s="124"/>
    </row>
    <row r="18" spans="3:16" ht="15" thickBot="1" x14ac:dyDescent="0.35">
      <c r="C18" s="1"/>
      <c r="D18" s="390" t="s">
        <v>47</v>
      </c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2"/>
      <c r="P18" s="124"/>
    </row>
    <row r="19" spans="3:16" ht="15" thickBot="1" x14ac:dyDescent="0.35">
      <c r="C19" s="1"/>
      <c r="D19" s="200"/>
      <c r="E19" s="393" t="s">
        <v>78</v>
      </c>
      <c r="F19" s="393"/>
      <c r="G19" s="393"/>
      <c r="H19" s="393"/>
      <c r="I19" s="201" t="s">
        <v>77</v>
      </c>
      <c r="J19" s="202"/>
      <c r="K19" s="398" t="s">
        <v>75</v>
      </c>
      <c r="L19" s="398"/>
      <c r="M19" s="195"/>
      <c r="N19" s="199" t="s">
        <v>76</v>
      </c>
      <c r="O19" s="196"/>
      <c r="P19" s="153"/>
    </row>
    <row r="20" spans="3:16" x14ac:dyDescent="0.3">
      <c r="C20" s="1"/>
      <c r="D20" s="171"/>
      <c r="E20" s="172" t="s">
        <v>44</v>
      </c>
      <c r="F20" s="173"/>
      <c r="G20" s="172"/>
      <c r="H20" s="172"/>
      <c r="I20" s="127">
        <f>+'Main Table'!H38</f>
        <v>714676</v>
      </c>
      <c r="J20" s="174"/>
      <c r="K20" s="194"/>
      <c r="L20" s="194"/>
      <c r="M20" s="194"/>
      <c r="N20" s="194"/>
      <c r="O20" s="181"/>
      <c r="P20" s="124"/>
    </row>
    <row r="21" spans="3:16" x14ac:dyDescent="0.3">
      <c r="C21" s="1"/>
      <c r="D21" s="171"/>
      <c r="E21" s="172" t="s">
        <v>45</v>
      </c>
      <c r="F21" s="172" t="s">
        <v>4</v>
      </c>
      <c r="G21" s="172"/>
      <c r="H21" s="172"/>
      <c r="I21" s="175">
        <f>+'Main Table'!R51</f>
        <v>63857</v>
      </c>
      <c r="J21" s="174"/>
      <c r="K21" s="194"/>
      <c r="L21" s="194"/>
      <c r="M21" s="194"/>
      <c r="N21" s="194"/>
      <c r="O21" s="181"/>
      <c r="P21" s="124"/>
    </row>
    <row r="22" spans="3:16" x14ac:dyDescent="0.3">
      <c r="C22" s="1"/>
      <c r="D22" s="171"/>
      <c r="E22" s="172"/>
      <c r="F22" s="172" t="s">
        <v>46</v>
      </c>
      <c r="G22" s="172"/>
      <c r="H22" s="172"/>
      <c r="I22" s="213">
        <v>16481</v>
      </c>
      <c r="J22" s="174"/>
      <c r="K22" s="194"/>
      <c r="L22" s="175">
        <v>15226</v>
      </c>
      <c r="M22" s="194"/>
      <c r="N22" s="214">
        <f>+(I22-L22)/I22</f>
        <v>7.6148291972574486E-2</v>
      </c>
      <c r="O22" s="181"/>
      <c r="P22" s="124"/>
    </row>
    <row r="23" spans="3:16" x14ac:dyDescent="0.3">
      <c r="C23" s="1"/>
      <c r="D23" s="171"/>
      <c r="E23" s="172"/>
      <c r="F23" s="182" t="s">
        <v>73</v>
      </c>
      <c r="G23" s="182"/>
      <c r="H23" s="182"/>
      <c r="I23" s="175">
        <f>+I20-I21-I22</f>
        <v>634338</v>
      </c>
      <c r="J23" s="174"/>
      <c r="K23" s="194"/>
      <c r="L23" s="194"/>
      <c r="M23" s="194"/>
      <c r="N23" s="194"/>
      <c r="O23" s="181"/>
      <c r="P23" s="152"/>
    </row>
    <row r="24" spans="3:16" x14ac:dyDescent="0.3">
      <c r="C24" s="1"/>
      <c r="D24" s="171"/>
      <c r="E24" s="172" t="s">
        <v>80</v>
      </c>
      <c r="F24" s="174"/>
      <c r="G24" s="174"/>
      <c r="H24" s="174"/>
      <c r="I24" s="176">
        <f>+'Main Table'!AB58</f>
        <v>161536</v>
      </c>
      <c r="J24" s="174"/>
      <c r="K24" s="194"/>
      <c r="L24" s="194"/>
      <c r="M24" s="194"/>
      <c r="N24" s="194"/>
      <c r="O24" s="181"/>
      <c r="P24" s="152"/>
    </row>
    <row r="25" spans="3:16" x14ac:dyDescent="0.3">
      <c r="C25" s="1"/>
      <c r="D25" s="394" t="s">
        <v>50</v>
      </c>
      <c r="E25" s="395"/>
      <c r="F25" s="395"/>
      <c r="G25" s="395"/>
      <c r="H25" s="395"/>
      <c r="I25" s="177">
        <f>+I23-I24</f>
        <v>472802</v>
      </c>
      <c r="J25" s="174"/>
      <c r="K25" s="194"/>
      <c r="L25" s="194"/>
      <c r="M25" s="194"/>
      <c r="N25" s="194"/>
      <c r="O25" s="181"/>
      <c r="P25" s="152"/>
    </row>
    <row r="26" spans="3:16" x14ac:dyDescent="0.3">
      <c r="C26" s="1"/>
      <c r="D26" s="171"/>
      <c r="E26" s="172" t="s">
        <v>74</v>
      </c>
      <c r="F26" s="174"/>
      <c r="G26" s="174"/>
      <c r="H26" s="174"/>
      <c r="I26" s="176">
        <f>+I24</f>
        <v>161536</v>
      </c>
      <c r="J26" s="174"/>
      <c r="K26" s="194"/>
      <c r="L26" s="194"/>
      <c r="M26" s="194"/>
      <c r="N26" s="194"/>
      <c r="O26" s="181"/>
      <c r="P26" s="124"/>
    </row>
    <row r="27" spans="3:16" ht="15" thickBot="1" x14ac:dyDescent="0.35">
      <c r="C27" s="1"/>
      <c r="D27" s="394" t="s">
        <v>47</v>
      </c>
      <c r="E27" s="395"/>
      <c r="F27" s="395"/>
      <c r="G27" s="395"/>
      <c r="H27" s="395"/>
      <c r="I27" s="203">
        <f>+I25+I26</f>
        <v>634338</v>
      </c>
      <c r="J27" s="174"/>
      <c r="K27" s="399">
        <v>572617</v>
      </c>
      <c r="L27" s="399"/>
      <c r="M27" s="194"/>
      <c r="N27" s="204">
        <f>+I27-K27</f>
        <v>61721</v>
      </c>
      <c r="O27" s="181"/>
      <c r="P27" s="124"/>
    </row>
    <row r="28" spans="3:16" ht="15.6" thickTop="1" thickBot="1" x14ac:dyDescent="0.35">
      <c r="C28" s="14"/>
      <c r="D28" s="180"/>
      <c r="E28" s="396" t="s">
        <v>72</v>
      </c>
      <c r="F28" s="396"/>
      <c r="G28" s="396"/>
      <c r="H28" s="182"/>
      <c r="I28" s="340">
        <f>+I27/I32</f>
        <v>0.56085182833993208</v>
      </c>
      <c r="J28" s="194"/>
      <c r="K28" s="194"/>
      <c r="L28" s="194"/>
      <c r="M28" s="149"/>
      <c r="N28" s="216">
        <f>+N27/K27</f>
        <v>0.107787578783026</v>
      </c>
      <c r="O28" s="181"/>
      <c r="P28" s="1"/>
    </row>
    <row r="29" spans="3:16" ht="15.6" thickTop="1" thickBot="1" x14ac:dyDescent="0.35">
      <c r="C29" s="14"/>
      <c r="D29" s="178"/>
      <c r="E29" s="183"/>
      <c r="F29" s="183"/>
      <c r="G29" s="183"/>
      <c r="H29" s="183"/>
      <c r="I29" s="184"/>
      <c r="J29" s="179"/>
      <c r="K29" s="197"/>
      <c r="L29" s="197"/>
      <c r="M29" s="197"/>
      <c r="N29" s="197"/>
      <c r="O29" s="198"/>
      <c r="P29" s="1"/>
    </row>
    <row r="30" spans="3:16" ht="15" thickBot="1" x14ac:dyDescent="0.35">
      <c r="C30" s="14"/>
      <c r="D30" s="124"/>
      <c r="E30" s="149"/>
      <c r="F30" s="149"/>
      <c r="G30" s="149"/>
      <c r="H30" s="149"/>
      <c r="I30" s="149"/>
      <c r="J30" s="124"/>
      <c r="P30" s="124"/>
    </row>
    <row r="31" spans="3:16" ht="16.2" thickBot="1" x14ac:dyDescent="0.35">
      <c r="C31" s="124"/>
      <c r="D31" s="338"/>
      <c r="E31" s="405" t="s">
        <v>93</v>
      </c>
      <c r="F31" s="406"/>
      <c r="G31" s="406"/>
      <c r="H31" s="406"/>
      <c r="I31" s="406"/>
      <c r="J31" s="407"/>
      <c r="K31" s="337"/>
      <c r="L31" s="336" t="s">
        <v>10</v>
      </c>
      <c r="M31" s="335"/>
      <c r="N31" s="334"/>
      <c r="O31" s="149"/>
      <c r="P31" s="124"/>
    </row>
    <row r="32" spans="3:16" x14ac:dyDescent="0.3">
      <c r="C32" s="14"/>
      <c r="D32" s="325"/>
      <c r="E32" s="326" t="s">
        <v>91</v>
      </c>
      <c r="F32" s="30"/>
      <c r="G32" s="30"/>
      <c r="H32" s="30"/>
      <c r="I32" s="400">
        <f>+'Main Table'!H58</f>
        <v>1131026</v>
      </c>
      <c r="J32" s="400"/>
      <c r="K32" s="30"/>
      <c r="L32" s="31">
        <f>+I32/$I$32</f>
        <v>1</v>
      </c>
      <c r="M32" s="327"/>
      <c r="N32" s="124"/>
      <c r="O32" s="124"/>
      <c r="P32" s="124"/>
    </row>
    <row r="33" spans="3:16" x14ac:dyDescent="0.3">
      <c r="C33" s="14"/>
      <c r="D33" s="325"/>
      <c r="E33" s="326"/>
      <c r="F33" s="30"/>
      <c r="G33" s="30"/>
      <c r="H33" s="30"/>
      <c r="I33" s="30"/>
      <c r="J33" s="30"/>
      <c r="K33" s="30"/>
      <c r="L33" s="30"/>
      <c r="M33" s="327"/>
      <c r="N33" s="124"/>
      <c r="O33" s="124"/>
      <c r="P33" s="124"/>
    </row>
    <row r="34" spans="3:16" x14ac:dyDescent="0.3">
      <c r="D34" s="328"/>
      <c r="E34" s="27"/>
      <c r="F34" s="329" t="s">
        <v>92</v>
      </c>
      <c r="G34" s="329"/>
      <c r="H34" s="27"/>
      <c r="I34" s="401">
        <f>+I27</f>
        <v>634338</v>
      </c>
      <c r="J34" s="402"/>
      <c r="K34" s="27"/>
      <c r="L34" s="31">
        <f>+I34/$I$32</f>
        <v>0.56085182833993208</v>
      </c>
      <c r="M34" s="330"/>
      <c r="P34" s="298"/>
    </row>
    <row r="35" spans="3:16" x14ac:dyDescent="0.3">
      <c r="D35" s="328"/>
      <c r="E35" s="27"/>
      <c r="F35" s="27" t="s">
        <v>95</v>
      </c>
      <c r="G35" s="27"/>
      <c r="H35" s="27"/>
      <c r="I35" s="408">
        <f>+I21</f>
        <v>63857</v>
      </c>
      <c r="J35" s="409"/>
      <c r="K35" s="27"/>
      <c r="L35" s="31">
        <f>+I35/$I$32</f>
        <v>5.6459356372002056E-2</v>
      </c>
      <c r="M35" s="330"/>
      <c r="P35" s="339"/>
    </row>
    <row r="36" spans="3:16" ht="15" thickBot="1" x14ac:dyDescent="0.35">
      <c r="D36" s="328"/>
      <c r="E36" s="397" t="s">
        <v>94</v>
      </c>
      <c r="F36" s="397"/>
      <c r="G36" s="397"/>
      <c r="H36" s="341"/>
      <c r="I36" s="403">
        <f>+I32-I34-I35</f>
        <v>432831</v>
      </c>
      <c r="J36" s="404"/>
      <c r="K36" s="342"/>
      <c r="L36" s="343">
        <f>+I36/$I$32</f>
        <v>0.38268881528806586</v>
      </c>
      <c r="M36" s="330"/>
    </row>
    <row r="37" spans="3:16" ht="15.6" thickTop="1" thickBot="1" x14ac:dyDescent="0.35">
      <c r="D37" s="331"/>
      <c r="E37" s="332"/>
      <c r="F37" s="332"/>
      <c r="G37" s="332"/>
      <c r="H37" s="332"/>
      <c r="I37" s="332"/>
      <c r="J37" s="332"/>
      <c r="K37" s="332"/>
      <c r="L37" s="332"/>
      <c r="M37" s="333"/>
    </row>
  </sheetData>
  <mergeCells count="13"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64"/>
  <sheetViews>
    <sheetView topLeftCell="A28" workbookViewId="0">
      <selection activeCell="F68" sqref="F68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48" t="s">
        <v>5</v>
      </c>
      <c r="C1" s="348"/>
      <c r="D1" s="348"/>
    </row>
    <row r="2" spans="2:31" ht="15.6" x14ac:dyDescent="0.3">
      <c r="B2" s="348" t="s">
        <v>6</v>
      </c>
      <c r="C2" s="348"/>
      <c r="D2" s="348"/>
    </row>
    <row r="3" spans="2:31" ht="15.6" x14ac:dyDescent="0.3">
      <c r="B3" s="322" t="s">
        <v>14</v>
      </c>
      <c r="C3" s="322"/>
      <c r="D3" s="225"/>
    </row>
    <row r="4" spans="2:31" ht="15.6" x14ac:dyDescent="0.3">
      <c r="B4" s="226"/>
      <c r="C4" s="226"/>
      <c r="D4" s="225"/>
    </row>
    <row r="5" spans="2:31" ht="15.6" x14ac:dyDescent="0.3">
      <c r="B5" s="226"/>
      <c r="C5" s="226"/>
      <c r="D5" s="225" t="s">
        <v>86</v>
      </c>
      <c r="F5" s="323" t="s">
        <v>87</v>
      </c>
    </row>
    <row r="6" spans="2:31" ht="15.6" x14ac:dyDescent="0.3">
      <c r="B6" s="226"/>
      <c r="C6" s="226"/>
      <c r="D6" s="225"/>
      <c r="F6" t="s">
        <v>90</v>
      </c>
    </row>
    <row r="7" spans="2:31" ht="15.6" x14ac:dyDescent="0.3">
      <c r="B7" s="226"/>
      <c r="C7" s="226"/>
      <c r="D7" s="225"/>
      <c r="F7" s="323" t="s">
        <v>89</v>
      </c>
    </row>
    <row r="8" spans="2:31" ht="15.6" x14ac:dyDescent="0.3">
      <c r="B8" s="226"/>
      <c r="C8" s="226"/>
      <c r="D8" s="225"/>
      <c r="F8" s="323" t="s">
        <v>88</v>
      </c>
    </row>
    <row r="9" spans="2:31" ht="15.6" x14ac:dyDescent="0.3">
      <c r="B9" s="226"/>
      <c r="C9" s="226"/>
      <c r="D9" s="225"/>
      <c r="F9" s="323"/>
    </row>
    <row r="11" spans="2:31" ht="15" thickBot="1" x14ac:dyDescent="0.35">
      <c r="D11" s="121"/>
      <c r="F11" s="1"/>
      <c r="G11" s="1"/>
      <c r="H11" s="1"/>
      <c r="I11" s="1"/>
      <c r="J11" s="1"/>
      <c r="K11" s="1"/>
      <c r="L11" s="90"/>
      <c r="M11" s="1"/>
      <c r="N11" s="1"/>
      <c r="O11" s="1"/>
      <c r="P11" s="1"/>
      <c r="Q11" s="1"/>
      <c r="R11" s="1"/>
      <c r="S11" s="1"/>
      <c r="T11" s="1"/>
      <c r="U11" s="1"/>
      <c r="V11" s="90"/>
    </row>
    <row r="12" spans="2:31" ht="15" thickBot="1" x14ac:dyDescent="0.35">
      <c r="D12" s="411" t="s">
        <v>24</v>
      </c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3"/>
      <c r="V12" s="90"/>
    </row>
    <row r="13" spans="2:31" ht="15" thickBot="1" x14ac:dyDescent="0.35">
      <c r="D13" s="292" t="s">
        <v>20</v>
      </c>
      <c r="E13" s="109"/>
      <c r="F13" s="293" t="s">
        <v>21</v>
      </c>
      <c r="G13" s="110"/>
      <c r="H13" s="110"/>
      <c r="I13" s="110"/>
      <c r="J13" s="294" t="s">
        <v>22</v>
      </c>
      <c r="K13" s="110"/>
      <c r="L13" s="293" t="s">
        <v>19</v>
      </c>
      <c r="M13" s="111"/>
      <c r="N13" s="111"/>
      <c r="O13" s="111"/>
      <c r="P13" s="293" t="s">
        <v>21</v>
      </c>
      <c r="Q13" s="111"/>
      <c r="R13" s="111"/>
      <c r="S13" s="111"/>
      <c r="T13" s="293" t="s">
        <v>23</v>
      </c>
      <c r="U13" s="295"/>
      <c r="V13" s="1"/>
      <c r="X13" s="124"/>
      <c r="Y13" s="124"/>
      <c r="Z13" s="124"/>
      <c r="AA13" s="124"/>
      <c r="AB13" s="124"/>
      <c r="AC13" s="124"/>
      <c r="AD13" s="1"/>
      <c r="AE13" s="1"/>
    </row>
    <row r="14" spans="2:31" ht="15" thickBot="1" x14ac:dyDescent="0.35">
      <c r="D14" s="112">
        <v>43916</v>
      </c>
      <c r="E14" s="113"/>
      <c r="F14" s="114">
        <f>+'Main Table'!H16</f>
        <v>85435</v>
      </c>
      <c r="G14" s="114"/>
      <c r="H14" s="114"/>
      <c r="I14" s="114"/>
      <c r="J14" s="297">
        <f>+'Main Table'!J16</f>
        <v>0.25251059213323362</v>
      </c>
      <c r="K14" s="114"/>
      <c r="L14" s="114">
        <v>0</v>
      </c>
      <c r="M14" s="114"/>
      <c r="N14" s="114"/>
      <c r="O14" s="114"/>
      <c r="P14" s="114">
        <f>+F14</f>
        <v>85435</v>
      </c>
      <c r="Q14" s="114"/>
      <c r="R14" s="114"/>
      <c r="S14" s="114"/>
      <c r="T14" s="297">
        <f>+'Main Table'!J58</f>
        <v>3.2882534458306203E-2</v>
      </c>
      <c r="U14" s="295"/>
      <c r="V14" s="1"/>
      <c r="X14" s="299"/>
      <c r="Y14" s="410" t="s">
        <v>64</v>
      </c>
      <c r="Z14" s="410"/>
      <c r="AA14" s="410"/>
      <c r="AB14" s="410"/>
      <c r="AC14" s="410"/>
      <c r="AD14" s="300"/>
      <c r="AE14" s="1"/>
    </row>
    <row r="15" spans="2:31" x14ac:dyDescent="0.3">
      <c r="D15" s="112">
        <f t="shared" ref="D15:D51" si="0">1+D14</f>
        <v>43917</v>
      </c>
      <c r="E15" s="113"/>
      <c r="F15" s="114">
        <f t="shared" ref="F15:F49" si="1">+F14*(1+J14)</f>
        <v>107008.24243890282</v>
      </c>
      <c r="G15" s="114"/>
      <c r="H15" s="114"/>
      <c r="I15" s="114"/>
      <c r="J15" s="115">
        <f t="shared" ref="J15:J50" si="2">+J14</f>
        <v>0.25251059213323362</v>
      </c>
      <c r="K15" s="114"/>
      <c r="L15" s="114">
        <f t="shared" ref="L15:L50" si="3">+L14+1</f>
        <v>1</v>
      </c>
      <c r="M15" s="114"/>
      <c r="N15" s="114"/>
      <c r="O15" s="114"/>
      <c r="P15" s="114">
        <f t="shared" ref="P15:P49" si="4">+P14*(1+T14)</f>
        <v>88244.319331445382</v>
      </c>
      <c r="Q15" s="114"/>
      <c r="R15" s="114"/>
      <c r="S15" s="114"/>
      <c r="T15" s="115">
        <f t="shared" ref="T15:T50" si="5">+T14</f>
        <v>3.2882534458306203E-2</v>
      </c>
      <c r="U15" s="295"/>
      <c r="V15" s="1"/>
      <c r="X15" s="301"/>
      <c r="Y15" s="302" t="s">
        <v>65</v>
      </c>
      <c r="Z15" s="303"/>
      <c r="AA15" s="302" t="s">
        <v>66</v>
      </c>
      <c r="AB15" s="304"/>
      <c r="AC15" s="305" t="s">
        <v>10</v>
      </c>
      <c r="AD15" s="306"/>
      <c r="AE15" s="1"/>
    </row>
    <row r="16" spans="2:31" x14ac:dyDescent="0.3">
      <c r="D16" s="112">
        <f t="shared" si="0"/>
        <v>43918</v>
      </c>
      <c r="E16" s="113"/>
      <c r="F16" s="114">
        <f t="shared" si="1"/>
        <v>134028.95710028679</v>
      </c>
      <c r="G16" s="114"/>
      <c r="H16" s="114"/>
      <c r="I16" s="114"/>
      <c r="J16" s="115">
        <f t="shared" si="2"/>
        <v>0.25251059213323362</v>
      </c>
      <c r="K16" s="114"/>
      <c r="L16" s="114">
        <f t="shared" si="3"/>
        <v>2</v>
      </c>
      <c r="M16" s="114"/>
      <c r="N16" s="114"/>
      <c r="O16" s="114"/>
      <c r="P16" s="114">
        <f t="shared" si="4"/>
        <v>91146.016202611398</v>
      </c>
      <c r="Q16" s="114"/>
      <c r="R16" s="114"/>
      <c r="S16" s="114"/>
      <c r="T16" s="115">
        <f t="shared" si="5"/>
        <v>3.2882534458306203E-2</v>
      </c>
      <c r="U16" s="295"/>
      <c r="V16" s="1"/>
      <c r="X16" s="301"/>
      <c r="Y16" s="307" t="s">
        <v>61</v>
      </c>
      <c r="Z16" s="307"/>
      <c r="AA16" s="308">
        <v>330</v>
      </c>
      <c r="AB16" s="307"/>
      <c r="AC16" s="309">
        <f>+AA16/AA16</f>
        <v>1</v>
      </c>
      <c r="AD16" s="306"/>
      <c r="AE16" s="1"/>
    </row>
    <row r="17" spans="4:33" x14ac:dyDescent="0.3">
      <c r="D17" s="112">
        <f t="shared" si="0"/>
        <v>43919</v>
      </c>
      <c r="E17" s="113"/>
      <c r="F17" s="114">
        <f t="shared" si="1"/>
        <v>167872.68842067997</v>
      </c>
      <c r="G17" s="114"/>
      <c r="H17" s="114"/>
      <c r="I17" s="114"/>
      <c r="J17" s="115">
        <f t="shared" si="2"/>
        <v>0.25251059213323362</v>
      </c>
      <c r="K17" s="114"/>
      <c r="L17" s="114">
        <f t="shared" si="3"/>
        <v>3</v>
      </c>
      <c r="M17" s="114"/>
      <c r="N17" s="114"/>
      <c r="O17" s="114"/>
      <c r="P17" s="114">
        <f t="shared" si="4"/>
        <v>94143.12822113109</v>
      </c>
      <c r="Q17" s="114"/>
      <c r="R17" s="114"/>
      <c r="S17" s="114"/>
      <c r="T17" s="115">
        <f t="shared" si="5"/>
        <v>3.2882534458306203E-2</v>
      </c>
      <c r="U17" s="295"/>
      <c r="V17" s="1"/>
      <c r="X17" s="301"/>
      <c r="Y17" s="310" t="s">
        <v>63</v>
      </c>
      <c r="Z17" s="307"/>
      <c r="AA17" s="311">
        <v>53.42</v>
      </c>
      <c r="AB17" s="307"/>
      <c r="AC17" s="309">
        <f>+AA17/AA16</f>
        <v>0.16187878787878787</v>
      </c>
      <c r="AD17" s="306"/>
      <c r="AE17" s="1"/>
    </row>
    <row r="18" spans="4:33" x14ac:dyDescent="0.3">
      <c r="D18" s="112">
        <f t="shared" si="0"/>
        <v>43920</v>
      </c>
      <c r="E18" s="113"/>
      <c r="F18" s="114">
        <f t="shared" si="1"/>
        <v>210262.3203767837</v>
      </c>
      <c r="G18" s="114"/>
      <c r="H18" s="114"/>
      <c r="I18" s="114"/>
      <c r="J18" s="115">
        <f t="shared" si="2"/>
        <v>0.25251059213323362</v>
      </c>
      <c r="K18" s="114"/>
      <c r="L18" s="114">
        <f t="shared" si="3"/>
        <v>4</v>
      </c>
      <c r="M18" s="114"/>
      <c r="N18" s="114"/>
      <c r="O18" s="114"/>
      <c r="P18" s="114">
        <f t="shared" si="4"/>
        <v>97238.79287887516</v>
      </c>
      <c r="Q18" s="114"/>
      <c r="R18" s="114"/>
      <c r="S18" s="114"/>
      <c r="T18" s="115">
        <f t="shared" si="5"/>
        <v>3.2882534458306203E-2</v>
      </c>
      <c r="U18" s="295"/>
      <c r="V18" s="1"/>
      <c r="X18" s="301"/>
      <c r="Y18" s="312" t="s">
        <v>67</v>
      </c>
      <c r="Z18" s="312"/>
      <c r="AA18" s="308">
        <f>+AC18*AA17</f>
        <v>11.37846</v>
      </c>
      <c r="AB18" s="307"/>
      <c r="AC18" s="309">
        <v>0.21299999999999999</v>
      </c>
      <c r="AD18" s="306"/>
      <c r="AE18" s="1"/>
    </row>
    <row r="19" spans="4:33" ht="15" thickBot="1" x14ac:dyDescent="0.35">
      <c r="D19" s="112">
        <f t="shared" si="0"/>
        <v>43921</v>
      </c>
      <c r="E19" s="113"/>
      <c r="F19" s="114">
        <f t="shared" si="1"/>
        <v>263355.78339843301</v>
      </c>
      <c r="G19" s="114"/>
      <c r="H19" s="114"/>
      <c r="I19" s="114"/>
      <c r="J19" s="115">
        <f t="shared" si="2"/>
        <v>0.25251059213323362</v>
      </c>
      <c r="K19" s="114"/>
      <c r="L19" s="114">
        <f t="shared" si="3"/>
        <v>5</v>
      </c>
      <c r="M19" s="114"/>
      <c r="N19" s="114"/>
      <c r="O19" s="114"/>
      <c r="P19" s="114">
        <f t="shared" si="4"/>
        <v>100436.25083639886</v>
      </c>
      <c r="Q19" s="114"/>
      <c r="R19" s="114"/>
      <c r="S19" s="114"/>
      <c r="T19" s="115">
        <f t="shared" si="5"/>
        <v>3.2882534458306203E-2</v>
      </c>
      <c r="U19" s="295"/>
      <c r="V19" s="1"/>
      <c r="X19" s="313"/>
      <c r="Y19" s="314" t="s">
        <v>68</v>
      </c>
      <c r="Z19" s="314"/>
      <c r="AA19" s="315"/>
      <c r="AB19" s="316"/>
      <c r="AC19" s="315">
        <f>+AA18/AA16</f>
        <v>3.448018181818182E-2</v>
      </c>
      <c r="AD19" s="317"/>
      <c r="AE19" s="1"/>
    </row>
    <row r="20" spans="4:33" x14ac:dyDescent="0.3">
      <c r="D20" s="112">
        <f t="shared" si="0"/>
        <v>43922</v>
      </c>
      <c r="E20" s="113"/>
      <c r="F20" s="114">
        <f t="shared" si="1"/>
        <v>329855.90820608294</v>
      </c>
      <c r="G20" s="114"/>
      <c r="H20" s="114"/>
      <c r="I20" s="114"/>
      <c r="J20" s="115">
        <f t="shared" si="2"/>
        <v>0.25251059213323362</v>
      </c>
      <c r="K20" s="114"/>
      <c r="L20" s="114">
        <f t="shared" si="3"/>
        <v>6</v>
      </c>
      <c r="M20" s="114"/>
      <c r="N20" s="114"/>
      <c r="O20" s="114"/>
      <c r="P20" s="114">
        <f t="shared" si="4"/>
        <v>103738.84931538983</v>
      </c>
      <c r="Q20" s="114"/>
      <c r="R20" s="114"/>
      <c r="S20" s="114"/>
      <c r="T20" s="115">
        <f t="shared" si="5"/>
        <v>3.2882534458306203E-2</v>
      </c>
      <c r="U20" s="295"/>
      <c r="V20" s="1"/>
      <c r="X20" s="124"/>
      <c r="Y20" s="124"/>
      <c r="Z20" s="124"/>
      <c r="AA20" s="124"/>
      <c r="AB20" s="124"/>
      <c r="AC20" s="124"/>
      <c r="AD20" s="1"/>
      <c r="AE20" s="1"/>
    </row>
    <row r="21" spans="4:33" x14ac:dyDescent="0.3">
      <c r="D21" s="112">
        <f t="shared" si="0"/>
        <v>43923</v>
      </c>
      <c r="E21" s="113"/>
      <c r="F21" s="114">
        <f t="shared" si="1"/>
        <v>413148.01890584646</v>
      </c>
      <c r="G21" s="114"/>
      <c r="H21" s="114"/>
      <c r="I21" s="114"/>
      <c r="J21" s="115">
        <f t="shared" si="2"/>
        <v>0.25251059213323362</v>
      </c>
      <c r="K21" s="114"/>
      <c r="L21" s="114">
        <f t="shared" si="3"/>
        <v>7</v>
      </c>
      <c r="M21" s="114"/>
      <c r="N21" s="114"/>
      <c r="O21" s="114"/>
      <c r="P21" s="114">
        <f t="shared" si="4"/>
        <v>107150.04560266816</v>
      </c>
      <c r="Q21" s="114"/>
      <c r="R21" s="114"/>
      <c r="S21" s="114"/>
      <c r="T21" s="115">
        <f t="shared" si="5"/>
        <v>3.2882534458306203E-2</v>
      </c>
      <c r="U21" s="295"/>
      <c r="V21" s="1"/>
      <c r="X21" s="124"/>
      <c r="Y21" s="124"/>
      <c r="Z21" s="124"/>
      <c r="AA21" s="124"/>
      <c r="AB21" s="124"/>
      <c r="AC21" s="124"/>
      <c r="AD21" s="1"/>
      <c r="AE21" s="1"/>
    </row>
    <row r="22" spans="4:33" x14ac:dyDescent="0.3">
      <c r="D22" s="112">
        <f t="shared" si="0"/>
        <v>43924</v>
      </c>
      <c r="E22" s="113"/>
      <c r="F22" s="114">
        <f t="shared" si="1"/>
        <v>517472.26979843411</v>
      </c>
      <c r="G22" s="114"/>
      <c r="H22" s="114"/>
      <c r="I22" s="114"/>
      <c r="J22" s="115">
        <f t="shared" si="2"/>
        <v>0.25251059213323362</v>
      </c>
      <c r="K22" s="114"/>
      <c r="L22" s="114">
        <f t="shared" si="3"/>
        <v>8</v>
      </c>
      <c r="M22" s="114"/>
      <c r="N22" s="114"/>
      <c r="O22" s="114"/>
      <c r="P22" s="114">
        <f t="shared" si="4"/>
        <v>110673.41066940698</v>
      </c>
      <c r="Q22" s="114"/>
      <c r="R22" s="114"/>
      <c r="S22" s="114"/>
      <c r="T22" s="115">
        <f t="shared" si="5"/>
        <v>3.2882534458306203E-2</v>
      </c>
      <c r="U22" s="295"/>
      <c r="V22" s="1"/>
    </row>
    <row r="23" spans="4:33" x14ac:dyDescent="0.3">
      <c r="D23" s="112">
        <f t="shared" si="0"/>
        <v>43925</v>
      </c>
      <c r="E23" s="113"/>
      <c r="F23" s="114">
        <f t="shared" si="1"/>
        <v>648139.49905776512</v>
      </c>
      <c r="G23" s="114"/>
      <c r="H23" s="114"/>
      <c r="I23" s="114"/>
      <c r="J23" s="115">
        <f t="shared" si="2"/>
        <v>0.25251059213323362</v>
      </c>
      <c r="K23" s="114"/>
      <c r="L23" s="114">
        <f t="shared" si="3"/>
        <v>9</v>
      </c>
      <c r="M23" s="114"/>
      <c r="N23" s="114"/>
      <c r="O23" s="114"/>
      <c r="P23" s="114">
        <f t="shared" si="4"/>
        <v>114312.63290936202</v>
      </c>
      <c r="Q23" s="114"/>
      <c r="R23" s="114"/>
      <c r="S23" s="114"/>
      <c r="T23" s="115">
        <f t="shared" si="5"/>
        <v>3.2882534458306203E-2</v>
      </c>
      <c r="U23" s="295"/>
      <c r="V23" s="1"/>
      <c r="X23" s="149"/>
      <c r="Y23" s="124"/>
      <c r="Z23" s="124"/>
      <c r="AA23" s="124"/>
      <c r="AB23" s="124"/>
      <c r="AC23" s="124"/>
      <c r="AD23" s="124"/>
      <c r="AE23" s="124"/>
      <c r="AF23" s="124"/>
      <c r="AG23" s="149"/>
    </row>
    <row r="24" spans="4:33" x14ac:dyDescent="0.3">
      <c r="D24" s="112">
        <f t="shared" si="0"/>
        <v>43926</v>
      </c>
      <c r="E24" s="113"/>
      <c r="F24" s="114">
        <f t="shared" si="1"/>
        <v>811801.58774977876</v>
      </c>
      <c r="G24" s="114"/>
      <c r="H24" s="114"/>
      <c r="I24" s="114"/>
      <c r="J24" s="115">
        <f t="shared" si="2"/>
        <v>0.25251059213323362</v>
      </c>
      <c r="K24" s="114"/>
      <c r="L24" s="114">
        <f t="shared" si="3"/>
        <v>10</v>
      </c>
      <c r="M24" s="114"/>
      <c r="N24" s="114"/>
      <c r="O24" s="114"/>
      <c r="P24" s="114">
        <f t="shared" si="4"/>
        <v>118071.52200002382</v>
      </c>
      <c r="Q24" s="114"/>
      <c r="R24" s="114"/>
      <c r="S24" s="114"/>
      <c r="T24" s="115">
        <f t="shared" si="5"/>
        <v>3.2882534458306203E-2</v>
      </c>
      <c r="U24" s="295"/>
      <c r="V24" s="1"/>
      <c r="X24" s="149"/>
      <c r="Y24" s="153"/>
      <c r="Z24" s="321"/>
      <c r="AA24" s="321"/>
      <c r="AB24" s="321"/>
      <c r="AC24" s="321"/>
      <c r="AD24" s="321"/>
      <c r="AE24" s="124"/>
      <c r="AF24" s="124"/>
      <c r="AG24" s="149"/>
    </row>
    <row r="25" spans="4:33" x14ac:dyDescent="0.3">
      <c r="D25" s="112">
        <f t="shared" si="0"/>
        <v>43927</v>
      </c>
      <c r="E25" s="113"/>
      <c r="F25" s="114">
        <f t="shared" si="1"/>
        <v>1016790.0873671746</v>
      </c>
      <c r="G25" s="114"/>
      <c r="H25" s="114"/>
      <c r="I25" s="114"/>
      <c r="J25" s="115">
        <f t="shared" si="2"/>
        <v>0.25251059213323362</v>
      </c>
      <c r="K25" s="114"/>
      <c r="L25" s="114">
        <f t="shared" si="3"/>
        <v>11</v>
      </c>
      <c r="M25" s="114"/>
      <c r="N25" s="114"/>
      <c r="O25" s="114"/>
      <c r="P25" s="114">
        <f t="shared" si="4"/>
        <v>121954.01289073426</v>
      </c>
      <c r="Q25" s="114"/>
      <c r="R25" s="114"/>
      <c r="S25" s="114"/>
      <c r="T25" s="115">
        <f t="shared" si="5"/>
        <v>3.2882534458306203E-2</v>
      </c>
      <c r="U25" s="295"/>
      <c r="V25" s="1"/>
      <c r="X25" s="149"/>
      <c r="Y25" s="320"/>
      <c r="Z25" s="320"/>
      <c r="AA25" s="320"/>
      <c r="AB25" s="149"/>
      <c r="AC25" s="146"/>
      <c r="AD25" s="149"/>
      <c r="AE25" s="129"/>
      <c r="AF25" s="124"/>
      <c r="AG25" s="149"/>
    </row>
    <row r="26" spans="4:33" x14ac:dyDescent="0.3">
      <c r="D26" s="112">
        <f t="shared" si="0"/>
        <v>43928</v>
      </c>
      <c r="E26" s="113"/>
      <c r="F26" s="114">
        <f t="shared" si="1"/>
        <v>1273540.354403462</v>
      </c>
      <c r="G26" s="114"/>
      <c r="H26" s="114"/>
      <c r="I26" s="114"/>
      <c r="J26" s="115">
        <f t="shared" si="2"/>
        <v>0.25251059213323362</v>
      </c>
      <c r="K26" s="114"/>
      <c r="L26" s="114">
        <f t="shared" si="3"/>
        <v>12</v>
      </c>
      <c r="M26" s="114"/>
      <c r="N26" s="114"/>
      <c r="O26" s="114"/>
      <c r="P26" s="114">
        <f t="shared" si="4"/>
        <v>125964.16992194254</v>
      </c>
      <c r="Q26" s="114"/>
      <c r="R26" s="114"/>
      <c r="S26" s="114"/>
      <c r="T26" s="115">
        <f t="shared" si="5"/>
        <v>3.2882534458306203E-2</v>
      </c>
      <c r="U26" s="295"/>
      <c r="V26" s="1"/>
      <c r="X26" s="149"/>
      <c r="Y26" s="153"/>
      <c r="Z26" s="153"/>
      <c r="AA26" s="153"/>
      <c r="AB26" s="149"/>
      <c r="AC26" s="318"/>
      <c r="AD26" s="149"/>
      <c r="AE26" s="319"/>
      <c r="AF26" s="124"/>
      <c r="AG26" s="149"/>
    </row>
    <row r="27" spans="4:33" x14ac:dyDescent="0.3">
      <c r="D27" s="112">
        <f t="shared" si="0"/>
        <v>43929</v>
      </c>
      <c r="E27" s="113"/>
      <c r="F27" s="114">
        <f t="shared" si="1"/>
        <v>1595122.7833994483</v>
      </c>
      <c r="G27" s="114"/>
      <c r="H27" s="114"/>
      <c r="I27" s="114"/>
      <c r="J27" s="115">
        <f t="shared" si="2"/>
        <v>0.25251059213323362</v>
      </c>
      <c r="K27" s="114"/>
      <c r="L27" s="114">
        <f t="shared" si="3"/>
        <v>13</v>
      </c>
      <c r="M27" s="114"/>
      <c r="N27" s="114"/>
      <c r="O27" s="114"/>
      <c r="P27" s="114">
        <f t="shared" si="4"/>
        <v>130106.19107991274</v>
      </c>
      <c r="Q27" s="114"/>
      <c r="R27" s="114"/>
      <c r="S27" s="114"/>
      <c r="T27" s="115">
        <f t="shared" si="5"/>
        <v>3.2882534458306203E-2</v>
      </c>
      <c r="U27" s="295"/>
      <c r="V27" s="1"/>
      <c r="X27" s="149"/>
      <c r="Y27" s="153"/>
      <c r="Z27" s="153"/>
      <c r="AA27" s="153"/>
      <c r="AB27" s="149"/>
      <c r="AC27" s="318"/>
      <c r="AD27" s="149"/>
      <c r="AE27" s="319"/>
      <c r="AF27" s="124"/>
      <c r="AG27" s="149"/>
    </row>
    <row r="28" spans="4:33" x14ac:dyDescent="0.3">
      <c r="D28" s="112">
        <f t="shared" si="0"/>
        <v>43930</v>
      </c>
      <c r="E28" s="113"/>
      <c r="F28" s="114">
        <f t="shared" si="1"/>
        <v>1997908.1819608547</v>
      </c>
      <c r="G28" s="114"/>
      <c r="H28" s="114"/>
      <c r="I28" s="114"/>
      <c r="J28" s="115">
        <f t="shared" si="2"/>
        <v>0.25251059213323362</v>
      </c>
      <c r="K28" s="114"/>
      <c r="L28" s="114">
        <f t="shared" si="3"/>
        <v>14</v>
      </c>
      <c r="M28" s="114"/>
      <c r="N28" s="114"/>
      <c r="O28" s="114"/>
      <c r="P28" s="114">
        <f t="shared" si="4"/>
        <v>134384.41239133693</v>
      </c>
      <c r="Q28" s="114"/>
      <c r="R28" s="114"/>
      <c r="S28" s="114"/>
      <c r="T28" s="115">
        <f t="shared" si="5"/>
        <v>3.2882534458306203E-2</v>
      </c>
      <c r="U28" s="295"/>
      <c r="V28" s="1"/>
      <c r="X28" s="149"/>
      <c r="Y28" s="321"/>
      <c r="Z28" s="321"/>
      <c r="AA28" s="321"/>
      <c r="AB28" s="149"/>
      <c r="AC28" s="318"/>
      <c r="AD28" s="149"/>
      <c r="AE28" s="319"/>
      <c r="AF28" s="124"/>
      <c r="AG28" s="149"/>
    </row>
    <row r="29" spans="4:33" x14ac:dyDescent="0.3">
      <c r="D29" s="112">
        <f t="shared" si="0"/>
        <v>43931</v>
      </c>
      <c r="E29" s="113"/>
      <c r="F29" s="114">
        <f t="shared" si="1"/>
        <v>2502401.1600156222</v>
      </c>
      <c r="G29" s="114"/>
      <c r="H29" s="114"/>
      <c r="I29" s="114"/>
      <c r="J29" s="115">
        <f t="shared" si="2"/>
        <v>0.25251059213323362</v>
      </c>
      <c r="K29" s="114"/>
      <c r="L29" s="114">
        <f t="shared" si="3"/>
        <v>15</v>
      </c>
      <c r="M29" s="114"/>
      <c r="N29" s="114"/>
      <c r="O29" s="114"/>
      <c r="P29" s="114">
        <f t="shared" si="4"/>
        <v>138803.31246245428</v>
      </c>
      <c r="Q29" s="114"/>
      <c r="R29" s="114"/>
      <c r="S29" s="114"/>
      <c r="T29" s="115">
        <f t="shared" si="5"/>
        <v>3.2882534458306203E-2</v>
      </c>
      <c r="U29" s="295"/>
      <c r="V29" s="122"/>
      <c r="X29" s="149"/>
      <c r="Y29" s="321"/>
      <c r="Z29" s="321"/>
      <c r="AA29" s="321"/>
      <c r="AB29" s="149"/>
      <c r="AC29" s="319"/>
      <c r="AD29" s="149"/>
      <c r="AE29" s="319"/>
      <c r="AF29" s="124"/>
      <c r="AG29" s="149"/>
    </row>
    <row r="30" spans="4:33" x14ac:dyDescent="0.3">
      <c r="D30" s="112">
        <f t="shared" si="0"/>
        <v>43932</v>
      </c>
      <c r="E30" s="113"/>
      <c r="F30" s="114">
        <f t="shared" si="1"/>
        <v>3134283.9586860575</v>
      </c>
      <c r="G30" s="114"/>
      <c r="H30" s="114"/>
      <c r="I30" s="114"/>
      <c r="J30" s="115">
        <f t="shared" si="2"/>
        <v>0.25251059213323362</v>
      </c>
      <c r="K30" s="114"/>
      <c r="L30" s="114">
        <f t="shared" si="3"/>
        <v>16</v>
      </c>
      <c r="M30" s="114"/>
      <c r="N30" s="114"/>
      <c r="O30" s="114"/>
      <c r="P30" s="114">
        <f t="shared" si="4"/>
        <v>143367.51716742796</v>
      </c>
      <c r="Q30" s="114"/>
      <c r="R30" s="114"/>
      <c r="S30" s="114"/>
      <c r="T30" s="115">
        <f t="shared" si="5"/>
        <v>3.2882534458306203E-2</v>
      </c>
      <c r="U30" s="295"/>
      <c r="V30" s="1"/>
      <c r="X30" s="149"/>
      <c r="Y30" s="124"/>
      <c r="Z30" s="124"/>
      <c r="AA30" s="124"/>
      <c r="AB30" s="124"/>
      <c r="AC30" s="124"/>
      <c r="AD30" s="124"/>
      <c r="AE30" s="124"/>
      <c r="AF30" s="124"/>
      <c r="AG30" s="149"/>
    </row>
    <row r="31" spans="4:33" x14ac:dyDescent="0.3">
      <c r="D31" s="112">
        <f t="shared" si="0"/>
        <v>43933</v>
      </c>
      <c r="E31" s="113"/>
      <c r="F31" s="114">
        <f t="shared" si="1"/>
        <v>3925723.8570075692</v>
      </c>
      <c r="G31" s="114"/>
      <c r="H31" s="114"/>
      <c r="I31" s="114"/>
      <c r="J31" s="115">
        <f t="shared" si="2"/>
        <v>0.25251059213323362</v>
      </c>
      <c r="K31" s="114"/>
      <c r="L31" s="114">
        <f t="shared" si="3"/>
        <v>17</v>
      </c>
      <c r="M31" s="114"/>
      <c r="N31" s="114"/>
      <c r="O31" s="114"/>
      <c r="P31" s="114">
        <f t="shared" si="4"/>
        <v>148081.80449088771</v>
      </c>
      <c r="Q31" s="114"/>
      <c r="R31" s="114"/>
      <c r="S31" s="114"/>
      <c r="T31" s="115">
        <f t="shared" si="5"/>
        <v>3.2882534458306203E-2</v>
      </c>
      <c r="U31" s="295"/>
      <c r="V31" s="1"/>
      <c r="Y31" s="124"/>
      <c r="Z31" s="124"/>
      <c r="AA31" s="124"/>
      <c r="AB31" s="124"/>
      <c r="AC31" s="124"/>
      <c r="AD31" s="124"/>
      <c r="AE31" s="1"/>
      <c r="AF31" s="1"/>
    </row>
    <row r="32" spans="4:33" x14ac:dyDescent="0.3">
      <c r="D32" s="112">
        <f t="shared" si="0"/>
        <v>43934</v>
      </c>
      <c r="E32" s="113"/>
      <c r="F32" s="114">
        <f t="shared" si="1"/>
        <v>4917010.7126921117</v>
      </c>
      <c r="G32" s="114"/>
      <c r="H32" s="114"/>
      <c r="I32" s="114"/>
      <c r="J32" s="115">
        <f t="shared" si="2"/>
        <v>0.25251059213323362</v>
      </c>
      <c r="K32" s="114"/>
      <c r="L32" s="114">
        <f t="shared" si="3"/>
        <v>18</v>
      </c>
      <c r="M32" s="114"/>
      <c r="N32" s="114"/>
      <c r="O32" s="114"/>
      <c r="P32" s="114">
        <f t="shared" si="4"/>
        <v>152951.10952970746</v>
      </c>
      <c r="Q32" s="114"/>
      <c r="R32" s="114"/>
      <c r="S32" s="114"/>
      <c r="T32" s="115">
        <f t="shared" si="5"/>
        <v>3.2882534458306203E-2</v>
      </c>
      <c r="U32" s="295"/>
      <c r="V32" s="1"/>
    </row>
    <row r="33" spans="4:22" x14ac:dyDescent="0.3">
      <c r="D33" s="112">
        <f t="shared" si="0"/>
        <v>43935</v>
      </c>
      <c r="E33" s="113"/>
      <c r="F33" s="114">
        <f t="shared" si="1"/>
        <v>6158607.9992794497</v>
      </c>
      <c r="G33" s="114"/>
      <c r="H33" s="114"/>
      <c r="I33" s="114"/>
      <c r="J33" s="115">
        <f t="shared" si="2"/>
        <v>0.25251059213323362</v>
      </c>
      <c r="K33" s="114"/>
      <c r="L33" s="114">
        <f t="shared" si="3"/>
        <v>19</v>
      </c>
      <c r="M33" s="114"/>
      <c r="N33" s="114"/>
      <c r="O33" s="114"/>
      <c r="P33" s="114">
        <f t="shared" si="4"/>
        <v>157980.52965925421</v>
      </c>
      <c r="Q33" s="114"/>
      <c r="R33" s="114"/>
      <c r="S33" s="114"/>
      <c r="T33" s="115">
        <f t="shared" si="5"/>
        <v>3.2882534458306203E-2</v>
      </c>
      <c r="U33" s="295"/>
      <c r="V33" s="1"/>
    </row>
    <row r="34" spans="4:22" x14ac:dyDescent="0.3">
      <c r="D34" s="112">
        <f t="shared" si="0"/>
        <v>43936</v>
      </c>
      <c r="E34" s="113"/>
      <c r="F34" s="114">
        <f t="shared" si="1"/>
        <v>7713721.751893972</v>
      </c>
      <c r="G34" s="114"/>
      <c r="H34" s="114"/>
      <c r="I34" s="114"/>
      <c r="J34" s="115">
        <f t="shared" si="2"/>
        <v>0.25251059213323362</v>
      </c>
      <c r="K34" s="114"/>
      <c r="L34" s="114">
        <f t="shared" si="3"/>
        <v>20</v>
      </c>
      <c r="M34" s="114"/>
      <c r="N34" s="114"/>
      <c r="O34" s="114"/>
      <c r="P34" s="114">
        <f t="shared" si="4"/>
        <v>163175.32986951611</v>
      </c>
      <c r="Q34" s="114"/>
      <c r="R34" s="114"/>
      <c r="S34" s="114"/>
      <c r="T34" s="115">
        <f t="shared" si="5"/>
        <v>3.2882534458306203E-2</v>
      </c>
      <c r="U34" s="295"/>
      <c r="V34" s="1"/>
    </row>
    <row r="35" spans="4:22" x14ac:dyDescent="0.3">
      <c r="D35" s="112">
        <f t="shared" si="0"/>
        <v>43937</v>
      </c>
      <c r="E35" s="113"/>
      <c r="F35" s="114">
        <f t="shared" si="1"/>
        <v>9661518.1990157235</v>
      </c>
      <c r="G35" s="114"/>
      <c r="H35" s="114"/>
      <c r="I35" s="114"/>
      <c r="J35" s="115">
        <f t="shared" si="2"/>
        <v>0.25251059213323362</v>
      </c>
      <c r="K35" s="114"/>
      <c r="L35" s="114">
        <f t="shared" si="3"/>
        <v>21</v>
      </c>
      <c r="M35" s="114"/>
      <c r="N35" s="114"/>
      <c r="O35" s="114"/>
      <c r="P35" s="114">
        <f t="shared" si="4"/>
        <v>168540.94827669594</v>
      </c>
      <c r="Q35" s="114"/>
      <c r="R35" s="114"/>
      <c r="S35" s="114"/>
      <c r="T35" s="115">
        <f t="shared" si="5"/>
        <v>3.2882534458306203E-2</v>
      </c>
      <c r="U35" s="295"/>
      <c r="V35" s="1"/>
    </row>
    <row r="36" spans="4:22" x14ac:dyDescent="0.3">
      <c r="D36" s="112">
        <f t="shared" si="0"/>
        <v>43938</v>
      </c>
      <c r="E36" s="113"/>
      <c r="F36" s="114">
        <f t="shared" si="1"/>
        <v>12101153.880355196</v>
      </c>
      <c r="G36" s="114"/>
      <c r="H36" s="114"/>
      <c r="I36" s="114"/>
      <c r="J36" s="115">
        <f t="shared" si="2"/>
        <v>0.25251059213323362</v>
      </c>
      <c r="K36" s="114"/>
      <c r="L36" s="114">
        <f t="shared" si="3"/>
        <v>22</v>
      </c>
      <c r="M36" s="114"/>
      <c r="N36" s="114"/>
      <c r="O36" s="114"/>
      <c r="P36" s="114">
        <f t="shared" si="4"/>
        <v>174083.00181603999</v>
      </c>
      <c r="Q36" s="114"/>
      <c r="R36" s="114"/>
      <c r="S36" s="114"/>
      <c r="T36" s="115">
        <f t="shared" si="5"/>
        <v>3.2882534458306203E-2</v>
      </c>
      <c r="U36" s="295"/>
      <c r="V36" s="14"/>
    </row>
    <row r="37" spans="4:22" x14ac:dyDescent="0.3">
      <c r="D37" s="112">
        <f t="shared" si="0"/>
        <v>43939</v>
      </c>
      <c r="E37" s="113"/>
      <c r="F37" s="114">
        <f t="shared" si="1"/>
        <v>15156823.412179064</v>
      </c>
      <c r="G37" s="114"/>
      <c r="H37" s="114"/>
      <c r="I37" s="114"/>
      <c r="J37" s="115">
        <f t="shared" si="2"/>
        <v>0.25251059213323362</v>
      </c>
      <c r="K37" s="114"/>
      <c r="L37" s="114">
        <f t="shared" si="3"/>
        <v>23</v>
      </c>
      <c r="M37" s="114"/>
      <c r="N37" s="114"/>
      <c r="O37" s="114"/>
      <c r="P37" s="114">
        <f t="shared" si="4"/>
        <v>179807.2921218613</v>
      </c>
      <c r="Q37" s="114"/>
      <c r="R37" s="114"/>
      <c r="S37" s="114"/>
      <c r="T37" s="115">
        <f t="shared" si="5"/>
        <v>3.2882534458306203E-2</v>
      </c>
      <c r="U37" s="295"/>
      <c r="V37" s="14"/>
    </row>
    <row r="38" spans="4:22" x14ac:dyDescent="0.3">
      <c r="D38" s="112">
        <f t="shared" si="0"/>
        <v>43940</v>
      </c>
      <c r="E38" s="113"/>
      <c r="F38" s="114">
        <f t="shared" si="1"/>
        <v>18984081.866847258</v>
      </c>
      <c r="G38" s="114"/>
      <c r="H38" s="114"/>
      <c r="I38" s="114"/>
      <c r="J38" s="115">
        <f t="shared" si="2"/>
        <v>0.25251059213323362</v>
      </c>
      <c r="K38" s="114"/>
      <c r="L38" s="114">
        <f t="shared" si="3"/>
        <v>24</v>
      </c>
      <c r="M38" s="114"/>
      <c r="N38" s="114"/>
      <c r="O38" s="114"/>
      <c r="P38" s="114">
        <f t="shared" si="4"/>
        <v>185719.81160091312</v>
      </c>
      <c r="Q38" s="114"/>
      <c r="R38" s="114"/>
      <c r="S38" s="114"/>
      <c r="T38" s="115">
        <f t="shared" si="5"/>
        <v>3.2882534458306203E-2</v>
      </c>
      <c r="U38" s="295"/>
      <c r="V38" s="14"/>
    </row>
    <row r="39" spans="4:22" x14ac:dyDescent="0.3">
      <c r="D39" s="112">
        <f t="shared" si="0"/>
        <v>43941</v>
      </c>
      <c r="E39" s="113"/>
      <c r="F39" s="114">
        <f t="shared" si="1"/>
        <v>23777763.620150641</v>
      </c>
      <c r="G39" s="114"/>
      <c r="H39" s="114"/>
      <c r="I39" s="114"/>
      <c r="J39" s="115">
        <f t="shared" si="2"/>
        <v>0.25251059213323362</v>
      </c>
      <c r="K39" s="114"/>
      <c r="L39" s="114">
        <f t="shared" si="3"/>
        <v>25</v>
      </c>
      <c r="M39" s="114"/>
      <c r="N39" s="114"/>
      <c r="O39" s="114"/>
      <c r="P39" s="114">
        <f t="shared" si="4"/>
        <v>191826.74970547025</v>
      </c>
      <c r="Q39" s="114"/>
      <c r="R39" s="114"/>
      <c r="S39" s="114"/>
      <c r="T39" s="115">
        <f t="shared" si="5"/>
        <v>3.2882534458306203E-2</v>
      </c>
      <c r="U39" s="295"/>
      <c r="V39" s="14"/>
    </row>
    <row r="40" spans="4:22" x14ac:dyDescent="0.3">
      <c r="D40" s="112">
        <f t="shared" si="0"/>
        <v>43942</v>
      </c>
      <c r="E40" s="113"/>
      <c r="F40" s="114">
        <f t="shared" si="1"/>
        <v>29781900.791478939</v>
      </c>
      <c r="G40" s="114"/>
      <c r="H40" s="114"/>
      <c r="I40" s="114"/>
      <c r="J40" s="115">
        <f t="shared" si="2"/>
        <v>0.25251059213323362</v>
      </c>
      <c r="K40" s="114"/>
      <c r="L40" s="114">
        <f t="shared" si="3"/>
        <v>26</v>
      </c>
      <c r="M40" s="114"/>
      <c r="N40" s="114"/>
      <c r="O40" s="114"/>
      <c r="P40" s="114">
        <f t="shared" si="4"/>
        <v>198134.49941268525</v>
      </c>
      <c r="Q40" s="114"/>
      <c r="R40" s="114"/>
      <c r="S40" s="114"/>
      <c r="T40" s="115">
        <f t="shared" si="5"/>
        <v>3.2882534458306203E-2</v>
      </c>
      <c r="U40" s="295"/>
      <c r="V40" s="14"/>
    </row>
    <row r="41" spans="4:22" x14ac:dyDescent="0.3">
      <c r="D41" s="112">
        <f t="shared" si="0"/>
        <v>43943</v>
      </c>
      <c r="E41" s="113"/>
      <c r="F41" s="114">
        <f t="shared" si="1"/>
        <v>37302146.195188507</v>
      </c>
      <c r="G41" s="114"/>
      <c r="H41" s="114"/>
      <c r="I41" s="114"/>
      <c r="J41" s="115">
        <f t="shared" si="2"/>
        <v>0.25251059213323362</v>
      </c>
      <c r="K41" s="114"/>
      <c r="L41" s="114">
        <f t="shared" si="3"/>
        <v>27</v>
      </c>
      <c r="M41" s="114"/>
      <c r="N41" s="114"/>
      <c r="O41" s="114"/>
      <c r="P41" s="114">
        <f t="shared" si="4"/>
        <v>204649.66391700212</v>
      </c>
      <c r="Q41" s="114"/>
      <c r="R41" s="114"/>
      <c r="S41" s="114"/>
      <c r="T41" s="115">
        <f t="shared" si="5"/>
        <v>3.2882534458306203E-2</v>
      </c>
      <c r="U41" s="295"/>
      <c r="V41" s="14"/>
    </row>
    <row r="42" spans="4:22" x14ac:dyDescent="0.3">
      <c r="D42" s="112">
        <f t="shared" si="0"/>
        <v>43944</v>
      </c>
      <c r="E42" s="113"/>
      <c r="F42" s="114">
        <f t="shared" si="1"/>
        <v>46721333.218776003</v>
      </c>
      <c r="G42" s="114"/>
      <c r="H42" s="114"/>
      <c r="I42" s="114"/>
      <c r="J42" s="115">
        <f t="shared" si="2"/>
        <v>0.25251059213323362</v>
      </c>
      <c r="K42" s="114"/>
      <c r="L42" s="114">
        <f t="shared" si="3"/>
        <v>28</v>
      </c>
      <c r="M42" s="114"/>
      <c r="N42" s="114"/>
      <c r="O42" s="114"/>
      <c r="P42" s="114">
        <f t="shared" si="4"/>
        <v>211379.06354263372</v>
      </c>
      <c r="Q42" s="114"/>
      <c r="R42" s="114"/>
      <c r="S42" s="114"/>
      <c r="T42" s="115">
        <f t="shared" si="5"/>
        <v>3.2882534458306203E-2</v>
      </c>
      <c r="U42" s="295"/>
      <c r="V42" s="14"/>
    </row>
    <row r="43" spans="4:22" x14ac:dyDescent="0.3">
      <c r="D43" s="112">
        <f t="shared" si="0"/>
        <v>43945</v>
      </c>
      <c r="E43" s="113"/>
      <c r="F43" s="114">
        <f t="shared" si="1"/>
        <v>58518964.73510325</v>
      </c>
      <c r="G43" s="114"/>
      <c r="H43" s="114"/>
      <c r="I43" s="114"/>
      <c r="J43" s="115">
        <f t="shared" si="2"/>
        <v>0.25251059213323362</v>
      </c>
      <c r="K43" s="114"/>
      <c r="L43" s="114">
        <f t="shared" si="3"/>
        <v>29</v>
      </c>
      <c r="M43" s="114"/>
      <c r="N43" s="114"/>
      <c r="O43" s="114"/>
      <c r="P43" s="114">
        <f t="shared" si="4"/>
        <v>218329.74288333885</v>
      </c>
      <c r="Q43" s="114"/>
      <c r="R43" s="114"/>
      <c r="S43" s="114"/>
      <c r="T43" s="115">
        <f t="shared" si="5"/>
        <v>3.2882534458306203E-2</v>
      </c>
      <c r="U43" s="295"/>
      <c r="V43" s="14"/>
    </row>
    <row r="44" spans="4:22" x14ac:dyDescent="0.3">
      <c r="D44" s="112">
        <f t="shared" si="0"/>
        <v>43946</v>
      </c>
      <c r="E44" s="113"/>
      <c r="F44" s="114">
        <f t="shared" si="1"/>
        <v>73295623.171387985</v>
      </c>
      <c r="G44" s="114"/>
      <c r="H44" s="114"/>
      <c r="I44" s="114"/>
      <c r="J44" s="115">
        <f t="shared" si="2"/>
        <v>0.25251059213323362</v>
      </c>
      <c r="K44" s="114"/>
      <c r="L44" s="114">
        <f t="shared" si="3"/>
        <v>30</v>
      </c>
      <c r="M44" s="114"/>
      <c r="N44" s="114"/>
      <c r="O44" s="114"/>
      <c r="P44" s="114">
        <f t="shared" si="4"/>
        <v>225508.97817697335</v>
      </c>
      <c r="Q44" s="114"/>
      <c r="R44" s="114"/>
      <c r="S44" s="114"/>
      <c r="T44" s="115">
        <f t="shared" si="5"/>
        <v>3.2882534458306203E-2</v>
      </c>
      <c r="U44" s="295"/>
      <c r="V44" s="14"/>
    </row>
    <row r="45" spans="4:22" x14ac:dyDescent="0.3">
      <c r="D45" s="112">
        <f t="shared" si="0"/>
        <v>43947</v>
      </c>
      <c r="E45" s="113"/>
      <c r="F45" s="114">
        <f t="shared" si="1"/>
        <v>91803544.379169524</v>
      </c>
      <c r="G45" s="114"/>
      <c r="H45" s="114"/>
      <c r="I45" s="114"/>
      <c r="J45" s="115">
        <f t="shared" si="2"/>
        <v>0.25251059213323362</v>
      </c>
      <c r="K45" s="114"/>
      <c r="L45" s="114">
        <f t="shared" si="3"/>
        <v>31</v>
      </c>
      <c r="M45" s="114"/>
      <c r="N45" s="114"/>
      <c r="O45" s="114"/>
      <c r="P45" s="114">
        <f t="shared" si="4"/>
        <v>232924.28492253509</v>
      </c>
      <c r="Q45" s="114"/>
      <c r="R45" s="114"/>
      <c r="S45" s="114"/>
      <c r="T45" s="115">
        <f t="shared" si="5"/>
        <v>3.2882534458306203E-2</v>
      </c>
      <c r="U45" s="295"/>
      <c r="V45" s="14"/>
    </row>
    <row r="46" spans="4:22" x14ac:dyDescent="0.3">
      <c r="D46" s="112">
        <f t="shared" si="0"/>
        <v>43948</v>
      </c>
      <c r="E46" s="113"/>
      <c r="F46" s="114">
        <f t="shared" si="1"/>
        <v>114984911.7302832</v>
      </c>
      <c r="G46" s="114"/>
      <c r="H46" s="114"/>
      <c r="I46" s="114"/>
      <c r="J46" s="115">
        <f t="shared" si="2"/>
        <v>0.25251059213323362</v>
      </c>
      <c r="K46" s="114"/>
      <c r="L46" s="114">
        <f t="shared" si="3"/>
        <v>32</v>
      </c>
      <c r="M46" s="114"/>
      <c r="N46" s="114"/>
      <c r="O46" s="114"/>
      <c r="P46" s="114">
        <f t="shared" si="4"/>
        <v>240583.42574767667</v>
      </c>
      <c r="Q46" s="114"/>
      <c r="R46" s="114"/>
      <c r="S46" s="114"/>
      <c r="T46" s="115">
        <f t="shared" si="5"/>
        <v>3.2882534458306203E-2</v>
      </c>
      <c r="U46" s="295"/>
      <c r="V46" s="14"/>
    </row>
    <row r="47" spans="4:22" x14ac:dyDescent="0.3">
      <c r="D47" s="112">
        <f t="shared" si="0"/>
        <v>43949</v>
      </c>
      <c r="E47" s="113"/>
      <c r="F47" s="114">
        <f t="shared" si="1"/>
        <v>144019819.87768459</v>
      </c>
      <c r="G47" s="114"/>
      <c r="H47" s="114"/>
      <c r="I47" s="114"/>
      <c r="J47" s="115">
        <f t="shared" si="2"/>
        <v>0.25251059213323362</v>
      </c>
      <c r="K47" s="114"/>
      <c r="L47" s="114">
        <f t="shared" si="3"/>
        <v>33</v>
      </c>
      <c r="M47" s="114"/>
      <c r="N47" s="114"/>
      <c r="O47" s="114"/>
      <c r="P47" s="114">
        <f t="shared" si="4"/>
        <v>248494.41853492198</v>
      </c>
      <c r="Q47" s="114"/>
      <c r="R47" s="114"/>
      <c r="S47" s="114"/>
      <c r="T47" s="115">
        <f t="shared" si="5"/>
        <v>3.2882534458306203E-2</v>
      </c>
      <c r="U47" s="295"/>
      <c r="V47" s="14"/>
    </row>
    <row r="48" spans="4:22" x14ac:dyDescent="0.3">
      <c r="D48" s="112">
        <f t="shared" si="0"/>
        <v>43950</v>
      </c>
      <c r="E48" s="113"/>
      <c r="F48" s="114">
        <f t="shared" si="1"/>
        <v>180386349.87392038</v>
      </c>
      <c r="G48" s="114"/>
      <c r="H48" s="114"/>
      <c r="I48" s="114"/>
      <c r="J48" s="115">
        <f t="shared" si="2"/>
        <v>0.25251059213323362</v>
      </c>
      <c r="K48" s="114"/>
      <c r="L48" s="114">
        <f t="shared" si="3"/>
        <v>34</v>
      </c>
      <c r="M48" s="114"/>
      <c r="N48" s="114"/>
      <c r="O48" s="114"/>
      <c r="P48" s="114">
        <f t="shared" si="4"/>
        <v>256665.54481509331</v>
      </c>
      <c r="Q48" s="114"/>
      <c r="R48" s="114"/>
      <c r="S48" s="114"/>
      <c r="T48" s="115">
        <f t="shared" si="5"/>
        <v>3.2882534458306203E-2</v>
      </c>
      <c r="U48" s="295"/>
      <c r="V48" s="14"/>
    </row>
    <row r="49" spans="4:22" x14ac:dyDescent="0.3">
      <c r="D49" s="112">
        <f t="shared" si="0"/>
        <v>43951</v>
      </c>
      <c r="E49" s="113"/>
      <c r="F49" s="114">
        <f t="shared" si="1"/>
        <v>225935813.89333665</v>
      </c>
      <c r="G49" s="114"/>
      <c r="H49" s="114"/>
      <c r="I49" s="114"/>
      <c r="J49" s="115">
        <f t="shared" si="2"/>
        <v>0.25251059213323362</v>
      </c>
      <c r="K49" s="114"/>
      <c r="L49" s="114">
        <f t="shared" si="3"/>
        <v>35</v>
      </c>
      <c r="M49" s="114"/>
      <c r="N49" s="114"/>
      <c r="O49" s="114"/>
      <c r="P49" s="114">
        <f t="shared" si="4"/>
        <v>265105.35843673552</v>
      </c>
      <c r="Q49" s="114"/>
      <c r="R49" s="114"/>
      <c r="S49" s="114"/>
      <c r="T49" s="115">
        <f t="shared" si="5"/>
        <v>3.2882534458306203E-2</v>
      </c>
      <c r="U49" s="295"/>
      <c r="V49" s="14"/>
    </row>
    <row r="50" spans="4:22" x14ac:dyDescent="0.3">
      <c r="D50" s="112">
        <f t="shared" si="0"/>
        <v>43952</v>
      </c>
      <c r="E50" s="113"/>
      <c r="F50" s="114">
        <f t="shared" ref="F50" si="6">+F49*(1+J49)</f>
        <v>282987000.04364717</v>
      </c>
      <c r="G50" s="114"/>
      <c r="H50" s="114"/>
      <c r="I50" s="114"/>
      <c r="J50" s="115">
        <f t="shared" si="2"/>
        <v>0.25251059213323362</v>
      </c>
      <c r="K50" s="114"/>
      <c r="L50" s="114">
        <f t="shared" si="3"/>
        <v>36</v>
      </c>
      <c r="M50" s="114"/>
      <c r="N50" s="114"/>
      <c r="O50" s="114"/>
      <c r="P50" s="114">
        <f t="shared" ref="P50" si="7">+P49*(1+T49)</f>
        <v>273822.69452061306</v>
      </c>
      <c r="Q50" s="114"/>
      <c r="R50" s="114"/>
      <c r="S50" s="114"/>
      <c r="T50" s="115">
        <f t="shared" si="5"/>
        <v>3.2882534458306203E-2</v>
      </c>
      <c r="U50" s="295"/>
      <c r="V50" s="14"/>
    </row>
    <row r="51" spans="4:22" ht="15" thickBot="1" x14ac:dyDescent="0.35">
      <c r="D51" s="116">
        <f t="shared" si="0"/>
        <v>43953</v>
      </c>
      <c r="E51" s="117"/>
      <c r="F51" s="118"/>
      <c r="G51" s="118"/>
      <c r="H51" s="118"/>
      <c r="I51" s="118"/>
      <c r="J51" s="119"/>
      <c r="K51" s="118"/>
      <c r="L51" s="118"/>
      <c r="M51" s="118"/>
      <c r="N51" s="118"/>
      <c r="O51" s="118"/>
      <c r="P51" s="118"/>
      <c r="Q51" s="118"/>
      <c r="R51" s="118"/>
      <c r="S51" s="118"/>
      <c r="T51" s="119"/>
      <c r="U51" s="296"/>
      <c r="V51" s="14"/>
    </row>
    <row r="52" spans="4:22" x14ac:dyDescent="0.3">
      <c r="D52" s="121"/>
      <c r="F52" s="8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4"/>
      <c r="U52" s="14"/>
      <c r="V52" s="14"/>
    </row>
    <row r="53" spans="4:22" x14ac:dyDescent="0.3">
      <c r="D53" s="1"/>
      <c r="F53" s="86"/>
    </row>
    <row r="60" spans="4:22" x14ac:dyDescent="0.3">
      <c r="F60" s="1">
        <v>3797000</v>
      </c>
    </row>
    <row r="62" spans="4:22" x14ac:dyDescent="0.3">
      <c r="F62" s="1">
        <f>310*50</f>
        <v>15500</v>
      </c>
    </row>
    <row r="64" spans="4:22" x14ac:dyDescent="0.3">
      <c r="F64" s="344">
        <f>+F62/F60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Theoretical Recoveries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2020-05-02T10:57:46Z</dcterms:modified>
</cp:coreProperties>
</file>