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k\Documents\excel\COVID-19\"/>
    </mc:Choice>
  </mc:AlternateContent>
  <xr:revisionPtr revIDLastSave="0" documentId="8_{13FF97E0-16C3-4661-B3D2-7DE9626A2C77}" xr6:coauthVersionLast="45" xr6:coauthVersionMax="45" xr10:uidLastSave="{00000000-0000-0000-0000-000000000000}"/>
  <bookViews>
    <workbookView xWindow="-108" yWindow="-108" windowWidth="30936" windowHeight="16896" xr2:uid="{C1C0A8EA-F82D-4F8A-B02A-406B6741A981}"/>
  </bookViews>
  <sheets>
    <sheet name="Main Table" sheetId="1" r:id="rId1"/>
    <sheet name="Hot Spots" sheetId="2" r:id="rId2"/>
    <sheet name="ONC" sheetId="3" r:id="rId3"/>
    <sheet name="Other" sheetId="7" r:id="rId4"/>
  </sheets>
  <definedNames>
    <definedName name="_xlnm.Print_Area" localSheetId="0">'Main Table'!$A$1:$BW$70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B69" i="1" l="1"/>
  <c r="Q69" i="1"/>
  <c r="D69" i="1"/>
  <c r="S64" i="2"/>
  <c r="P58" i="3" l="1"/>
  <c r="K64" i="2" l="1"/>
  <c r="Q64" i="2" s="1"/>
  <c r="BB68" i="1"/>
  <c r="AZ68" i="1"/>
  <c r="AX68" i="1"/>
  <c r="AV68" i="1"/>
  <c r="AT68" i="1"/>
  <c r="AS68" i="1"/>
  <c r="AR68" i="1"/>
  <c r="AO68" i="1"/>
  <c r="AM68" i="1"/>
  <c r="AK68" i="1"/>
  <c r="AJ68" i="1"/>
  <c r="AI68" i="1"/>
  <c r="AG68" i="1"/>
  <c r="AF68" i="1"/>
  <c r="AE68" i="1"/>
  <c r="AD68" i="1"/>
  <c r="AC68" i="1"/>
  <c r="Z68" i="1"/>
  <c r="X68" i="1"/>
  <c r="V68" i="1"/>
  <c r="T68" i="1"/>
  <c r="S68" i="1"/>
  <c r="R68" i="1"/>
  <c r="Q68" i="1"/>
  <c r="O68" i="1"/>
  <c r="M68" i="1"/>
  <c r="L68" i="1"/>
  <c r="K68" i="1"/>
  <c r="I68" i="1"/>
  <c r="D68" i="1"/>
  <c r="BA63" i="1"/>
  <c r="BA68" i="1" s="1"/>
  <c r="AU63" i="1"/>
  <c r="BC63" i="1" s="1"/>
  <c r="BE63" i="1" s="1"/>
  <c r="AQ63" i="1"/>
  <c r="AQ68" i="1" s="1"/>
  <c r="AO63" i="1"/>
  <c r="AN63" i="1"/>
  <c r="AN68" i="1" s="1"/>
  <c r="AB63" i="1"/>
  <c r="AH63" i="1" s="1"/>
  <c r="AH68" i="1" s="1"/>
  <c r="U63" i="1"/>
  <c r="Y63" i="1" s="1"/>
  <c r="Y68" i="1" s="1"/>
  <c r="J63" i="1"/>
  <c r="J68" i="1" s="1"/>
  <c r="H63" i="1"/>
  <c r="AL63" i="1" s="1"/>
  <c r="AL68" i="1" s="1"/>
  <c r="I20" i="3"/>
  <c r="W18" i="3"/>
  <c r="S18" i="3"/>
  <c r="AB68" i="1" l="1"/>
  <c r="U64" i="2"/>
  <c r="M64" i="2"/>
  <c r="U68" i="1"/>
  <c r="BC68" i="1"/>
  <c r="AU68" i="1"/>
  <c r="H68" i="1"/>
  <c r="N63" i="1"/>
  <c r="N68" i="1" s="1"/>
  <c r="W63" i="1"/>
  <c r="W68" i="1" s="1"/>
  <c r="AW63" i="1"/>
  <c r="AW68" i="1" s="1"/>
  <c r="S63" i="2" l="1"/>
  <c r="BA62" i="1"/>
  <c r="AU62" i="1"/>
  <c r="BC62" i="1" s="1"/>
  <c r="BE62" i="1" s="1"/>
  <c r="AQ62" i="1"/>
  <c r="AO62" i="1"/>
  <c r="AN62" i="1"/>
  <c r="AB62" i="1"/>
  <c r="AH62" i="1" s="1"/>
  <c r="U62" i="1"/>
  <c r="Y62" i="1" s="1"/>
  <c r="J62" i="1"/>
  <c r="H62" i="1"/>
  <c r="AL62" i="1" s="1"/>
  <c r="S70" i="2"/>
  <c r="R70" i="2"/>
  <c r="P70" i="2"/>
  <c r="N70" i="2"/>
  <c r="L70" i="2"/>
  <c r="J70" i="2"/>
  <c r="I70" i="2"/>
  <c r="H70" i="2"/>
  <c r="G70" i="2"/>
  <c r="E70" i="2"/>
  <c r="K63" i="2"/>
  <c r="M63" i="2" s="1"/>
  <c r="M70" i="2" s="1"/>
  <c r="W63" i="2"/>
  <c r="W64" i="2" s="1"/>
  <c r="W65" i="2" s="1"/>
  <c r="W66" i="2" s="1"/>
  <c r="W67" i="2" s="1"/>
  <c r="W68" i="2" s="1"/>
  <c r="C63" i="2"/>
  <c r="C64" i="2" s="1"/>
  <c r="C65" i="2" s="1"/>
  <c r="C66" i="2" s="1"/>
  <c r="C67" i="2" s="1"/>
  <c r="C68" i="2" s="1"/>
  <c r="W17" i="3"/>
  <c r="S17" i="3"/>
  <c r="BJ62" i="1"/>
  <c r="BJ63" i="1" s="1"/>
  <c r="BJ64" i="1" s="1"/>
  <c r="BJ65" i="1" s="1"/>
  <c r="BJ66" i="1" s="1"/>
  <c r="B62" i="1"/>
  <c r="B63" i="1" s="1"/>
  <c r="B64" i="1" s="1"/>
  <c r="B65" i="1" s="1"/>
  <c r="B66" i="1" s="1"/>
  <c r="K70" i="2" l="1"/>
  <c r="N62" i="1"/>
  <c r="AW62" i="1"/>
  <c r="W62" i="1"/>
  <c r="U63" i="2"/>
  <c r="Q63" i="2"/>
  <c r="Q70" i="2" s="1"/>
  <c r="AS73" i="1"/>
  <c r="AQ73" i="1"/>
  <c r="Q73" i="1"/>
  <c r="D73" i="1"/>
  <c r="H71" i="1"/>
  <c r="L55" i="7"/>
  <c r="L56" i="7" s="1"/>
  <c r="L57" i="7" s="1"/>
  <c r="L58" i="7" s="1"/>
  <c r="L59" i="7" s="1"/>
  <c r="S62" i="2"/>
  <c r="Q72" i="1"/>
  <c r="U72" i="1" s="1"/>
  <c r="W72" i="1" s="1"/>
  <c r="Q71" i="1"/>
  <c r="U71" i="1" s="1"/>
  <c r="D72" i="1"/>
  <c r="H72" i="1" s="1"/>
  <c r="D71" i="1"/>
  <c r="AU71" i="1"/>
  <c r="AQ71" i="1"/>
  <c r="AS71" i="1"/>
  <c r="U73" i="1" l="1"/>
  <c r="H73" i="1"/>
  <c r="J72" i="1"/>
  <c r="AS69" i="1"/>
  <c r="AR69" i="1"/>
  <c r="AO69" i="1"/>
  <c r="AM69" i="1"/>
  <c r="AK69" i="1"/>
  <c r="AJ69" i="1"/>
  <c r="AI69" i="1"/>
  <c r="AG69" i="1"/>
  <c r="AF69" i="1"/>
  <c r="AE69" i="1"/>
  <c r="AD69" i="1"/>
  <c r="AC69" i="1"/>
  <c r="Z69" i="1"/>
  <c r="X69" i="1"/>
  <c r="V69" i="1"/>
  <c r="T69" i="1"/>
  <c r="S69" i="1"/>
  <c r="R69" i="1"/>
  <c r="O69" i="1"/>
  <c r="M69" i="1"/>
  <c r="L69" i="1"/>
  <c r="K69" i="1"/>
  <c r="I69" i="1"/>
  <c r="AU61" i="1"/>
  <c r="AQ61" i="1"/>
  <c r="AO61" i="1"/>
  <c r="AB61" i="1"/>
  <c r="AH61" i="1" s="1"/>
  <c r="K62" i="2"/>
  <c r="Q62" i="2" s="1"/>
  <c r="W16" i="3"/>
  <c r="S16" i="3"/>
  <c r="AQ72" i="1" l="1"/>
  <c r="AW72" i="1" s="1"/>
  <c r="BC61" i="1"/>
  <c r="BE61" i="1" s="1"/>
  <c r="AS72" i="1"/>
  <c r="AQ69" i="1"/>
  <c r="AH69" i="1"/>
  <c r="AW61" i="1"/>
  <c r="U62" i="2"/>
  <c r="M62" i="2"/>
  <c r="S61" i="2"/>
  <c r="AU73" i="1" l="1"/>
  <c r="AU72" i="1"/>
  <c r="W15" i="3"/>
  <c r="Q60" i="2"/>
  <c r="Q59" i="2"/>
  <c r="Q58" i="2"/>
  <c r="Q57" i="2"/>
  <c r="Q56" i="2"/>
  <c r="Q55" i="2"/>
  <c r="Q54" i="2"/>
  <c r="Q53" i="2"/>
  <c r="Q52" i="2"/>
  <c r="Q51" i="2"/>
  <c r="Q50" i="2"/>
  <c r="Q49" i="2"/>
  <c r="Q48" i="2"/>
  <c r="Q47" i="2"/>
  <c r="Q46" i="2"/>
  <c r="Q45" i="2"/>
  <c r="Q44" i="2"/>
  <c r="Q43" i="2"/>
  <c r="Q42" i="2"/>
  <c r="Q41" i="2"/>
  <c r="Q40" i="2"/>
  <c r="Q39" i="2"/>
  <c r="Q38" i="2"/>
  <c r="Q37" i="2"/>
  <c r="Q36" i="2"/>
  <c r="Q35" i="2"/>
  <c r="Q34" i="2"/>
  <c r="Q33" i="2"/>
  <c r="Q32" i="2"/>
  <c r="Q31" i="2"/>
  <c r="Q30" i="2"/>
  <c r="Q29" i="2"/>
  <c r="Q28" i="2"/>
  <c r="Q27" i="2"/>
  <c r="Q26" i="2"/>
  <c r="Q25" i="2"/>
  <c r="Q24" i="2"/>
  <c r="Q23" i="2"/>
  <c r="Q22" i="2"/>
  <c r="Q21" i="2"/>
  <c r="Q20" i="2"/>
  <c r="Q19" i="2"/>
  <c r="K61" i="2"/>
  <c r="M61" i="2" s="1"/>
  <c r="P63" i="3"/>
  <c r="Q61" i="2" l="1"/>
  <c r="U61" i="2"/>
  <c r="AU60" i="1"/>
  <c r="AQ60" i="1"/>
  <c r="AO60" i="1"/>
  <c r="AB60" i="1"/>
  <c r="I57" i="3"/>
  <c r="I54" i="3"/>
  <c r="P62" i="3" s="1"/>
  <c r="L54" i="3" l="1"/>
  <c r="L57" i="3"/>
  <c r="AH60" i="1"/>
  <c r="AW60" i="1"/>
  <c r="S60" i="2"/>
  <c r="AO59" i="1"/>
  <c r="T70" i="2"/>
  <c r="S59" i="2"/>
  <c r="K60" i="2"/>
  <c r="AU59" i="1"/>
  <c r="AQ59" i="1"/>
  <c r="AB59" i="1"/>
  <c r="AH59" i="1" s="1"/>
  <c r="W14" i="3"/>
  <c r="U60" i="2" l="1"/>
  <c r="M60" i="2"/>
  <c r="AW59" i="1"/>
  <c r="D55" i="7"/>
  <c r="D56" i="7" s="1"/>
  <c r="D57" i="7" s="1"/>
  <c r="D58" i="7" s="1"/>
  <c r="D59" i="7" s="1"/>
  <c r="D60" i="7" s="1"/>
  <c r="K59" i="2"/>
  <c r="M59" i="2" s="1"/>
  <c r="W13" i="3"/>
  <c r="AU58" i="1"/>
  <c r="AQ58" i="1"/>
  <c r="AB58" i="1"/>
  <c r="AH58" i="1" s="1"/>
  <c r="U59" i="2" l="1"/>
  <c r="AW58" i="1"/>
  <c r="S58" i="2"/>
  <c r="Y11" i="3" l="1"/>
  <c r="Y10" i="3"/>
  <c r="Y9" i="3"/>
  <c r="Y8" i="3"/>
  <c r="Y7" i="3"/>
  <c r="K58" i="2" l="1"/>
  <c r="AU57" i="1"/>
  <c r="AQ57" i="1"/>
  <c r="AB57" i="1"/>
  <c r="AH57" i="1" s="1"/>
  <c r="M58" i="2" l="1"/>
  <c r="U58" i="2"/>
  <c r="AW57" i="1"/>
  <c r="I46" i="3"/>
  <c r="I48" i="3" s="1"/>
  <c r="I45" i="3"/>
  <c r="S7" i="3"/>
  <c r="S8" i="3" s="1"/>
  <c r="S9" i="3" s="1"/>
  <c r="S10" i="3" s="1"/>
  <c r="S11" i="3" s="1"/>
  <c r="S12" i="3" s="1"/>
  <c r="S13" i="3" s="1"/>
  <c r="S14" i="3" s="1"/>
  <c r="S15" i="3" s="1"/>
  <c r="I47" i="3" l="1"/>
  <c r="I49" i="3" s="1"/>
  <c r="I56" i="3" s="1"/>
  <c r="AF30" i="2"/>
  <c r="AD30" i="2"/>
  <c r="S57" i="2"/>
  <c r="L54" i="7"/>
  <c r="K57" i="2"/>
  <c r="M57" i="2" s="1"/>
  <c r="AU56" i="1"/>
  <c r="AQ56" i="1"/>
  <c r="AB56" i="1"/>
  <c r="AH56" i="1" s="1"/>
  <c r="I58" i="3" l="1"/>
  <c r="L56" i="3"/>
  <c r="N49" i="3"/>
  <c r="I50" i="3"/>
  <c r="U57" i="2"/>
  <c r="AW56" i="1"/>
  <c r="S56" i="2"/>
  <c r="L53" i="7"/>
  <c r="K56" i="2"/>
  <c r="M56" i="2" s="1"/>
  <c r="AU55" i="1"/>
  <c r="AQ55" i="1"/>
  <c r="AB55" i="1"/>
  <c r="AH55" i="1" s="1"/>
  <c r="L65" i="3" l="1"/>
  <c r="L64" i="3"/>
  <c r="L58" i="3"/>
  <c r="N50" i="3"/>
  <c r="U56" i="2"/>
  <c r="AW55" i="1"/>
  <c r="Q48" i="1"/>
  <c r="S55" i="2"/>
  <c r="L52" i="7"/>
  <c r="K55" i="2"/>
  <c r="U55" i="2" s="1"/>
  <c r="AU54" i="1"/>
  <c r="AQ54" i="1"/>
  <c r="AB54" i="1"/>
  <c r="AH54" i="1" s="1"/>
  <c r="M55" i="2" l="1"/>
  <c r="AW54" i="1"/>
  <c r="S54" i="2"/>
  <c r="L51" i="7" l="1"/>
  <c r="K54" i="2"/>
  <c r="M54" i="2" s="1"/>
  <c r="AU53" i="1"/>
  <c r="AQ53" i="1"/>
  <c r="AB53" i="1"/>
  <c r="AH53" i="1" s="1"/>
  <c r="F73" i="7"/>
  <c r="F71" i="7"/>
  <c r="S53" i="2"/>
  <c r="L50" i="7"/>
  <c r="U54" i="2" l="1"/>
  <c r="AW53" i="1"/>
  <c r="K53" i="2"/>
  <c r="M53" i="2" s="1"/>
  <c r="AU52" i="1"/>
  <c r="AQ52" i="1"/>
  <c r="AB52" i="1"/>
  <c r="AH52" i="1" s="1"/>
  <c r="U53" i="2" l="1"/>
  <c r="AW52" i="1"/>
  <c r="G46" i="2"/>
  <c r="AO82" i="2"/>
  <c r="S52" i="2"/>
  <c r="AD29" i="2" l="1"/>
  <c r="G51" i="2"/>
  <c r="K51" i="2" s="1"/>
  <c r="G50" i="2"/>
  <c r="G49" i="2"/>
  <c r="G48" i="2"/>
  <c r="K48" i="2" s="1"/>
  <c r="G47" i="2"/>
  <c r="G45" i="2"/>
  <c r="G44" i="2"/>
  <c r="G43" i="2"/>
  <c r="G42" i="2"/>
  <c r="G41" i="2"/>
  <c r="G40" i="2"/>
  <c r="K40" i="2" s="1"/>
  <c r="G39" i="2"/>
  <c r="G38" i="2"/>
  <c r="K38" i="2" s="1"/>
  <c r="G37" i="2"/>
  <c r="G36" i="2"/>
  <c r="K36" i="2" s="1"/>
  <c r="G35" i="2"/>
  <c r="G34" i="2"/>
  <c r="G33" i="2"/>
  <c r="G32" i="2"/>
  <c r="K32" i="2" s="1"/>
  <c r="G31" i="2"/>
  <c r="K31" i="2" s="1"/>
  <c r="K52" i="2"/>
  <c r="AF16" i="2" s="1"/>
  <c r="K50" i="2"/>
  <c r="U50" i="2" s="1"/>
  <c r="K49" i="2"/>
  <c r="K47" i="2"/>
  <c r="K46" i="2"/>
  <c r="K45" i="2"/>
  <c r="K44" i="2"/>
  <c r="K43" i="2"/>
  <c r="K42" i="2"/>
  <c r="K41" i="2"/>
  <c r="K39" i="2"/>
  <c r="K37" i="2"/>
  <c r="K35" i="2"/>
  <c r="K34" i="2"/>
  <c r="K33" i="2"/>
  <c r="K30" i="2"/>
  <c r="G30" i="2"/>
  <c r="I24" i="3"/>
  <c r="I26" i="3" s="1"/>
  <c r="BJ11" i="1"/>
  <c r="BJ12" i="1" s="1"/>
  <c r="AA18" i="7"/>
  <c r="AC19" i="7" s="1"/>
  <c r="AC17" i="7"/>
  <c r="AC16" i="7"/>
  <c r="L15" i="7"/>
  <c r="L16" i="7" s="1"/>
  <c r="L17" i="7" s="1"/>
  <c r="L18" i="7" s="1"/>
  <c r="L19" i="7" s="1"/>
  <c r="L20" i="7" s="1"/>
  <c r="L21" i="7" s="1"/>
  <c r="L22" i="7" s="1"/>
  <c r="L23" i="7" s="1"/>
  <c r="L24" i="7" s="1"/>
  <c r="L25" i="7" s="1"/>
  <c r="L26" i="7" s="1"/>
  <c r="L27" i="7" s="1"/>
  <c r="L28" i="7" s="1"/>
  <c r="L29" i="7" s="1"/>
  <c r="L30" i="7" s="1"/>
  <c r="L31" i="7" s="1"/>
  <c r="L32" i="7" s="1"/>
  <c r="L33" i="7" s="1"/>
  <c r="L34" i="7" s="1"/>
  <c r="L35" i="7" s="1"/>
  <c r="L36" i="7" s="1"/>
  <c r="L37" i="7" s="1"/>
  <c r="L38" i="7" s="1"/>
  <c r="L39" i="7" s="1"/>
  <c r="L40" i="7" s="1"/>
  <c r="L41" i="7" s="1"/>
  <c r="L42" i="7" s="1"/>
  <c r="L43" i="7" s="1"/>
  <c r="L44" i="7" s="1"/>
  <c r="L45" i="7" s="1"/>
  <c r="L46" i="7" s="1"/>
  <c r="L47" i="7" s="1"/>
  <c r="L48" i="7" s="1"/>
  <c r="L49" i="7" s="1"/>
  <c r="D15" i="7"/>
  <c r="D16" i="7" s="1"/>
  <c r="D17" i="7" s="1"/>
  <c r="D18" i="7" s="1"/>
  <c r="D19" i="7" s="1"/>
  <c r="D20" i="7" s="1"/>
  <c r="D21" i="7" s="1"/>
  <c r="D22" i="7" s="1"/>
  <c r="D23" i="7" s="1"/>
  <c r="D24" i="7" s="1"/>
  <c r="D25" i="7" s="1"/>
  <c r="D26" i="7" s="1"/>
  <c r="D27" i="7" s="1"/>
  <c r="D28" i="7" s="1"/>
  <c r="D29" i="7" s="1"/>
  <c r="D30" i="7" s="1"/>
  <c r="D31" i="7" s="1"/>
  <c r="D32" i="7" s="1"/>
  <c r="D33" i="7" s="1"/>
  <c r="D34" i="7" s="1"/>
  <c r="D35" i="7" s="1"/>
  <c r="D36" i="7" s="1"/>
  <c r="D37" i="7" s="1"/>
  <c r="D38" i="7" s="1"/>
  <c r="D39" i="7" s="1"/>
  <c r="D40" i="7" s="1"/>
  <c r="D41" i="7" s="1"/>
  <c r="D42" i="7" s="1"/>
  <c r="D43" i="7" s="1"/>
  <c r="D44" i="7" s="1"/>
  <c r="D45" i="7" s="1"/>
  <c r="D46" i="7" s="1"/>
  <c r="D47" i="7" s="1"/>
  <c r="D48" i="7" s="1"/>
  <c r="D49" i="7" s="1"/>
  <c r="D50" i="7" s="1"/>
  <c r="D51" i="7" s="1"/>
  <c r="D52" i="7" s="1"/>
  <c r="D53" i="7" s="1"/>
  <c r="D54" i="7" s="1"/>
  <c r="N22" i="3"/>
  <c r="C12" i="2"/>
  <c r="AJ16" i="2"/>
  <c r="AJ19" i="2" s="1"/>
  <c r="AD28" i="2"/>
  <c r="F70" i="2"/>
  <c r="AD27" i="2"/>
  <c r="AF41" i="2"/>
  <c r="AH41" i="2" s="1"/>
  <c r="AH40" i="2"/>
  <c r="AH39" i="2"/>
  <c r="AH38" i="2"/>
  <c r="C13" i="2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35" i="2" s="1"/>
  <c r="C36" i="2" s="1"/>
  <c r="C37" i="2" s="1"/>
  <c r="C38" i="2" s="1"/>
  <c r="C39" i="2" s="1"/>
  <c r="C40" i="2" s="1"/>
  <c r="C41" i="2" s="1"/>
  <c r="C42" i="2" s="1"/>
  <c r="C43" i="2" s="1"/>
  <c r="C44" i="2" s="1"/>
  <c r="C45" i="2" s="1"/>
  <c r="C46" i="2" s="1"/>
  <c r="C47" i="2" s="1"/>
  <c r="C48" i="2" s="1"/>
  <c r="C49" i="2" s="1"/>
  <c r="C50" i="2" s="1"/>
  <c r="C51" i="2" s="1"/>
  <c r="C52" i="2" s="1"/>
  <c r="C53" i="2" s="1"/>
  <c r="C54" i="2" s="1"/>
  <c r="C55" i="2" s="1"/>
  <c r="C56" i="2" s="1"/>
  <c r="C57" i="2" s="1"/>
  <c r="C58" i="2" s="1"/>
  <c r="C59" i="2" s="1"/>
  <c r="C60" i="2" s="1"/>
  <c r="C61" i="2" s="1"/>
  <c r="C62" i="2" s="1"/>
  <c r="S51" i="2"/>
  <c r="S50" i="2"/>
  <c r="S49" i="2"/>
  <c r="S48" i="2"/>
  <c r="S47" i="2"/>
  <c r="S46" i="2"/>
  <c r="S45" i="2"/>
  <c r="S44" i="2"/>
  <c r="S43" i="2"/>
  <c r="S42" i="2"/>
  <c r="S41" i="2"/>
  <c r="S40" i="2"/>
  <c r="S39" i="2"/>
  <c r="S38" i="2"/>
  <c r="S37" i="2"/>
  <c r="S36" i="2"/>
  <c r="S35" i="2"/>
  <c r="S34" i="2"/>
  <c r="S33" i="2"/>
  <c r="S32" i="2"/>
  <c r="S31" i="2"/>
  <c r="S30" i="2"/>
  <c r="S29" i="2"/>
  <c r="G29" i="2"/>
  <c r="K29" i="2" s="1"/>
  <c r="S28" i="2"/>
  <c r="K28" i="2"/>
  <c r="S27" i="2"/>
  <c r="K27" i="2"/>
  <c r="S26" i="2"/>
  <c r="K26" i="2"/>
  <c r="S25" i="2"/>
  <c r="K25" i="2"/>
  <c r="S24" i="2"/>
  <c r="K24" i="2"/>
  <c r="S23" i="2"/>
  <c r="K23" i="2"/>
  <c r="S22" i="2"/>
  <c r="K22" i="2"/>
  <c r="S21" i="2"/>
  <c r="K21" i="2"/>
  <c r="S20" i="2"/>
  <c r="K20" i="2"/>
  <c r="S19" i="2"/>
  <c r="K19" i="2"/>
  <c r="K18" i="2"/>
  <c r="W12" i="2"/>
  <c r="W13" i="2" s="1"/>
  <c r="W14" i="2" s="1"/>
  <c r="W15" i="2" s="1"/>
  <c r="W16" i="2" s="1"/>
  <c r="W17" i="2" s="1"/>
  <c r="W18" i="2" s="1"/>
  <c r="W19" i="2" s="1"/>
  <c r="W20" i="2" s="1"/>
  <c r="W21" i="2" s="1"/>
  <c r="W22" i="2" s="1"/>
  <c r="W23" i="2" s="1"/>
  <c r="W24" i="2" s="1"/>
  <c r="W25" i="2" s="1"/>
  <c r="W26" i="2" s="1"/>
  <c r="W27" i="2" s="1"/>
  <c r="W28" i="2" s="1"/>
  <c r="W29" i="2" s="1"/>
  <c r="W30" i="2" s="1"/>
  <c r="W31" i="2" s="1"/>
  <c r="W32" i="2" s="1"/>
  <c r="W33" i="2" s="1"/>
  <c r="W34" i="2" s="1"/>
  <c r="W35" i="2" s="1"/>
  <c r="W36" i="2" s="1"/>
  <c r="W37" i="2" s="1"/>
  <c r="W38" i="2" s="1"/>
  <c r="W39" i="2" s="1"/>
  <c r="W40" i="2" s="1"/>
  <c r="W41" i="2" s="1"/>
  <c r="W42" i="2" s="1"/>
  <c r="W43" i="2" s="1"/>
  <c r="W44" i="2" s="1"/>
  <c r="W45" i="2" s="1"/>
  <c r="W46" i="2" s="1"/>
  <c r="W47" i="2" s="1"/>
  <c r="W48" i="2" s="1"/>
  <c r="W49" i="2" s="1"/>
  <c r="W50" i="2" s="1"/>
  <c r="W51" i="2" s="1"/>
  <c r="W52" i="2" s="1"/>
  <c r="W53" i="2" s="1"/>
  <c r="W54" i="2" s="1"/>
  <c r="W55" i="2" s="1"/>
  <c r="W56" i="2" s="1"/>
  <c r="W57" i="2" s="1"/>
  <c r="W58" i="2" s="1"/>
  <c r="W59" i="2" s="1"/>
  <c r="W60" i="2" s="1"/>
  <c r="W61" i="2" s="1"/>
  <c r="W62" i="2" s="1"/>
  <c r="BJ13" i="1" l="1"/>
  <c r="AN12" i="1"/>
  <c r="AD31" i="2"/>
  <c r="AH30" i="2" s="1"/>
  <c r="AJ30" i="2" s="1"/>
  <c r="M32" i="2"/>
  <c r="M44" i="2"/>
  <c r="M35" i="2"/>
  <c r="M43" i="2"/>
  <c r="AF19" i="2"/>
  <c r="U20" i="2"/>
  <c r="U32" i="2"/>
  <c r="U48" i="2"/>
  <c r="M21" i="2"/>
  <c r="M41" i="2"/>
  <c r="M45" i="2"/>
  <c r="M49" i="2"/>
  <c r="U24" i="2"/>
  <c r="U36" i="2"/>
  <c r="M33" i="2"/>
  <c r="M29" i="2"/>
  <c r="U28" i="2"/>
  <c r="U44" i="2"/>
  <c r="M25" i="2"/>
  <c r="U25" i="2"/>
  <c r="U33" i="2"/>
  <c r="U37" i="2"/>
  <c r="U41" i="2"/>
  <c r="U45" i="2"/>
  <c r="U49" i="2"/>
  <c r="M38" i="2"/>
  <c r="M30" i="2"/>
  <c r="M51" i="2"/>
  <c r="M26" i="2"/>
  <c r="U19" i="2"/>
  <c r="U23" i="2"/>
  <c r="U27" i="2"/>
  <c r="M40" i="2"/>
  <c r="M48" i="2"/>
  <c r="U21" i="2"/>
  <c r="U29" i="2"/>
  <c r="M22" i="2"/>
  <c r="U26" i="2"/>
  <c r="M19" i="2"/>
  <c r="M23" i="2"/>
  <c r="M27" i="2"/>
  <c r="U30" i="2"/>
  <c r="U34" i="2"/>
  <c r="U42" i="2"/>
  <c r="U22" i="2"/>
  <c r="M36" i="2"/>
  <c r="M52" i="2"/>
  <c r="M20" i="2"/>
  <c r="M24" i="2"/>
  <c r="M28" i="2"/>
  <c r="U31" i="2"/>
  <c r="U35" i="2"/>
  <c r="U39" i="2"/>
  <c r="U43" i="2"/>
  <c r="U47" i="2"/>
  <c r="U51" i="2"/>
  <c r="M37" i="2"/>
  <c r="M47" i="2"/>
  <c r="M46" i="2"/>
  <c r="M39" i="2"/>
  <c r="U38" i="2"/>
  <c r="U46" i="2"/>
  <c r="M34" i="2"/>
  <c r="M42" i="2"/>
  <c r="M50" i="2"/>
  <c r="U40" i="2"/>
  <c r="M31" i="2"/>
  <c r="U52" i="2"/>
  <c r="AU51" i="1"/>
  <c r="AQ51" i="1"/>
  <c r="AB51" i="1"/>
  <c r="AH51" i="1" s="1"/>
  <c r="BJ14" i="1" l="1"/>
  <c r="AN13" i="1"/>
  <c r="AH29" i="2"/>
  <c r="AJ29" i="2" s="1"/>
  <c r="AH28" i="2"/>
  <c r="AJ28" i="2" s="1"/>
  <c r="AH27" i="2"/>
  <c r="AW51" i="1"/>
  <c r="AU50" i="1"/>
  <c r="AQ50" i="1"/>
  <c r="AB50" i="1"/>
  <c r="AH50" i="1" s="1"/>
  <c r="BJ15" i="1" l="1"/>
  <c r="AN14" i="1"/>
  <c r="AJ27" i="2"/>
  <c r="AH31" i="2"/>
  <c r="AW50" i="1"/>
  <c r="BJ16" i="1" l="1"/>
  <c r="AN15" i="1"/>
  <c r="AJ31" i="2"/>
  <c r="AH16" i="2" s="1"/>
  <c r="AU49" i="1"/>
  <c r="AQ49" i="1"/>
  <c r="AB49" i="1"/>
  <c r="AH49" i="1" s="1"/>
  <c r="BJ17" i="1" l="1"/>
  <c r="AN16" i="1"/>
  <c r="AW49" i="1"/>
  <c r="BJ18" i="1" l="1"/>
  <c r="AN17" i="1"/>
  <c r="AU48" i="1"/>
  <c r="AQ48" i="1"/>
  <c r="AB48" i="1"/>
  <c r="AH48" i="1" s="1"/>
  <c r="B122" i="1"/>
  <c r="B125" i="1"/>
  <c r="BJ19" i="1" l="1"/>
  <c r="AN18" i="1"/>
  <c r="AW48" i="1"/>
  <c r="AU47" i="1"/>
  <c r="AQ47" i="1"/>
  <c r="AB47" i="1"/>
  <c r="AH47" i="1" s="1"/>
  <c r="BJ20" i="1" l="1"/>
  <c r="AN19" i="1"/>
  <c r="AW47" i="1"/>
  <c r="AU46" i="1"/>
  <c r="AQ46" i="1"/>
  <c r="AB46" i="1"/>
  <c r="AH46" i="1" s="1"/>
  <c r="BJ21" i="1" l="1"/>
  <c r="AN20" i="1"/>
  <c r="AW46" i="1"/>
  <c r="AU45" i="1"/>
  <c r="AQ45" i="1"/>
  <c r="AB45" i="1"/>
  <c r="AH45" i="1" s="1"/>
  <c r="BJ22" i="1" l="1"/>
  <c r="AN21" i="1"/>
  <c r="AW45" i="1"/>
  <c r="BJ23" i="1" l="1"/>
  <c r="AN22" i="1"/>
  <c r="AU44" i="1"/>
  <c r="AQ44" i="1"/>
  <c r="AB44" i="1"/>
  <c r="AH44" i="1" s="1"/>
  <c r="BJ24" i="1" l="1"/>
  <c r="AN23" i="1"/>
  <c r="AW44" i="1"/>
  <c r="AQ43" i="1"/>
  <c r="AB43" i="1"/>
  <c r="AH43" i="1" s="1"/>
  <c r="BJ25" i="1" l="1"/>
  <c r="AN24" i="1"/>
  <c r="AU43" i="1"/>
  <c r="AW43" i="1" s="1"/>
  <c r="BJ26" i="1" l="1"/>
  <c r="AN25" i="1"/>
  <c r="AU42" i="1"/>
  <c r="AQ42" i="1"/>
  <c r="AB42" i="1"/>
  <c r="AH42" i="1" s="1"/>
  <c r="BJ27" i="1" l="1"/>
  <c r="AN26" i="1"/>
  <c r="AW42" i="1"/>
  <c r="BJ28" i="1" l="1"/>
  <c r="AN27" i="1"/>
  <c r="AU41" i="1"/>
  <c r="AQ41" i="1"/>
  <c r="AB41" i="1"/>
  <c r="AH41" i="1" s="1"/>
  <c r="BJ29" i="1" l="1"/>
  <c r="AN28" i="1"/>
  <c r="AW41" i="1"/>
  <c r="BJ30" i="1" l="1"/>
  <c r="AN29" i="1"/>
  <c r="AU40" i="1"/>
  <c r="AQ40" i="1"/>
  <c r="AB40" i="1"/>
  <c r="AH40" i="1" s="1"/>
  <c r="AU39" i="1"/>
  <c r="AQ39" i="1"/>
  <c r="AB39" i="1"/>
  <c r="AH39" i="1" s="1"/>
  <c r="BJ31" i="1" l="1"/>
  <c r="AN30" i="1"/>
  <c r="AW40" i="1"/>
  <c r="BJ32" i="1" l="1"/>
  <c r="AN31" i="1"/>
  <c r="AU38" i="1"/>
  <c r="AQ38" i="1"/>
  <c r="AB38" i="1"/>
  <c r="AH38" i="1" s="1"/>
  <c r="BJ33" i="1" l="1"/>
  <c r="AN32" i="1"/>
  <c r="AU37" i="1"/>
  <c r="AQ37" i="1"/>
  <c r="AB37" i="1"/>
  <c r="AH37" i="1" s="1"/>
  <c r="AU36" i="1"/>
  <c r="AQ36" i="1"/>
  <c r="AB36" i="1"/>
  <c r="AH36" i="1" s="1"/>
  <c r="BJ34" i="1" l="1"/>
  <c r="AN33" i="1"/>
  <c r="AU35" i="1"/>
  <c r="AQ35" i="1"/>
  <c r="AB35" i="1"/>
  <c r="AH35" i="1" s="1"/>
  <c r="BJ35" i="1" l="1"/>
  <c r="AN34" i="1"/>
  <c r="AU34" i="1"/>
  <c r="AQ34" i="1"/>
  <c r="AB34" i="1"/>
  <c r="AH34" i="1" s="1"/>
  <c r="BJ36" i="1" l="1"/>
  <c r="AN35" i="1"/>
  <c r="AU33" i="1"/>
  <c r="AQ33" i="1"/>
  <c r="AB33" i="1"/>
  <c r="AH33" i="1" s="1"/>
  <c r="AU32" i="1"/>
  <c r="AQ32" i="1"/>
  <c r="AB32" i="1"/>
  <c r="AH32" i="1" s="1"/>
  <c r="BJ37" i="1" l="1"/>
  <c r="AN36" i="1"/>
  <c r="AU31" i="1"/>
  <c r="AQ31" i="1"/>
  <c r="AB31" i="1"/>
  <c r="AH31" i="1" s="1"/>
  <c r="BJ38" i="1" l="1"/>
  <c r="AN37" i="1"/>
  <c r="Q29" i="1"/>
  <c r="BJ39" i="1" l="1"/>
  <c r="AN38" i="1"/>
  <c r="AU30" i="1"/>
  <c r="AQ30" i="1"/>
  <c r="AB30" i="1"/>
  <c r="AH30" i="1" s="1"/>
  <c r="AQ29" i="1"/>
  <c r="AU29" i="1"/>
  <c r="AB29" i="1"/>
  <c r="AH29" i="1" s="1"/>
  <c r="BJ40" i="1" l="1"/>
  <c r="BA40" i="1" s="1"/>
  <c r="AN39" i="1"/>
  <c r="AU28" i="1"/>
  <c r="AQ28" i="1"/>
  <c r="AB28" i="1"/>
  <c r="AH28" i="1" s="1"/>
  <c r="BJ41" i="1" l="1"/>
  <c r="BA41" i="1" s="1"/>
  <c r="AN40" i="1"/>
  <c r="AU27" i="1"/>
  <c r="AB27" i="1"/>
  <c r="AH27" i="1" s="1"/>
  <c r="Q25" i="1"/>
  <c r="AU26" i="1"/>
  <c r="AB26" i="1"/>
  <c r="AH26" i="1" s="1"/>
  <c r="BJ42" i="1" l="1"/>
  <c r="BA42" i="1" s="1"/>
  <c r="AN41" i="1"/>
  <c r="Q24" i="1"/>
  <c r="Q23" i="1"/>
  <c r="Q22" i="1"/>
  <c r="Q21" i="1"/>
  <c r="Q20" i="1"/>
  <c r="Q17" i="1"/>
  <c r="Q13" i="1"/>
  <c r="Q12" i="1"/>
  <c r="Q10" i="1"/>
  <c r="BJ43" i="1" l="1"/>
  <c r="BA43" i="1" s="1"/>
  <c r="AN42" i="1"/>
  <c r="AU24" i="1"/>
  <c r="AS24" i="1"/>
  <c r="BJ44" i="1" l="1"/>
  <c r="BA44" i="1" s="1"/>
  <c r="AN43" i="1"/>
  <c r="BC24" i="1"/>
  <c r="AB25" i="1"/>
  <c r="AH25" i="1" s="1"/>
  <c r="AU25" i="1"/>
  <c r="AS25" i="1"/>
  <c r="AS26" i="1" s="1"/>
  <c r="AQ27" i="1" s="1"/>
  <c r="BJ45" i="1" l="1"/>
  <c r="BA45" i="1" s="1"/>
  <c r="AN44" i="1"/>
  <c r="BC25" i="1"/>
  <c r="BE24" i="1"/>
  <c r="AB24" i="1"/>
  <c r="AH24" i="1" s="1"/>
  <c r="D23" i="1"/>
  <c r="AB23" i="1"/>
  <c r="AH23" i="1" s="1"/>
  <c r="BJ46" i="1" l="1"/>
  <c r="BA46" i="1" s="1"/>
  <c r="AN45" i="1"/>
  <c r="BE25" i="1"/>
  <c r="BC26" i="1"/>
  <c r="BJ47" i="1" l="1"/>
  <c r="BA47" i="1" s="1"/>
  <c r="AN46" i="1"/>
  <c r="BE26" i="1"/>
  <c r="BC27" i="1"/>
  <c r="AB22" i="1"/>
  <c r="AH22" i="1" s="1"/>
  <c r="BJ48" i="1" l="1"/>
  <c r="BA48" i="1" s="1"/>
  <c r="AN47" i="1"/>
  <c r="BE27" i="1"/>
  <c r="BC28" i="1"/>
  <c r="BJ49" i="1" l="1"/>
  <c r="BA49" i="1" s="1"/>
  <c r="AN48" i="1"/>
  <c r="BE28" i="1"/>
  <c r="BC29" i="1"/>
  <c r="AB21" i="1"/>
  <c r="AH21" i="1" s="1"/>
  <c r="BJ50" i="1" l="1"/>
  <c r="BA50" i="1" s="1"/>
  <c r="AN49" i="1"/>
  <c r="BE29" i="1"/>
  <c r="BC30" i="1"/>
  <c r="AB20" i="1"/>
  <c r="AH20" i="1" s="1"/>
  <c r="AB19" i="1"/>
  <c r="AH19" i="1" s="1"/>
  <c r="AB18" i="1"/>
  <c r="AH18" i="1" s="1"/>
  <c r="BJ51" i="1" l="1"/>
  <c r="BA51" i="1" s="1"/>
  <c r="AN50" i="1"/>
  <c r="BE30" i="1"/>
  <c r="BC31" i="1"/>
  <c r="AB17" i="1"/>
  <c r="BJ52" i="1" l="1"/>
  <c r="BA52" i="1" s="1"/>
  <c r="AN51" i="1"/>
  <c r="BE31" i="1"/>
  <c r="BC32" i="1"/>
  <c r="AH17" i="1"/>
  <c r="B11" i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AB16" i="1"/>
  <c r="AH16" i="1" s="1"/>
  <c r="AB15" i="1"/>
  <c r="AH15" i="1" s="1"/>
  <c r="AB14" i="1"/>
  <c r="AH14" i="1" s="1"/>
  <c r="AB13" i="1"/>
  <c r="AH13" i="1" s="1"/>
  <c r="AB12" i="1"/>
  <c r="AH12" i="1" s="1"/>
  <c r="AB11" i="1"/>
  <c r="U9" i="1"/>
  <c r="U10" i="1" s="1"/>
  <c r="Y10" i="1" s="1"/>
  <c r="H9" i="1"/>
  <c r="BJ53" i="1" l="1"/>
  <c r="BA53" i="1" s="1"/>
  <c r="AN52" i="1"/>
  <c r="BE32" i="1"/>
  <c r="BC33" i="1"/>
  <c r="H10" i="1"/>
  <c r="J10" i="1"/>
  <c r="U11" i="1"/>
  <c r="Y11" i="1" s="1"/>
  <c r="BJ54" i="1" l="1"/>
  <c r="BA54" i="1" s="1"/>
  <c r="AN53" i="1"/>
  <c r="J11" i="1"/>
  <c r="N10" i="1"/>
  <c r="BE33" i="1"/>
  <c r="BC34" i="1"/>
  <c r="H11" i="1"/>
  <c r="W10" i="1"/>
  <c r="U12" i="1"/>
  <c r="Y12" i="1" s="1"/>
  <c r="BJ55" i="1" l="1"/>
  <c r="BA55" i="1" s="1"/>
  <c r="AN54" i="1"/>
  <c r="W11" i="1"/>
  <c r="N11" i="1"/>
  <c r="J12" i="1"/>
  <c r="H12" i="1"/>
  <c r="W12" i="1" s="1"/>
  <c r="BE34" i="1"/>
  <c r="BC35" i="1"/>
  <c r="U13" i="1"/>
  <c r="Y13" i="1" s="1"/>
  <c r="BJ56" i="1" l="1"/>
  <c r="BA56" i="1" s="1"/>
  <c r="AN55" i="1"/>
  <c r="AL12" i="1"/>
  <c r="N12" i="1"/>
  <c r="J13" i="1"/>
  <c r="H13" i="1"/>
  <c r="BE35" i="1"/>
  <c r="BC36" i="1"/>
  <c r="U14" i="1"/>
  <c r="Y14" i="1" s="1"/>
  <c r="BJ57" i="1" l="1"/>
  <c r="BA57" i="1" s="1"/>
  <c r="AN56" i="1"/>
  <c r="AL13" i="1"/>
  <c r="N13" i="1"/>
  <c r="J14" i="1"/>
  <c r="H14" i="1"/>
  <c r="W13" i="1"/>
  <c r="BE36" i="1"/>
  <c r="BC37" i="1"/>
  <c r="U15" i="1"/>
  <c r="Y15" i="1" s="1"/>
  <c r="BJ58" i="1" l="1"/>
  <c r="BA58" i="1" s="1"/>
  <c r="AN57" i="1"/>
  <c r="AL14" i="1"/>
  <c r="N14" i="1"/>
  <c r="J15" i="1"/>
  <c r="H15" i="1"/>
  <c r="N15" i="1" s="1"/>
  <c r="W14" i="1"/>
  <c r="BE37" i="1"/>
  <c r="BC38" i="1"/>
  <c r="U16" i="1"/>
  <c r="Y16" i="1" s="1"/>
  <c r="AL15" i="1" l="1"/>
  <c r="BJ59" i="1"/>
  <c r="BA59" i="1" s="1"/>
  <c r="AN58" i="1"/>
  <c r="J16" i="1"/>
  <c r="J14" i="7" s="1"/>
  <c r="J15" i="7" s="1"/>
  <c r="J16" i="7" s="1"/>
  <c r="J17" i="7" s="1"/>
  <c r="J18" i="7" s="1"/>
  <c r="J19" i="7" s="1"/>
  <c r="J20" i="7" s="1"/>
  <c r="J21" i="7" s="1"/>
  <c r="J22" i="7" s="1"/>
  <c r="J23" i="7" s="1"/>
  <c r="J24" i="7" s="1"/>
  <c r="J25" i="7" s="1"/>
  <c r="J26" i="7" s="1"/>
  <c r="J27" i="7" s="1"/>
  <c r="J28" i="7" s="1"/>
  <c r="J29" i="7" s="1"/>
  <c r="J30" i="7" s="1"/>
  <c r="J31" i="7" s="1"/>
  <c r="J32" i="7" s="1"/>
  <c r="J33" i="7" s="1"/>
  <c r="J34" i="7" s="1"/>
  <c r="J35" i="7" s="1"/>
  <c r="J36" i="7" s="1"/>
  <c r="J37" i="7" s="1"/>
  <c r="J38" i="7" s="1"/>
  <c r="J39" i="7" s="1"/>
  <c r="J40" i="7" s="1"/>
  <c r="J41" i="7" s="1"/>
  <c r="J42" i="7" s="1"/>
  <c r="J43" i="7" s="1"/>
  <c r="J44" i="7" s="1"/>
  <c r="J45" i="7" s="1"/>
  <c r="J46" i="7" s="1"/>
  <c r="J47" i="7" s="1"/>
  <c r="J48" i="7" s="1"/>
  <c r="J49" i="7" s="1"/>
  <c r="J50" i="7" s="1"/>
  <c r="J51" i="7" s="1"/>
  <c r="J52" i="7" s="1"/>
  <c r="J53" i="7" s="1"/>
  <c r="J54" i="7" s="1"/>
  <c r="J55" i="7" s="1"/>
  <c r="J56" i="7" s="1"/>
  <c r="J57" i="7" s="1"/>
  <c r="J58" i="7" s="1"/>
  <c r="J59" i="7" s="1"/>
  <c r="H16" i="1"/>
  <c r="H17" i="1" s="1"/>
  <c r="N17" i="1" s="1"/>
  <c r="W15" i="1"/>
  <c r="BE38" i="1"/>
  <c r="BC39" i="1"/>
  <c r="U17" i="1"/>
  <c r="Y17" i="1" s="1"/>
  <c r="BJ60" i="1" l="1"/>
  <c r="AN59" i="1"/>
  <c r="W16" i="1"/>
  <c r="AL16" i="1"/>
  <c r="J17" i="1"/>
  <c r="F14" i="7"/>
  <c r="N16" i="1"/>
  <c r="BE39" i="1"/>
  <c r="BC40" i="1"/>
  <c r="J18" i="1"/>
  <c r="H18" i="1"/>
  <c r="N18" i="1" s="1"/>
  <c r="U18" i="1"/>
  <c r="Y18" i="1" s="1"/>
  <c r="W17" i="1"/>
  <c r="AL17" i="1"/>
  <c r="BJ61" i="1" l="1"/>
  <c r="BA60" i="1"/>
  <c r="AN60" i="1"/>
  <c r="F15" i="7"/>
  <c r="F16" i="7" s="1"/>
  <c r="F17" i="7" s="1"/>
  <c r="F18" i="7" s="1"/>
  <c r="F19" i="7" s="1"/>
  <c r="F20" i="7" s="1"/>
  <c r="F21" i="7" s="1"/>
  <c r="F22" i="7" s="1"/>
  <c r="F23" i="7" s="1"/>
  <c r="F24" i="7" s="1"/>
  <c r="F25" i="7" s="1"/>
  <c r="F26" i="7" s="1"/>
  <c r="F27" i="7" s="1"/>
  <c r="F28" i="7" s="1"/>
  <c r="F29" i="7" s="1"/>
  <c r="F30" i="7" s="1"/>
  <c r="F31" i="7" s="1"/>
  <c r="F32" i="7" s="1"/>
  <c r="F33" i="7" s="1"/>
  <c r="F34" i="7" s="1"/>
  <c r="F35" i="7" s="1"/>
  <c r="F36" i="7" s="1"/>
  <c r="F37" i="7" s="1"/>
  <c r="F38" i="7" s="1"/>
  <c r="F39" i="7" s="1"/>
  <c r="F40" i="7" s="1"/>
  <c r="F41" i="7" s="1"/>
  <c r="F42" i="7" s="1"/>
  <c r="F43" i="7" s="1"/>
  <c r="F44" i="7" s="1"/>
  <c r="F45" i="7" s="1"/>
  <c r="F46" i="7" s="1"/>
  <c r="F47" i="7" s="1"/>
  <c r="F48" i="7" s="1"/>
  <c r="F49" i="7" s="1"/>
  <c r="F50" i="7" s="1"/>
  <c r="F51" i="7" s="1"/>
  <c r="F52" i="7" s="1"/>
  <c r="F53" i="7" s="1"/>
  <c r="F54" i="7" s="1"/>
  <c r="F55" i="7" s="1"/>
  <c r="F56" i="7" s="1"/>
  <c r="F57" i="7" s="1"/>
  <c r="F58" i="7" s="1"/>
  <c r="F59" i="7" s="1"/>
  <c r="P14" i="7"/>
  <c r="BE40" i="1"/>
  <c r="BC41" i="1"/>
  <c r="U19" i="1"/>
  <c r="Y19" i="1" s="1"/>
  <c r="W18" i="1"/>
  <c r="AL18" i="1"/>
  <c r="J19" i="1"/>
  <c r="H19" i="1"/>
  <c r="N19" i="1" s="1"/>
  <c r="AN61" i="1" l="1"/>
  <c r="BA61" i="1"/>
  <c r="U20" i="1"/>
  <c r="BE41" i="1"/>
  <c r="BC42" i="1"/>
  <c r="H20" i="1"/>
  <c r="N20" i="1" s="1"/>
  <c r="J20" i="1"/>
  <c r="AL19" i="1"/>
  <c r="W19" i="1"/>
  <c r="AN69" i="1" l="1"/>
  <c r="U21" i="1"/>
  <c r="Y21" i="1" s="1"/>
  <c r="Y20" i="1"/>
  <c r="BE42" i="1"/>
  <c r="BC43" i="1"/>
  <c r="W20" i="1"/>
  <c r="U22" i="1"/>
  <c r="Y22" i="1" s="1"/>
  <c r="AL20" i="1"/>
  <c r="J21" i="1"/>
  <c r="H21" i="1"/>
  <c r="N21" i="1" s="1"/>
  <c r="W21" i="1" l="1"/>
  <c r="BE43" i="1"/>
  <c r="BC44" i="1"/>
  <c r="U23" i="1"/>
  <c r="Y23" i="1" s="1"/>
  <c r="J22" i="1"/>
  <c r="H22" i="1"/>
  <c r="N22" i="1" s="1"/>
  <c r="AL21" i="1"/>
  <c r="W22" i="1" l="1"/>
  <c r="U24" i="1"/>
  <c r="BE44" i="1"/>
  <c r="BC45" i="1"/>
  <c r="AL22" i="1"/>
  <c r="J23" i="1"/>
  <c r="H23" i="1"/>
  <c r="N23" i="1" s="1"/>
  <c r="U25" i="1" l="1"/>
  <c r="Y25" i="1" s="1"/>
  <c r="Y24" i="1"/>
  <c r="H24" i="1"/>
  <c r="N24" i="1" s="1"/>
  <c r="BE45" i="1"/>
  <c r="BC46" i="1"/>
  <c r="J24" i="1"/>
  <c r="W23" i="1"/>
  <c r="AL23" i="1"/>
  <c r="U26" i="1" l="1"/>
  <c r="U27" i="1"/>
  <c r="Y27" i="1" s="1"/>
  <c r="Y26" i="1"/>
  <c r="BE46" i="1"/>
  <c r="BC47" i="1"/>
  <c r="AL24" i="1"/>
  <c r="J25" i="1"/>
  <c r="H25" i="1"/>
  <c r="N25" i="1" s="1"/>
  <c r="W24" i="1"/>
  <c r="U28" i="1" l="1"/>
  <c r="Y28" i="1" s="1"/>
  <c r="U29" i="1"/>
  <c r="Y29" i="1" s="1"/>
  <c r="BE47" i="1"/>
  <c r="BC48" i="1"/>
  <c r="H26" i="1"/>
  <c r="N26" i="1" s="1"/>
  <c r="J26" i="1"/>
  <c r="AL25" i="1"/>
  <c r="W25" i="1"/>
  <c r="U30" i="1" l="1"/>
  <c r="Y30" i="1" s="1"/>
  <c r="BE48" i="1"/>
  <c r="BC49" i="1"/>
  <c r="H27" i="1"/>
  <c r="N27" i="1" s="1"/>
  <c r="J27" i="1"/>
  <c r="AL26" i="1"/>
  <c r="W26" i="1"/>
  <c r="U31" i="1" l="1"/>
  <c r="Y31" i="1" s="1"/>
  <c r="BE49" i="1"/>
  <c r="BC50" i="1"/>
  <c r="J28" i="1"/>
  <c r="H28" i="1"/>
  <c r="N28" i="1" s="1"/>
  <c r="AL27" i="1"/>
  <c r="W27" i="1"/>
  <c r="BE50" i="1" l="1"/>
  <c r="BC51" i="1"/>
  <c r="U32" i="1"/>
  <c r="Y32" i="1" s="1"/>
  <c r="H29" i="1"/>
  <c r="N29" i="1" s="1"/>
  <c r="J29" i="1"/>
  <c r="AL28" i="1"/>
  <c r="W28" i="1"/>
  <c r="BE51" i="1" l="1"/>
  <c r="BC52" i="1"/>
  <c r="U33" i="1"/>
  <c r="Y33" i="1" s="1"/>
  <c r="H30" i="1"/>
  <c r="N30" i="1" s="1"/>
  <c r="J30" i="1"/>
  <c r="AL29" i="1"/>
  <c r="W29" i="1"/>
  <c r="BE52" i="1" l="1"/>
  <c r="BC53" i="1"/>
  <c r="U34" i="1"/>
  <c r="Y34" i="1" s="1"/>
  <c r="H31" i="1"/>
  <c r="J31" i="1"/>
  <c r="AL30" i="1"/>
  <c r="W30" i="1"/>
  <c r="J32" i="1" l="1"/>
  <c r="N31" i="1"/>
  <c r="BE53" i="1"/>
  <c r="BC54" i="1"/>
  <c r="H32" i="1"/>
  <c r="W31" i="1"/>
  <c r="AL31" i="1"/>
  <c r="U35" i="1"/>
  <c r="Y35" i="1" s="1"/>
  <c r="J33" i="1" l="1"/>
  <c r="N32" i="1"/>
  <c r="H33" i="1"/>
  <c r="N33" i="1" s="1"/>
  <c r="BE54" i="1"/>
  <c r="BC55" i="1"/>
  <c r="AL32" i="1"/>
  <c r="W32" i="1"/>
  <c r="U36" i="1"/>
  <c r="Y36" i="1" s="1"/>
  <c r="W33" i="1" l="1"/>
  <c r="AL33" i="1"/>
  <c r="H34" i="1"/>
  <c r="N34" i="1" s="1"/>
  <c r="BE55" i="1"/>
  <c r="BC56" i="1"/>
  <c r="J34" i="1"/>
  <c r="U37" i="1"/>
  <c r="Y37" i="1" s="1"/>
  <c r="W34" i="1"/>
  <c r="J35" i="1" l="1"/>
  <c r="H35" i="1"/>
  <c r="N35" i="1" s="1"/>
  <c r="AL34" i="1"/>
  <c r="BE56" i="1"/>
  <c r="BC57" i="1"/>
  <c r="U38" i="1"/>
  <c r="Y38" i="1" s="1"/>
  <c r="J36" i="1"/>
  <c r="H36" i="1"/>
  <c r="N36" i="1" s="1"/>
  <c r="W35" i="1" l="1"/>
  <c r="AL35" i="1"/>
  <c r="BE57" i="1"/>
  <c r="BC58" i="1"/>
  <c r="U39" i="1"/>
  <c r="Y39" i="1" s="1"/>
  <c r="AL36" i="1"/>
  <c r="H37" i="1"/>
  <c r="N37" i="1" s="1"/>
  <c r="J37" i="1"/>
  <c r="W36" i="1"/>
  <c r="BE58" i="1" l="1"/>
  <c r="BC59" i="1"/>
  <c r="U40" i="1"/>
  <c r="Y40" i="1" s="1"/>
  <c r="J38" i="1"/>
  <c r="H38" i="1"/>
  <c r="N38" i="1" s="1"/>
  <c r="AL37" i="1"/>
  <c r="W37" i="1"/>
  <c r="BE59" i="1" l="1"/>
  <c r="BC60" i="1"/>
  <c r="BE60" i="1" s="1"/>
  <c r="U41" i="1"/>
  <c r="Y41" i="1" s="1"/>
  <c r="AL38" i="1"/>
  <c r="J39" i="1"/>
  <c r="H39" i="1"/>
  <c r="N39" i="1" s="1"/>
  <c r="W38" i="1"/>
  <c r="H40" i="1" l="1"/>
  <c r="N40" i="1" s="1"/>
  <c r="U42" i="1"/>
  <c r="Y42" i="1" s="1"/>
  <c r="J40" i="1"/>
  <c r="AL39" i="1"/>
  <c r="W39" i="1"/>
  <c r="U43" i="1" l="1"/>
  <c r="Y43" i="1" s="1"/>
  <c r="J41" i="1"/>
  <c r="H41" i="1"/>
  <c r="N41" i="1" s="1"/>
  <c r="AL40" i="1"/>
  <c r="W40" i="1"/>
  <c r="U44" i="1" l="1"/>
  <c r="Y44" i="1" s="1"/>
  <c r="J42" i="1"/>
  <c r="H42" i="1"/>
  <c r="N42" i="1" s="1"/>
  <c r="AL41" i="1"/>
  <c r="W41" i="1"/>
  <c r="U45" i="1" l="1"/>
  <c r="Y45" i="1" s="1"/>
  <c r="J43" i="1"/>
  <c r="H43" i="1"/>
  <c r="N43" i="1" s="1"/>
  <c r="AL42" i="1"/>
  <c r="W42" i="1"/>
  <c r="U46" i="1" l="1"/>
  <c r="Y46" i="1" s="1"/>
  <c r="J44" i="1"/>
  <c r="H44" i="1"/>
  <c r="AL43" i="1"/>
  <c r="W43" i="1"/>
  <c r="N44" i="1" l="1"/>
  <c r="U47" i="1"/>
  <c r="Y47" i="1" s="1"/>
  <c r="AL44" i="1"/>
  <c r="J45" i="1"/>
  <c r="W44" i="1"/>
  <c r="H45" i="1"/>
  <c r="N45" i="1" s="1"/>
  <c r="H46" i="1" l="1"/>
  <c r="U48" i="1"/>
  <c r="Y48" i="1" s="1"/>
  <c r="J46" i="1"/>
  <c r="AL45" i="1"/>
  <c r="W45" i="1"/>
  <c r="J47" i="1" l="1"/>
  <c r="N46" i="1"/>
  <c r="H47" i="1"/>
  <c r="N71" i="1" s="1"/>
  <c r="U49" i="1"/>
  <c r="Y49" i="1" s="1"/>
  <c r="AL46" i="1"/>
  <c r="W46" i="1"/>
  <c r="AL47" i="1" l="1"/>
  <c r="N47" i="1"/>
  <c r="W47" i="1"/>
  <c r="H48" i="1"/>
  <c r="J48" i="1"/>
  <c r="U50" i="1"/>
  <c r="Y50" i="1" s="1"/>
  <c r="AL48" i="1"/>
  <c r="W48" i="1"/>
  <c r="J49" i="1" l="1"/>
  <c r="N48" i="1"/>
  <c r="H49" i="1"/>
  <c r="N49" i="1" s="1"/>
  <c r="U51" i="1"/>
  <c r="H50" i="1"/>
  <c r="N50" i="1" s="1"/>
  <c r="AL49" i="1"/>
  <c r="W49" i="1"/>
  <c r="J50" i="1" l="1"/>
  <c r="U52" i="1"/>
  <c r="Y51" i="1"/>
  <c r="J51" i="1"/>
  <c r="H51" i="1"/>
  <c r="N51" i="1" s="1"/>
  <c r="AL50" i="1"/>
  <c r="W50" i="1"/>
  <c r="U53" i="1" l="1"/>
  <c r="Y52" i="1"/>
  <c r="H52" i="1"/>
  <c r="N52" i="1" s="1"/>
  <c r="J52" i="1"/>
  <c r="W51" i="1"/>
  <c r="AL51" i="1"/>
  <c r="U54" i="1" l="1"/>
  <c r="Y53" i="1"/>
  <c r="AL52" i="1"/>
  <c r="H53" i="1"/>
  <c r="N53" i="1" s="1"/>
  <c r="J53" i="1"/>
  <c r="W52" i="1"/>
  <c r="Y54" i="1" l="1"/>
  <c r="U55" i="1"/>
  <c r="AL53" i="1"/>
  <c r="H54" i="1"/>
  <c r="J54" i="1"/>
  <c r="W53" i="1"/>
  <c r="N54" i="1" l="1"/>
  <c r="N72" i="1"/>
  <c r="Y55" i="1"/>
  <c r="U56" i="1"/>
  <c r="H55" i="1"/>
  <c r="N55" i="1" s="1"/>
  <c r="J55" i="1"/>
  <c r="AL54" i="1"/>
  <c r="W54" i="1"/>
  <c r="Y56" i="1" l="1"/>
  <c r="U57" i="1"/>
  <c r="J56" i="1"/>
  <c r="H56" i="1"/>
  <c r="AL55" i="1"/>
  <c r="W55" i="1"/>
  <c r="N56" i="1" l="1"/>
  <c r="H57" i="1"/>
  <c r="J57" i="1"/>
  <c r="Y57" i="1"/>
  <c r="U58" i="1"/>
  <c r="W57" i="1"/>
  <c r="AL56" i="1"/>
  <c r="W56" i="1"/>
  <c r="Y58" i="1" l="1"/>
  <c r="U59" i="1"/>
  <c r="U60" i="1" s="1"/>
  <c r="AL57" i="1"/>
  <c r="N57" i="1"/>
  <c r="J58" i="1"/>
  <c r="H58" i="1"/>
  <c r="W58" i="1" s="1"/>
  <c r="U61" i="1" l="1"/>
  <c r="U69" i="1" s="1"/>
  <c r="Y60" i="1"/>
  <c r="Y59" i="1"/>
  <c r="AL58" i="1"/>
  <c r="J59" i="1"/>
  <c r="H59" i="1"/>
  <c r="N58" i="1"/>
  <c r="Y61" i="1" l="1"/>
  <c r="J60" i="1"/>
  <c r="H60" i="1"/>
  <c r="AL59" i="1"/>
  <c r="N59" i="1"/>
  <c r="W59" i="1"/>
  <c r="AJ21" i="2"/>
  <c r="I21" i="3"/>
  <c r="Y12" i="3"/>
  <c r="Y13" i="3"/>
  <c r="J61" i="1" l="1"/>
  <c r="T14" i="7" s="1"/>
  <c r="T15" i="7" s="1"/>
  <c r="T16" i="7" s="1"/>
  <c r="T17" i="7" s="1"/>
  <c r="T18" i="7" s="1"/>
  <c r="T19" i="7" s="1"/>
  <c r="T20" i="7" s="1"/>
  <c r="T21" i="7" s="1"/>
  <c r="T22" i="7" s="1"/>
  <c r="T23" i="7" s="1"/>
  <c r="T24" i="7" s="1"/>
  <c r="T25" i="7" s="1"/>
  <c r="T26" i="7" s="1"/>
  <c r="T27" i="7" s="1"/>
  <c r="T28" i="7" s="1"/>
  <c r="T29" i="7" s="1"/>
  <c r="T30" i="7" s="1"/>
  <c r="T31" i="7" s="1"/>
  <c r="T32" i="7" s="1"/>
  <c r="T33" i="7" s="1"/>
  <c r="T34" i="7" s="1"/>
  <c r="T35" i="7" s="1"/>
  <c r="T36" i="7" s="1"/>
  <c r="T37" i="7" s="1"/>
  <c r="T38" i="7" s="1"/>
  <c r="T39" i="7" s="1"/>
  <c r="T40" i="7" s="1"/>
  <c r="T41" i="7" s="1"/>
  <c r="T42" i="7" s="1"/>
  <c r="T43" i="7" s="1"/>
  <c r="T44" i="7" s="1"/>
  <c r="T45" i="7" s="1"/>
  <c r="T46" i="7" s="1"/>
  <c r="T47" i="7" s="1"/>
  <c r="T48" i="7" s="1"/>
  <c r="T49" i="7" s="1"/>
  <c r="T50" i="7" s="1"/>
  <c r="T51" i="7" s="1"/>
  <c r="T52" i="7" s="1"/>
  <c r="T53" i="7" s="1"/>
  <c r="T54" i="7" s="1"/>
  <c r="T55" i="7" s="1"/>
  <c r="T56" i="7" s="1"/>
  <c r="T57" i="7" s="1"/>
  <c r="T58" i="7" s="1"/>
  <c r="T59" i="7" s="1"/>
  <c r="H61" i="1"/>
  <c r="H69" i="1" s="1"/>
  <c r="Y69" i="1"/>
  <c r="AL60" i="1"/>
  <c r="N60" i="1"/>
  <c r="W60" i="1"/>
  <c r="I23" i="3"/>
  <c r="I25" i="3" s="1"/>
  <c r="I27" i="3" s="1"/>
  <c r="I35" i="3"/>
  <c r="P15" i="7" l="1"/>
  <c r="P16" i="7" s="1"/>
  <c r="P17" i="7" s="1"/>
  <c r="P18" i="7" s="1"/>
  <c r="P19" i="7" s="1"/>
  <c r="P20" i="7" s="1"/>
  <c r="P21" i="7" s="1"/>
  <c r="P22" i="7" s="1"/>
  <c r="P23" i="7" s="1"/>
  <c r="P24" i="7" s="1"/>
  <c r="P25" i="7" s="1"/>
  <c r="P26" i="7" s="1"/>
  <c r="P27" i="7" s="1"/>
  <c r="P28" i="7" s="1"/>
  <c r="P29" i="7" s="1"/>
  <c r="P30" i="7" s="1"/>
  <c r="P31" i="7" s="1"/>
  <c r="P32" i="7" s="1"/>
  <c r="P33" i="7" s="1"/>
  <c r="P34" i="7" s="1"/>
  <c r="P35" i="7" s="1"/>
  <c r="P36" i="7" s="1"/>
  <c r="P37" i="7" s="1"/>
  <c r="P38" i="7" s="1"/>
  <c r="P39" i="7" s="1"/>
  <c r="P40" i="7" s="1"/>
  <c r="P41" i="7" s="1"/>
  <c r="P42" i="7" s="1"/>
  <c r="P43" i="7" s="1"/>
  <c r="P44" i="7" s="1"/>
  <c r="P45" i="7" s="1"/>
  <c r="P46" i="7" s="1"/>
  <c r="P47" i="7" s="1"/>
  <c r="P48" i="7" s="1"/>
  <c r="P49" i="7" s="1"/>
  <c r="P50" i="7" s="1"/>
  <c r="P51" i="7" s="1"/>
  <c r="P52" i="7" s="1"/>
  <c r="P53" i="7" s="1"/>
  <c r="P54" i="7" s="1"/>
  <c r="P55" i="7" s="1"/>
  <c r="P56" i="7" s="1"/>
  <c r="P57" i="7" s="1"/>
  <c r="P58" i="7" s="1"/>
  <c r="P59" i="7" s="1"/>
  <c r="AL61" i="1"/>
  <c r="N61" i="1"/>
  <c r="W61" i="1"/>
  <c r="N69" i="1"/>
  <c r="J69" i="1"/>
  <c r="AF21" i="2"/>
  <c r="I32" i="3"/>
  <c r="L35" i="3" s="1"/>
  <c r="I34" i="3"/>
  <c r="N27" i="3"/>
  <c r="N28" i="3" s="1"/>
  <c r="W69" i="1" l="1"/>
  <c r="AL69" i="1"/>
  <c r="I28" i="3"/>
  <c r="L32" i="3"/>
  <c r="L34" i="3"/>
  <c r="I36" i="3"/>
  <c r="Y17" i="3" l="1"/>
  <c r="U18" i="3"/>
  <c r="Y18" i="3" s="1"/>
  <c r="Y15" i="3"/>
  <c r="Y16" i="3"/>
  <c r="Y14" i="3"/>
  <c r="L36" i="3"/>
  <c r="W12" i="3" s="1"/>
</calcChain>
</file>

<file path=xl/sharedStrings.xml><?xml version="1.0" encoding="utf-8"?>
<sst xmlns="http://schemas.openxmlformats.org/spreadsheetml/2006/main" count="204" uniqueCount="123">
  <si>
    <t>BASE</t>
  </si>
  <si>
    <t>New</t>
  </si>
  <si>
    <t>Cumulative</t>
  </si>
  <si>
    <t>Delta</t>
  </si>
  <si>
    <t>Deaths</t>
  </si>
  <si>
    <t>COVID-19</t>
  </si>
  <si>
    <t>USA Analysis</t>
  </si>
  <si>
    <t>Target:</t>
  </si>
  <si>
    <t>NY</t>
  </si>
  <si>
    <t>Combined</t>
  </si>
  <si>
    <t>%</t>
  </si>
  <si>
    <t>Source:  Worldometer</t>
  </si>
  <si>
    <t>5 days / lower new</t>
  </si>
  <si>
    <t>New York &amp; New Jersey, % USA (source CNN)</t>
  </si>
  <si>
    <t>MAK Table</t>
  </si>
  <si>
    <t>Important milestone:  Recovery rate / number: exceeds new cases / rate.</t>
  </si>
  <si>
    <t>Δ</t>
  </si>
  <si>
    <t>% of  cases</t>
  </si>
  <si>
    <t xml:space="preserve"> </t>
  </si>
  <si>
    <t>Days</t>
  </si>
  <si>
    <t>Dates</t>
  </si>
  <si>
    <t>Cases</t>
  </si>
  <si>
    <t>Growth Rate</t>
  </si>
  <si>
    <t>Rate</t>
  </si>
  <si>
    <t>Hypothetical Growth Rates</t>
  </si>
  <si>
    <t>Positive</t>
  </si>
  <si>
    <t>Tests</t>
  </si>
  <si>
    <t>&lt; 5.0%</t>
  </si>
  <si>
    <t xml:space="preserve"> &gt; 50% - recovery</t>
  </si>
  <si>
    <t>(1)</t>
  </si>
  <si>
    <t>%  US</t>
  </si>
  <si>
    <t>Population</t>
  </si>
  <si>
    <t>Greater Metro Areas</t>
  </si>
  <si>
    <t>Rate per 100,000</t>
  </si>
  <si>
    <t>Totals</t>
  </si>
  <si>
    <t>% of US</t>
  </si>
  <si>
    <r>
      <t>Deaths</t>
    </r>
    <r>
      <rPr>
        <b/>
        <vertAlign val="superscript"/>
        <sz val="11"/>
        <color theme="1"/>
        <rFont val="Calibri"/>
        <family val="2"/>
        <scheme val="minor"/>
      </rPr>
      <t xml:space="preserve"> (1)</t>
    </r>
  </si>
  <si>
    <t>Daily</t>
  </si>
  <si>
    <t>Total Cases</t>
  </si>
  <si>
    <t>NY &amp; NJ &amp; CT</t>
  </si>
  <si>
    <t>NY/NJ/CT</t>
  </si>
  <si>
    <t>(2)</t>
  </si>
  <si>
    <t>Untied States</t>
  </si>
  <si>
    <t>Connecticut was added to better represent the greater metropolitan NYC area.</t>
  </si>
  <si>
    <t>Cases two weeks prior</t>
  </si>
  <si>
    <t>Less:</t>
  </si>
  <si>
    <t xml:space="preserve">Critical </t>
  </si>
  <si>
    <t>Theoretical Recoveries</t>
  </si>
  <si>
    <t>(3)</t>
  </si>
  <si>
    <t>Day GMT +4</t>
  </si>
  <si>
    <t>Unaccounted recoveries</t>
  </si>
  <si>
    <t>NYC</t>
  </si>
  <si>
    <t>NJ</t>
  </si>
  <si>
    <t>CT</t>
  </si>
  <si>
    <t>Metro</t>
  </si>
  <si>
    <t>Rate / 100k</t>
  </si>
  <si>
    <t>WA</t>
  </si>
  <si>
    <t>Calc</t>
  </si>
  <si>
    <t>NYC Metro Weighted Average (WA)</t>
  </si>
  <si>
    <t xml:space="preserve">A retroactive adjustment of 2,310 for new cases and 21 for deaths were made so that the cumulative results equal the reporting groups data. </t>
  </si>
  <si>
    <t>Massachusetts</t>
  </si>
  <si>
    <t>USA</t>
  </si>
  <si>
    <t>Hot Spots</t>
  </si>
  <si>
    <t xml:space="preserve">65 + </t>
  </si>
  <si>
    <t>Population Analysis</t>
  </si>
  <si>
    <t>Category</t>
  </si>
  <si>
    <t>Per 1 M</t>
  </si>
  <si>
    <t>w/ diabetes</t>
  </si>
  <si>
    <t>vs. total</t>
  </si>
  <si>
    <t>There are potential timing differences between the data reported by US sources vs. Worldometer cut-off.  Cut-off is +4 GMT.</t>
  </si>
  <si>
    <t>(4)</t>
  </si>
  <si>
    <t>On 4/14/20 NYC added an additional 3,778 deaths that happened since 3/11/20, the retroactive data effected both cases and deaths.</t>
  </si>
  <si>
    <t>% of cases</t>
  </si>
  <si>
    <t>Sub total</t>
  </si>
  <si>
    <t>Add back recoveries</t>
  </si>
  <si>
    <t>Day Before</t>
  </si>
  <si>
    <t>Change</t>
  </si>
  <si>
    <t>Yesterday</t>
  </si>
  <si>
    <t>Description</t>
  </si>
  <si>
    <t>Recoveries</t>
  </si>
  <si>
    <t>Less: Reported recoveries</t>
  </si>
  <si>
    <t>Date</t>
  </si>
  <si>
    <t>% Change</t>
  </si>
  <si>
    <t>% Total</t>
  </si>
  <si>
    <t>Calculation Use:</t>
  </si>
  <si>
    <t>Use for Calc:</t>
  </si>
  <si>
    <t>Purpose:</t>
  </si>
  <si>
    <t>The "Hypothetical Growth Rate" table is designed to show the effect of compounded growth.</t>
  </si>
  <si>
    <t>The cells highlighted in pink can be adjusted to see the effect.</t>
  </si>
  <si>
    <t>Rates used for illustrative purposes are the growth rate as of 3/26/20 and the latest reporting date.</t>
  </si>
  <si>
    <t>Notice a small change in the growth rates (up or down) have a dramatic effect.</t>
  </si>
  <si>
    <t>Total cases:</t>
  </si>
  <si>
    <t xml:space="preserve">          Deaths</t>
  </si>
  <si>
    <t>Pennsylvania</t>
  </si>
  <si>
    <t>Philadelphia</t>
  </si>
  <si>
    <t>1)</t>
  </si>
  <si>
    <t>Recoveries have been under reported for many reasons including:</t>
  </si>
  <si>
    <t>a)</t>
  </si>
  <si>
    <t>b)</t>
  </si>
  <si>
    <t>c)</t>
  </si>
  <si>
    <t>Limited of resources and focus on this category.</t>
  </si>
  <si>
    <t>2)</t>
  </si>
  <si>
    <t>A key assumption is that cases over two weeks old are resolved.</t>
  </si>
  <si>
    <t>The patient is either recovered, in extended care or has passed.</t>
  </si>
  <si>
    <t>We are calculating "Unaccounted for Recoveries"</t>
  </si>
  <si>
    <t>3)</t>
  </si>
  <si>
    <t>The unaccounted for recovers plus those accounted for equal:</t>
  </si>
  <si>
    <t>Theoretical Recoveries, see table below.</t>
  </si>
  <si>
    <t>MA</t>
  </si>
  <si>
    <t>#</t>
  </si>
  <si>
    <t>% of All</t>
  </si>
  <si>
    <t>Cases / 100,000</t>
  </si>
  <si>
    <t>Ohio Population:</t>
  </si>
  <si>
    <t xml:space="preserve">Percent </t>
  </si>
  <si>
    <t>Data collection, recoding and reporting challenges.</t>
  </si>
  <si>
    <t>The lack of being able to measure "self-diagnosed" cases.</t>
  </si>
  <si>
    <t>Less: Theoretical Recoveries</t>
  </si>
  <si>
    <t>Open Net Cases</t>
  </si>
  <si>
    <t>Average</t>
  </si>
  <si>
    <t xml:space="preserve"> New Cases</t>
  </si>
  <si>
    <t>Summary Data</t>
  </si>
  <si>
    <t>Open Net Cases (5/11/20)</t>
  </si>
  <si>
    <t>OHIO Theoretical Recoveries (5/12/20)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</si>
</sst>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0.000%"/>
    <numFmt numFmtId="167" formatCode="_(* #,##0.000_);_(* \(#,##0.000\);_(* &quot;-&quot;??_);_(@_)"/>
    <numFmt numFmtId="168" formatCode="0.0000%"/>
    <numFmt numFmtId="169" formatCode="_(* #,##0.0_);_(* \(#,##0.0\);_(* &quot;-&quot;??_);_(@_)"/>
    <numFmt numFmtId="170" formatCode="_(* #,##0.000000_);_(* \(#,##0.000000\);_(* &quot;-&quot;??_);_(@_)"/>
    <numFmt numFmtId="171" formatCode="m/d/yy;@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</font>
    <font>
      <b/>
      <vertAlign val="superscript"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8"/>
      <color theme="1"/>
      <name val="Calibri"/>
      <family val="2"/>
    </font>
    <font>
      <b/>
      <sz val="12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EB4EC"/>
        <bgColor indexed="64"/>
      </patternFill>
    </fill>
    <fill>
      <patternFill patternType="solid">
        <fgColor rgb="FFE5B0FA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rgb="FFC00000"/>
      </left>
      <right/>
      <top style="medium">
        <color rgb="FFC00000"/>
      </top>
      <bottom/>
      <diagonal/>
    </border>
    <border>
      <left/>
      <right/>
      <top style="medium">
        <color rgb="FFC00000"/>
      </top>
      <bottom/>
      <diagonal/>
    </border>
    <border>
      <left/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/>
      <top/>
      <bottom/>
      <diagonal/>
    </border>
    <border>
      <left/>
      <right style="medium">
        <color rgb="FFC00000"/>
      </right>
      <top/>
      <bottom/>
      <diagonal/>
    </border>
    <border>
      <left style="medium">
        <color rgb="FFC00000"/>
      </left>
      <right/>
      <top/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/>
      <right style="medium">
        <color rgb="FFC00000"/>
      </right>
      <top/>
      <bottom style="medium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indexed="64"/>
      </bottom>
      <diagonal/>
    </border>
    <border>
      <left/>
      <right/>
      <top style="medium">
        <color rgb="FFC00000"/>
      </top>
      <bottom style="medium">
        <color indexed="64"/>
      </bottom>
      <diagonal/>
    </border>
    <border>
      <left/>
      <right style="medium">
        <color rgb="FFC00000"/>
      </right>
      <top style="medium">
        <color rgb="FFC00000"/>
      </top>
      <bottom style="medium">
        <color indexed="64"/>
      </bottom>
      <diagonal/>
    </border>
    <border>
      <left style="medium">
        <color rgb="FFC00000"/>
      </left>
      <right/>
      <top style="medium">
        <color indexed="64"/>
      </top>
      <bottom/>
      <diagonal/>
    </border>
    <border>
      <left/>
      <right style="medium">
        <color rgb="FFC00000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14">
    <xf numFmtId="0" fontId="0" fillId="0" borderId="0" xfId="0"/>
    <xf numFmtId="164" fontId="0" fillId="0" borderId="0" xfId="1" applyNumberFormat="1" applyFont="1"/>
    <xf numFmtId="0" fontId="0" fillId="0" borderId="0" xfId="0" applyAlignment="1">
      <alignment horizontal="center"/>
    </xf>
    <xf numFmtId="0" fontId="2" fillId="0" borderId="0" xfId="0" applyFont="1"/>
    <xf numFmtId="0" fontId="0" fillId="5" borderId="1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5" borderId="0" xfId="0" applyFill="1" applyBorder="1"/>
    <xf numFmtId="164" fontId="0" fillId="5" borderId="0" xfId="1" applyNumberFormat="1" applyFont="1" applyFill="1" applyBorder="1"/>
    <xf numFmtId="0" fontId="2" fillId="4" borderId="3" xfId="0" applyFont="1" applyFill="1" applyBorder="1" applyAlignment="1">
      <alignment horizontal="right"/>
    </xf>
    <xf numFmtId="0" fontId="3" fillId="0" borderId="0" xfId="0" applyFont="1" applyAlignment="1">
      <alignment horizontal="left"/>
    </xf>
    <xf numFmtId="164" fontId="0" fillId="0" borderId="0" xfId="1" applyNumberFormat="1" applyFont="1" applyFill="1"/>
    <xf numFmtId="0" fontId="2" fillId="9" borderId="6" xfId="0" applyFont="1" applyFill="1" applyBorder="1" applyAlignment="1">
      <alignment horizontal="center"/>
    </xf>
    <xf numFmtId="0" fontId="2" fillId="9" borderId="7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10" xfId="0" applyFill="1" applyBorder="1"/>
    <xf numFmtId="0" fontId="0" fillId="2" borderId="0" xfId="0" applyFill="1" applyBorder="1"/>
    <xf numFmtId="164" fontId="0" fillId="2" borderId="0" xfId="1" applyNumberFormat="1" applyFont="1" applyFill="1" applyBorder="1"/>
    <xf numFmtId="164" fontId="0" fillId="2" borderId="10" xfId="1" applyNumberFormat="1" applyFont="1" applyFill="1" applyBorder="1"/>
    <xf numFmtId="164" fontId="0" fillId="2" borderId="8" xfId="1" applyNumberFormat="1" applyFont="1" applyFill="1" applyBorder="1"/>
    <xf numFmtId="164" fontId="0" fillId="2" borderId="1" xfId="1" applyNumberFormat="1" applyFont="1" applyFill="1" applyBorder="1"/>
    <xf numFmtId="0" fontId="0" fillId="3" borderId="8" xfId="0" applyFill="1" applyBorder="1" applyAlignment="1">
      <alignment horizontal="center"/>
    </xf>
    <xf numFmtId="0" fontId="0" fillId="3" borderId="10" xfId="0" applyFill="1" applyBorder="1"/>
    <xf numFmtId="0" fontId="0" fillId="3" borderId="0" xfId="0" applyFill="1" applyBorder="1"/>
    <xf numFmtId="164" fontId="0" fillId="3" borderId="10" xfId="1" applyNumberFormat="1" applyFont="1" applyFill="1" applyBorder="1"/>
    <xf numFmtId="164" fontId="0" fillId="3" borderId="0" xfId="1" applyNumberFormat="1" applyFont="1" applyFill="1" applyBorder="1"/>
    <xf numFmtId="165" fontId="0" fillId="3" borderId="0" xfId="2" applyNumberFormat="1" applyFont="1" applyFill="1" applyBorder="1"/>
    <xf numFmtId="164" fontId="0" fillId="3" borderId="8" xfId="1" applyNumberFormat="1" applyFont="1" applyFill="1" applyBorder="1"/>
    <xf numFmtId="164" fontId="0" fillId="3" borderId="1" xfId="1" applyNumberFormat="1" applyFont="1" applyFill="1" applyBorder="1"/>
    <xf numFmtId="0" fontId="0" fillId="8" borderId="0" xfId="0" applyFill="1" applyBorder="1"/>
    <xf numFmtId="165" fontId="0" fillId="8" borderId="0" xfId="2" applyNumberFormat="1" applyFont="1" applyFill="1" applyBorder="1"/>
    <xf numFmtId="0" fontId="2" fillId="4" borderId="2" xfId="0" applyFont="1" applyFill="1" applyBorder="1" applyAlignment="1">
      <alignment horizontal="right"/>
    </xf>
    <xf numFmtId="0" fontId="0" fillId="10" borderId="0" xfId="0" applyFill="1" applyBorder="1" applyAlignment="1">
      <alignment horizontal="center"/>
    </xf>
    <xf numFmtId="0" fontId="0" fillId="10" borderId="10" xfId="0" applyFill="1" applyBorder="1"/>
    <xf numFmtId="0" fontId="0" fillId="10" borderId="0" xfId="0" applyFill="1" applyBorder="1"/>
    <xf numFmtId="164" fontId="0" fillId="10" borderId="0" xfId="1" applyNumberFormat="1" applyFont="1" applyFill="1" applyBorder="1"/>
    <xf numFmtId="164" fontId="0" fillId="10" borderId="10" xfId="1" applyNumberFormat="1" applyFont="1" applyFill="1" applyBorder="1"/>
    <xf numFmtId="164" fontId="0" fillId="10" borderId="8" xfId="1" applyNumberFormat="1" applyFont="1" applyFill="1" applyBorder="1"/>
    <xf numFmtId="164" fontId="0" fillId="10" borderId="1" xfId="1" applyNumberFormat="1" applyFont="1" applyFill="1" applyBorder="1"/>
    <xf numFmtId="0" fontId="0" fillId="6" borderId="0" xfId="0" applyFill="1" applyBorder="1"/>
    <xf numFmtId="165" fontId="0" fillId="6" borderId="0" xfId="2" applyNumberFormat="1" applyFont="1" applyFill="1" applyBorder="1"/>
    <xf numFmtId="164" fontId="0" fillId="6" borderId="1" xfId="1" applyNumberFormat="1" applyFont="1" applyFill="1" applyBorder="1"/>
    <xf numFmtId="0" fontId="0" fillId="2" borderId="11" xfId="0" applyFill="1" applyBorder="1"/>
    <xf numFmtId="164" fontId="0" fillId="2" borderId="11" xfId="1" applyNumberFormat="1" applyFont="1" applyFill="1" applyBorder="1"/>
    <xf numFmtId="165" fontId="0" fillId="2" borderId="11" xfId="2" applyNumberFormat="1" applyFont="1" applyFill="1" applyBorder="1"/>
    <xf numFmtId="164" fontId="0" fillId="2" borderId="9" xfId="1" applyNumberFormat="1" applyFont="1" applyFill="1" applyBorder="1"/>
    <xf numFmtId="165" fontId="0" fillId="5" borderId="0" xfId="2" applyNumberFormat="1" applyFont="1" applyFill="1" applyBorder="1"/>
    <xf numFmtId="0" fontId="0" fillId="4" borderId="0" xfId="0" applyFill="1" applyBorder="1"/>
    <xf numFmtId="165" fontId="0" fillId="4" borderId="0" xfId="2" applyNumberFormat="1" applyFont="1" applyFill="1" applyBorder="1"/>
    <xf numFmtId="164" fontId="0" fillId="4" borderId="1" xfId="1" applyNumberFormat="1" applyFont="1" applyFill="1" applyBorder="1"/>
    <xf numFmtId="0" fontId="4" fillId="10" borderId="1" xfId="0" applyFont="1" applyFill="1" applyBorder="1" applyAlignment="1">
      <alignment horizontal="center"/>
    </xf>
    <xf numFmtId="0" fontId="0" fillId="10" borderId="8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10" borderId="11" xfId="0" applyFill="1" applyBorder="1"/>
    <xf numFmtId="165" fontId="0" fillId="10" borderId="11" xfId="2" applyNumberFormat="1" applyFont="1" applyFill="1" applyBorder="1"/>
    <xf numFmtId="164" fontId="0" fillId="10" borderId="11" xfId="1" applyNumberFormat="1" applyFont="1" applyFill="1" applyBorder="1"/>
    <xf numFmtId="164" fontId="0" fillId="10" borderId="9" xfId="1" applyNumberFormat="1" applyFont="1" applyFill="1" applyBorder="1"/>
    <xf numFmtId="0" fontId="0" fillId="2" borderId="8" xfId="0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9" fontId="0" fillId="0" borderId="0" xfId="2" applyFont="1"/>
    <xf numFmtId="164" fontId="0" fillId="0" borderId="0" xfId="0" applyNumberFormat="1"/>
    <xf numFmtId="166" fontId="0" fillId="0" borderId="0" xfId="2" applyNumberFormat="1" applyFont="1"/>
    <xf numFmtId="0" fontId="0" fillId="0" borderId="1" xfId="0" applyBorder="1" applyAlignment="1">
      <alignment horizontal="center"/>
    </xf>
    <xf numFmtId="165" fontId="0" fillId="0" borderId="0" xfId="2" applyNumberFormat="1" applyFont="1"/>
    <xf numFmtId="165" fontId="0" fillId="2" borderId="0" xfId="2" applyNumberFormat="1" applyFont="1" applyFill="1" applyBorder="1"/>
    <xf numFmtId="0" fontId="0" fillId="0" borderId="0" xfId="0" applyFill="1"/>
    <xf numFmtId="165" fontId="0" fillId="0" borderId="0" xfId="2" applyNumberFormat="1" applyFont="1" applyFill="1"/>
    <xf numFmtId="0" fontId="4" fillId="13" borderId="2" xfId="0" applyFont="1" applyFill="1" applyBorder="1" applyAlignment="1">
      <alignment horizontal="center"/>
    </xf>
    <xf numFmtId="0" fontId="0" fillId="13" borderId="0" xfId="0" applyFill="1" applyBorder="1" applyAlignment="1">
      <alignment horizontal="center"/>
    </xf>
    <xf numFmtId="0" fontId="0" fillId="13" borderId="0" xfId="0" applyFill="1" applyBorder="1"/>
    <xf numFmtId="164" fontId="0" fillId="13" borderId="10" xfId="1" applyNumberFormat="1" applyFont="1" applyFill="1" applyBorder="1"/>
    <xf numFmtId="164" fontId="0" fillId="13" borderId="0" xfId="1" applyNumberFormat="1" applyFont="1" applyFill="1" applyBorder="1"/>
    <xf numFmtId="164" fontId="0" fillId="13" borderId="8" xfId="1" applyNumberFormat="1" applyFont="1" applyFill="1" applyBorder="1"/>
    <xf numFmtId="164" fontId="0" fillId="13" borderId="1" xfId="1" applyNumberFormat="1" applyFont="1" applyFill="1" applyBorder="1"/>
    <xf numFmtId="0" fontId="0" fillId="14" borderId="2" xfId="0" applyFill="1" applyBorder="1" applyAlignment="1">
      <alignment horizontal="center"/>
    </xf>
    <xf numFmtId="164" fontId="0" fillId="14" borderId="0" xfId="1" applyNumberFormat="1" applyFont="1" applyFill="1" applyBorder="1"/>
    <xf numFmtId="164" fontId="0" fillId="14" borderId="1" xfId="1" applyNumberFormat="1" applyFont="1" applyFill="1" applyBorder="1"/>
    <xf numFmtId="0" fontId="5" fillId="2" borderId="1" xfId="0" applyFont="1" applyFill="1" applyBorder="1" applyAlignment="1">
      <alignment horizontal="center"/>
    </xf>
    <xf numFmtId="0" fontId="7" fillId="10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165" fontId="0" fillId="14" borderId="0" xfId="2" applyNumberFormat="1" applyFont="1" applyFill="1" applyBorder="1"/>
    <xf numFmtId="167" fontId="0" fillId="0" borderId="0" xfId="1" applyNumberFormat="1" applyFont="1"/>
    <xf numFmtId="0" fontId="6" fillId="12" borderId="0" xfId="0" applyFont="1" applyFill="1" applyBorder="1" applyAlignment="1">
      <alignment horizontal="center"/>
    </xf>
    <xf numFmtId="164" fontId="0" fillId="12" borderId="0" xfId="1" applyNumberFormat="1" applyFont="1" applyFill="1" applyBorder="1" applyAlignment="1">
      <alignment horizontal="center"/>
    </xf>
    <xf numFmtId="164" fontId="6" fillId="12" borderId="0" xfId="1" applyNumberFormat="1" applyFont="1" applyFill="1" applyBorder="1"/>
    <xf numFmtId="14" fontId="0" fillId="12" borderId="14" xfId="0" applyNumberFormat="1" applyFill="1" applyBorder="1"/>
    <xf numFmtId="0" fontId="0" fillId="12" borderId="0" xfId="0" applyFill="1" applyBorder="1"/>
    <xf numFmtId="164" fontId="0" fillId="12" borderId="0" xfId="1" applyNumberFormat="1" applyFont="1" applyFill="1" applyBorder="1"/>
    <xf numFmtId="165" fontId="0" fillId="12" borderId="0" xfId="2" applyNumberFormat="1" applyFont="1" applyFill="1" applyBorder="1"/>
    <xf numFmtId="0" fontId="0" fillId="12" borderId="17" xfId="0" applyFill="1" applyBorder="1"/>
    <xf numFmtId="164" fontId="0" fillId="12" borderId="17" xfId="1" applyNumberFormat="1" applyFont="1" applyFill="1" applyBorder="1"/>
    <xf numFmtId="165" fontId="0" fillId="12" borderId="17" xfId="2" applyNumberFormat="1" applyFont="1" applyFill="1" applyBorder="1"/>
    <xf numFmtId="164" fontId="0" fillId="13" borderId="0" xfId="1" applyNumberFormat="1" applyFont="1" applyFill="1" applyBorder="1" applyAlignment="1">
      <alignment vertical="top"/>
    </xf>
    <xf numFmtId="168" fontId="0" fillId="0" borderId="0" xfId="2" applyNumberFormat="1" applyFont="1"/>
    <xf numFmtId="164" fontId="0" fillId="0" borderId="0" xfId="1" applyNumberFormat="1" applyFont="1" applyAlignment="1">
      <alignment horizontal="center"/>
    </xf>
    <xf numFmtId="164" fontId="0" fillId="0" borderId="0" xfId="1" applyNumberFormat="1" applyFont="1" applyBorder="1"/>
    <xf numFmtId="164" fontId="0" fillId="0" borderId="0" xfId="1" applyNumberFormat="1" applyFont="1" applyFill="1" applyBorder="1"/>
    <xf numFmtId="164" fontId="0" fillId="15" borderId="14" xfId="1" applyNumberFormat="1" applyFont="1" applyFill="1" applyBorder="1"/>
    <xf numFmtId="164" fontId="0" fillId="15" borderId="16" xfId="1" applyNumberFormat="1" applyFont="1" applyFill="1" applyBorder="1"/>
    <xf numFmtId="164" fontId="5" fillId="0" borderId="0" xfId="1" applyNumberFormat="1" applyFont="1" applyFill="1" applyBorder="1"/>
    <xf numFmtId="164" fontId="7" fillId="0" borderId="0" xfId="1" applyNumberFormat="1" applyFont="1" applyFill="1" applyBorder="1"/>
    <xf numFmtId="164" fontId="2" fillId="0" borderId="0" xfId="1" applyNumberFormat="1" applyFont="1" applyFill="1" applyBorder="1" applyAlignment="1">
      <alignment horizontal="center"/>
    </xf>
    <xf numFmtId="165" fontId="0" fillId="0" borderId="0" xfId="2" applyNumberFormat="1" applyFont="1" applyFill="1" applyBorder="1"/>
    <xf numFmtId="0" fontId="2" fillId="13" borderId="2" xfId="0" applyFont="1" applyFill="1" applyBorder="1"/>
    <xf numFmtId="0" fontId="8" fillId="13" borderId="2" xfId="0" applyFont="1" applyFill="1" applyBorder="1" applyAlignment="1">
      <alignment horizontal="center"/>
    </xf>
    <xf numFmtId="0" fontId="10" fillId="15" borderId="1" xfId="0" applyFont="1" applyFill="1" applyBorder="1" applyAlignment="1">
      <alignment horizontal="center"/>
    </xf>
    <xf numFmtId="165" fontId="10" fillId="15" borderId="0" xfId="2" applyNumberFormat="1" applyFont="1" applyFill="1" applyBorder="1"/>
    <xf numFmtId="165" fontId="10" fillId="15" borderId="19" xfId="2" applyNumberFormat="1" applyFont="1" applyFill="1" applyBorder="1"/>
    <xf numFmtId="164" fontId="10" fillId="15" borderId="0" xfId="1" applyNumberFormat="1" applyFont="1" applyFill="1" applyBorder="1"/>
    <xf numFmtId="164" fontId="10" fillId="15" borderId="17" xfId="1" applyNumberFormat="1" applyFont="1" applyFill="1" applyBorder="1"/>
    <xf numFmtId="0" fontId="8" fillId="13" borderId="1" xfId="0" applyFont="1" applyFill="1" applyBorder="1" applyAlignment="1">
      <alignment horizontal="center"/>
    </xf>
    <xf numFmtId="0" fontId="0" fillId="14" borderId="1" xfId="0" applyFill="1" applyBorder="1" applyAlignment="1">
      <alignment horizontal="center"/>
    </xf>
    <xf numFmtId="0" fontId="4" fillId="13" borderId="1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165" fontId="10" fillId="0" borderId="0" xfId="2" applyNumberFormat="1" applyFont="1" applyFill="1" applyBorder="1"/>
    <xf numFmtId="164" fontId="10" fillId="0" borderId="0" xfId="1" applyNumberFormat="1" applyFont="1" applyFill="1" applyBorder="1"/>
    <xf numFmtId="0" fontId="0" fillId="0" borderId="0" xfId="0" applyFill="1" applyBorder="1"/>
    <xf numFmtId="164" fontId="10" fillId="15" borderId="15" xfId="1" applyNumberFormat="1" applyFont="1" applyFill="1" applyBorder="1"/>
    <xf numFmtId="164" fontId="10" fillId="15" borderId="18" xfId="1" applyNumberFormat="1" applyFont="1" applyFill="1" applyBorder="1"/>
    <xf numFmtId="9" fontId="0" fillId="0" borderId="0" xfId="2" applyFont="1" applyFill="1" applyBorder="1"/>
    <xf numFmtId="164" fontId="7" fillId="0" borderId="0" xfId="1" applyNumberFormat="1" applyFont="1" applyFill="1" applyBorder="1" applyAlignment="1"/>
    <xf numFmtId="164" fontId="0" fillId="0" borderId="0" xfId="2" applyNumberFormat="1" applyFont="1" applyFill="1" applyBorder="1"/>
    <xf numFmtId="164" fontId="7" fillId="0" borderId="0" xfId="1" applyNumberFormat="1" applyFont="1" applyFill="1"/>
    <xf numFmtId="43" fontId="0" fillId="0" borderId="0" xfId="0" applyNumberFormat="1" applyFill="1"/>
    <xf numFmtId="0" fontId="0" fillId="0" borderId="0" xfId="0" applyBorder="1"/>
    <xf numFmtId="0" fontId="0" fillId="8" borderId="0" xfId="0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169" fontId="0" fillId="0" borderId="0" xfId="1" applyNumberFormat="1" applyFont="1" applyBorder="1"/>
    <xf numFmtId="170" fontId="0" fillId="0" borderId="0" xfId="1" applyNumberFormat="1" applyFont="1" applyBorder="1"/>
    <xf numFmtId="49" fontId="5" fillId="0" borderId="0" xfId="1" applyNumberFormat="1" applyFont="1" applyFill="1" applyAlignment="1">
      <alignment horizontal="right"/>
    </xf>
    <xf numFmtId="164" fontId="5" fillId="0" borderId="0" xfId="1" applyNumberFormat="1" applyFont="1" applyFill="1"/>
    <xf numFmtId="43" fontId="0" fillId="0" borderId="0" xfId="1" applyFont="1"/>
    <xf numFmtId="9" fontId="0" fillId="0" borderId="0" xfId="2" applyNumberFormat="1" applyFont="1" applyFill="1" applyBorder="1"/>
    <xf numFmtId="164" fontId="0" fillId="7" borderId="14" xfId="1" applyNumberFormat="1" applyFont="1" applyFill="1" applyBorder="1"/>
    <xf numFmtId="164" fontId="7" fillId="7" borderId="0" xfId="1" applyNumberFormat="1" applyFont="1" applyFill="1" applyBorder="1"/>
    <xf numFmtId="0" fontId="7" fillId="7" borderId="0" xfId="0" applyFont="1" applyFill="1" applyBorder="1"/>
    <xf numFmtId="164" fontId="0" fillId="7" borderId="0" xfId="1" applyNumberFormat="1" applyFont="1" applyFill="1" applyBorder="1"/>
    <xf numFmtId="164" fontId="5" fillId="7" borderId="0" xfId="1" applyNumberFormat="1" applyFont="1" applyFill="1" applyBorder="1"/>
    <xf numFmtId="164" fontId="5" fillId="7" borderId="1" xfId="1" applyNumberFormat="1" applyFont="1" applyFill="1" applyBorder="1"/>
    <xf numFmtId="164" fontId="12" fillId="7" borderId="0" xfId="1" applyNumberFormat="1" applyFont="1" applyFill="1" applyBorder="1"/>
    <xf numFmtId="164" fontId="0" fillId="7" borderId="16" xfId="1" applyNumberFormat="1" applyFont="1" applyFill="1" applyBorder="1"/>
    <xf numFmtId="164" fontId="0" fillId="7" borderId="17" xfId="1" applyNumberFormat="1" applyFont="1" applyFill="1" applyBorder="1"/>
    <xf numFmtId="0" fontId="0" fillId="7" borderId="14" xfId="0" applyFill="1" applyBorder="1"/>
    <xf numFmtId="0" fontId="0" fillId="7" borderId="15" xfId="0" applyFill="1" applyBorder="1"/>
    <xf numFmtId="164" fontId="7" fillId="7" borderId="0" xfId="1" applyNumberFormat="1" applyFont="1" applyFill="1" applyBorder="1" applyAlignment="1">
      <alignment horizontal="center"/>
    </xf>
    <xf numFmtId="164" fontId="0" fillId="7" borderId="17" xfId="1" applyNumberFormat="1" applyFont="1" applyFill="1" applyBorder="1" applyAlignment="1">
      <alignment horizontal="center"/>
    </xf>
    <xf numFmtId="164" fontId="2" fillId="7" borderId="17" xfId="1" applyNumberFormat="1" applyFont="1" applyFill="1" applyBorder="1"/>
    <xf numFmtId="10" fontId="0" fillId="0" borderId="0" xfId="2" applyNumberFormat="1" applyFont="1" applyFill="1"/>
    <xf numFmtId="0" fontId="0" fillId="7" borderId="0" xfId="0" applyFill="1" applyBorder="1"/>
    <xf numFmtId="0" fontId="0" fillId="7" borderId="21" xfId="0" applyFill="1" applyBorder="1"/>
    <xf numFmtId="0" fontId="0" fillId="7" borderId="22" xfId="0" applyFill="1" applyBorder="1"/>
    <xf numFmtId="0" fontId="0" fillId="7" borderId="17" xfId="0" applyFill="1" applyBorder="1"/>
    <xf numFmtId="0" fontId="0" fillId="7" borderId="18" xfId="0" applyFill="1" applyBorder="1"/>
    <xf numFmtId="0" fontId="10" fillId="7" borderId="6" xfId="0" applyFont="1" applyFill="1" applyBorder="1" applyAlignment="1">
      <alignment horizontal="center"/>
    </xf>
    <xf numFmtId="164" fontId="10" fillId="7" borderId="20" xfId="1" applyNumberFormat="1" applyFont="1" applyFill="1" applyBorder="1" applyAlignment="1"/>
    <xf numFmtId="164" fontId="12" fillId="7" borderId="6" xfId="1" applyNumberFormat="1" applyFont="1" applyFill="1" applyBorder="1" applyAlignment="1"/>
    <xf numFmtId="164" fontId="10" fillId="7" borderId="21" xfId="1" applyNumberFormat="1" applyFont="1" applyFill="1" applyBorder="1" applyAlignment="1"/>
    <xf numFmtId="164" fontId="12" fillId="7" borderId="19" xfId="1" applyNumberFormat="1" applyFont="1" applyFill="1" applyBorder="1"/>
    <xf numFmtId="164" fontId="10" fillId="7" borderId="19" xfId="0" applyNumberFormat="1" applyFont="1" applyFill="1" applyBorder="1"/>
    <xf numFmtId="164" fontId="0" fillId="0" borderId="0" xfId="1" applyNumberFormat="1" applyFont="1" applyFill="1" applyBorder="1" applyAlignment="1"/>
    <xf numFmtId="164" fontId="0" fillId="0" borderId="0" xfId="1" applyNumberFormat="1" applyFont="1" applyFill="1" applyBorder="1" applyAlignment="1">
      <alignment horizontal="center"/>
    </xf>
    <xf numFmtId="164" fontId="0" fillId="0" borderId="0" xfId="0" applyNumberFormat="1" applyFill="1" applyBorder="1"/>
    <xf numFmtId="1" fontId="0" fillId="0" borderId="0" xfId="0" applyNumberFormat="1" applyFill="1" applyBorder="1"/>
    <xf numFmtId="164" fontId="2" fillId="0" borderId="0" xfId="1" applyNumberFormat="1" applyFont="1" applyFill="1" applyBorder="1" applyAlignment="1"/>
    <xf numFmtId="0" fontId="4" fillId="13" borderId="0" xfId="0" applyFont="1" applyFill="1" applyBorder="1" applyAlignment="1">
      <alignment horizontal="center"/>
    </xf>
    <xf numFmtId="165" fontId="0" fillId="13" borderId="0" xfId="2" applyNumberFormat="1" applyFont="1" applyFill="1" applyBorder="1"/>
    <xf numFmtId="164" fontId="0" fillId="0" borderId="0" xfId="0" applyNumberFormat="1" applyFill="1"/>
    <xf numFmtId="164" fontId="5" fillId="0" borderId="1" xfId="1" applyNumberFormat="1" applyFont="1" applyFill="1" applyBorder="1"/>
    <xf numFmtId="165" fontId="5" fillId="7" borderId="0" xfId="2" applyNumberFormat="1" applyFont="1" applyFill="1" applyBorder="1"/>
    <xf numFmtId="164" fontId="0" fillId="0" borderId="0" xfId="2" applyNumberFormat="1" applyFont="1" applyFill="1"/>
    <xf numFmtId="165" fontId="10" fillId="7" borderId="26" xfId="2" applyNumberFormat="1" applyFont="1" applyFill="1" applyBorder="1"/>
    <xf numFmtId="164" fontId="11" fillId="0" borderId="0" xfId="1" applyNumberFormat="1" applyFont="1" applyFill="1" applyBorder="1"/>
    <xf numFmtId="164" fontId="11" fillId="0" borderId="0" xfId="1" applyNumberFormat="1" applyFont="1" applyFill="1" applyBorder="1" applyAlignment="1"/>
    <xf numFmtId="164" fontId="10" fillId="15" borderId="19" xfId="1" applyNumberFormat="1" applyFont="1" applyFill="1" applyBorder="1" applyAlignment="1">
      <alignment horizontal="center"/>
    </xf>
    <xf numFmtId="164" fontId="10" fillId="15" borderId="0" xfId="1" applyNumberFormat="1" applyFont="1" applyFill="1" applyBorder="1" applyAlignment="1">
      <alignment horizontal="center"/>
    </xf>
    <xf numFmtId="164" fontId="10" fillId="15" borderId="23" xfId="1" applyNumberFormat="1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64" fontId="0" fillId="17" borderId="0" xfId="1" applyNumberFormat="1" applyFont="1" applyFill="1" applyBorder="1"/>
    <xf numFmtId="0" fontId="3" fillId="0" borderId="0" xfId="0" applyFont="1" applyAlignment="1">
      <alignment horizontal="left"/>
    </xf>
    <xf numFmtId="171" fontId="0" fillId="0" borderId="0" xfId="0" applyNumberFormat="1"/>
    <xf numFmtId="171" fontId="0" fillId="0" borderId="0" xfId="0" applyNumberFormat="1" applyFill="1"/>
    <xf numFmtId="0" fontId="7" fillId="8" borderId="1" xfId="0" applyFont="1" applyFill="1" applyBorder="1" applyAlignment="1">
      <alignment horizontal="center"/>
    </xf>
    <xf numFmtId="0" fontId="0" fillId="15" borderId="0" xfId="0" applyFill="1" applyBorder="1"/>
    <xf numFmtId="0" fontId="7" fillId="0" borderId="1" xfId="0" applyFont="1" applyBorder="1" applyAlignment="1">
      <alignment horizontal="center"/>
    </xf>
    <xf numFmtId="0" fontId="10" fillId="0" borderId="0" xfId="0" applyFont="1" applyFill="1" applyBorder="1"/>
    <xf numFmtId="164" fontId="10" fillId="15" borderId="1" xfId="1" applyNumberFormat="1" applyFont="1" applyFill="1" applyBorder="1" applyAlignment="1">
      <alignment horizontal="center"/>
    </xf>
    <xf numFmtId="0" fontId="10" fillId="15" borderId="15" xfId="0" applyFont="1" applyFill="1" applyBorder="1"/>
    <xf numFmtId="0" fontId="0" fillId="15" borderId="17" xfId="0" applyFill="1" applyBorder="1"/>
    <xf numFmtId="0" fontId="5" fillId="0" borderId="0" xfId="0" applyFont="1"/>
    <xf numFmtId="0" fontId="2" fillId="0" borderId="0" xfId="0" applyFont="1" applyFill="1" applyBorder="1" applyAlignment="1"/>
    <xf numFmtId="0" fontId="0" fillId="13" borderId="11" xfId="0" applyFill="1" applyBorder="1" applyAlignment="1">
      <alignment horizontal="center"/>
    </xf>
    <xf numFmtId="0" fontId="0" fillId="13" borderId="11" xfId="0" applyFill="1" applyBorder="1"/>
    <xf numFmtId="164" fontId="0" fillId="13" borderId="11" xfId="1" applyNumberFormat="1" applyFont="1" applyFill="1" applyBorder="1"/>
    <xf numFmtId="164" fontId="0" fillId="13" borderId="9" xfId="1" applyNumberFormat="1" applyFont="1" applyFill="1" applyBorder="1"/>
    <xf numFmtId="0" fontId="0" fillId="17" borderId="14" xfId="0" applyFill="1" applyBorder="1"/>
    <xf numFmtId="0" fontId="7" fillId="17" borderId="1" xfId="0" applyFont="1" applyFill="1" applyBorder="1" applyAlignment="1">
      <alignment horizontal="center"/>
    </xf>
    <xf numFmtId="0" fontId="7" fillId="17" borderId="0" xfId="0" applyFont="1" applyFill="1" applyBorder="1" applyAlignment="1">
      <alignment horizontal="center"/>
    </xf>
    <xf numFmtId="0" fontId="7" fillId="17" borderId="15" xfId="0" applyFont="1" applyFill="1" applyBorder="1" applyAlignment="1">
      <alignment horizontal="center"/>
    </xf>
    <xf numFmtId="164" fontId="0" fillId="17" borderId="14" xfId="1" applyNumberFormat="1" applyFont="1" applyFill="1" applyBorder="1"/>
    <xf numFmtId="165" fontId="0" fillId="17" borderId="0" xfId="2" applyNumberFormat="1" applyFont="1" applyFill="1" applyBorder="1"/>
    <xf numFmtId="0" fontId="0" fillId="17" borderId="15" xfId="0" applyFill="1" applyBorder="1"/>
    <xf numFmtId="164" fontId="0" fillId="17" borderId="19" xfId="1" applyNumberFormat="1" applyFont="1" applyFill="1" applyBorder="1"/>
    <xf numFmtId="165" fontId="0" fillId="17" borderId="19" xfId="2" applyNumberFormat="1" applyFont="1" applyFill="1" applyBorder="1"/>
    <xf numFmtId="164" fontId="0" fillId="17" borderId="16" xfId="1" applyNumberFormat="1" applyFont="1" applyFill="1" applyBorder="1"/>
    <xf numFmtId="164" fontId="0" fillId="17" borderId="17" xfId="1" applyNumberFormat="1" applyFont="1" applyFill="1" applyBorder="1"/>
    <xf numFmtId="165" fontId="0" fillId="17" borderId="17" xfId="2" applyNumberFormat="1" applyFont="1" applyFill="1" applyBorder="1"/>
    <xf numFmtId="1" fontId="0" fillId="17" borderId="17" xfId="1" applyNumberFormat="1" applyFont="1" applyFill="1" applyBorder="1"/>
    <xf numFmtId="0" fontId="0" fillId="17" borderId="18" xfId="0" applyFill="1" applyBorder="1"/>
    <xf numFmtId="164" fontId="0" fillId="18" borderId="0" xfId="1" applyNumberFormat="1" applyFont="1" applyFill="1" applyBorder="1"/>
    <xf numFmtId="0" fontId="11" fillId="17" borderId="0" xfId="0" applyFont="1" applyFill="1" applyBorder="1"/>
    <xf numFmtId="164" fontId="11" fillId="17" borderId="0" xfId="1" applyNumberFormat="1" applyFont="1" applyFill="1" applyBorder="1"/>
    <xf numFmtId="164" fontId="2" fillId="17" borderId="5" xfId="1" applyNumberFormat="1" applyFont="1" applyFill="1" applyBorder="1" applyAlignment="1"/>
    <xf numFmtId="164" fontId="2" fillId="17" borderId="6" xfId="1" applyNumberFormat="1" applyFont="1" applyFill="1" applyBorder="1" applyAlignment="1"/>
    <xf numFmtId="164" fontId="2" fillId="17" borderId="7" xfId="1" applyNumberFormat="1" applyFont="1" applyFill="1" applyBorder="1" applyAlignment="1"/>
    <xf numFmtId="164" fontId="0" fillId="17" borderId="20" xfId="1" applyNumberFormat="1" applyFont="1" applyFill="1" applyBorder="1"/>
    <xf numFmtId="0" fontId="0" fillId="17" borderId="21" xfId="0" applyFill="1" applyBorder="1"/>
    <xf numFmtId="0" fontId="2" fillId="17" borderId="21" xfId="0" applyFont="1" applyFill="1" applyBorder="1" applyAlignment="1">
      <alignment horizontal="center" wrapText="1"/>
    </xf>
    <xf numFmtId="0" fontId="0" fillId="17" borderId="22" xfId="0" applyFill="1" applyBorder="1"/>
    <xf numFmtId="164" fontId="2" fillId="17" borderId="1" xfId="1" applyNumberFormat="1" applyFont="1" applyFill="1" applyBorder="1" applyAlignment="1">
      <alignment horizontal="center"/>
    </xf>
    <xf numFmtId="0" fontId="0" fillId="17" borderId="0" xfId="0" applyFill="1" applyBorder="1" applyAlignment="1">
      <alignment horizontal="center"/>
    </xf>
    <xf numFmtId="0" fontId="2" fillId="17" borderId="0" xfId="0" applyFont="1" applyFill="1" applyBorder="1" applyAlignment="1">
      <alignment horizontal="center" wrapText="1"/>
    </xf>
    <xf numFmtId="0" fontId="2" fillId="17" borderId="1" xfId="0" applyFont="1" applyFill="1" applyBorder="1" applyAlignment="1">
      <alignment horizontal="center"/>
    </xf>
    <xf numFmtId="0" fontId="0" fillId="17" borderId="15" xfId="0" applyFill="1" applyBorder="1" applyAlignment="1">
      <alignment horizontal="center"/>
    </xf>
    <xf numFmtId="164" fontId="11" fillId="17" borderId="0" xfId="1" applyNumberFormat="1" applyFont="1" applyFill="1" applyBorder="1" applyAlignment="1"/>
    <xf numFmtId="164" fontId="11" fillId="17" borderId="0" xfId="0" applyNumberFormat="1" applyFont="1" applyFill="1" applyBorder="1"/>
    <xf numFmtId="0" fontId="11" fillId="17" borderId="15" xfId="0" applyFont="1" applyFill="1" applyBorder="1"/>
    <xf numFmtId="164" fontId="10" fillId="17" borderId="0" xfId="1" applyNumberFormat="1" applyFont="1" applyFill="1" applyBorder="1"/>
    <xf numFmtId="164" fontId="11" fillId="17" borderId="15" xfId="1" applyNumberFormat="1" applyFont="1" applyFill="1" applyBorder="1"/>
    <xf numFmtId="164" fontId="11" fillId="17" borderId="19" xfId="1" applyNumberFormat="1" applyFont="1" applyFill="1" applyBorder="1"/>
    <xf numFmtId="164" fontId="2" fillId="17" borderId="0" xfId="1" applyNumberFormat="1" applyFont="1" applyFill="1" applyBorder="1" applyAlignment="1">
      <alignment horizontal="center"/>
    </xf>
    <xf numFmtId="165" fontId="11" fillId="17" borderId="19" xfId="2" applyNumberFormat="1" applyFont="1" applyFill="1" applyBorder="1"/>
    <xf numFmtId="164" fontId="2" fillId="17" borderId="17" xfId="1" applyNumberFormat="1" applyFont="1" applyFill="1" applyBorder="1" applyAlignment="1">
      <alignment horizontal="center"/>
    </xf>
    <xf numFmtId="165" fontId="2" fillId="17" borderId="17" xfId="2" applyNumberFormat="1" applyFont="1" applyFill="1" applyBorder="1"/>
    <xf numFmtId="164" fontId="2" fillId="17" borderId="17" xfId="1" applyNumberFormat="1" applyFont="1" applyFill="1" applyBorder="1"/>
    <xf numFmtId="164" fontId="2" fillId="17" borderId="18" xfId="1" applyNumberFormat="1" applyFont="1" applyFill="1" applyBorder="1"/>
    <xf numFmtId="0" fontId="6" fillId="12" borderId="12" xfId="0" applyFont="1" applyFill="1" applyBorder="1" applyAlignment="1">
      <alignment horizontal="center"/>
    </xf>
    <xf numFmtId="164" fontId="6" fillId="12" borderId="13" xfId="1" applyNumberFormat="1" applyFont="1" applyFill="1" applyBorder="1" applyAlignment="1">
      <alignment horizontal="center"/>
    </xf>
    <xf numFmtId="164" fontId="7" fillId="12" borderId="13" xfId="1" applyNumberFormat="1" applyFont="1" applyFill="1" applyBorder="1" applyAlignment="1">
      <alignment horizontal="center"/>
    </xf>
    <xf numFmtId="164" fontId="0" fillId="12" borderId="15" xfId="1" applyNumberFormat="1" applyFont="1" applyFill="1" applyBorder="1"/>
    <xf numFmtId="164" fontId="0" fillId="12" borderId="18" xfId="1" applyNumberFormat="1" applyFont="1" applyFill="1" applyBorder="1"/>
    <xf numFmtId="165" fontId="0" fillId="10" borderId="0" xfId="2" applyNumberFormat="1" applyFont="1" applyFill="1" applyBorder="1"/>
    <xf numFmtId="165" fontId="0" fillId="0" borderId="0" xfId="0" applyNumberFormat="1"/>
    <xf numFmtId="164" fontId="7" fillId="13" borderId="5" xfId="1" applyNumberFormat="1" applyFont="1" applyFill="1" applyBorder="1" applyAlignment="1"/>
    <xf numFmtId="164" fontId="0" fillId="13" borderId="7" xfId="1" applyNumberFormat="1" applyFont="1" applyFill="1" applyBorder="1"/>
    <xf numFmtId="164" fontId="0" fillId="13" borderId="14" xfId="1" applyNumberFormat="1" applyFont="1" applyFill="1" applyBorder="1"/>
    <xf numFmtId="0" fontId="10" fillId="13" borderId="13" xfId="0" applyFont="1" applyFill="1" applyBorder="1" applyAlignment="1">
      <alignment horizontal="center"/>
    </xf>
    <xf numFmtId="0" fontId="10" fillId="13" borderId="0" xfId="0" applyFont="1" applyFill="1" applyBorder="1" applyAlignment="1">
      <alignment horizontal="center"/>
    </xf>
    <xf numFmtId="164" fontId="2" fillId="13" borderId="0" xfId="1" applyNumberFormat="1" applyFont="1" applyFill="1" applyBorder="1"/>
    <xf numFmtId="164" fontId="2" fillId="13" borderId="13" xfId="1" applyNumberFormat="1" applyFont="1" applyFill="1" applyBorder="1" applyAlignment="1">
      <alignment horizontal="center"/>
    </xf>
    <xf numFmtId="164" fontId="0" fillId="13" borderId="15" xfId="1" applyNumberFormat="1" applyFont="1" applyFill="1" applyBorder="1"/>
    <xf numFmtId="164" fontId="7" fillId="13" borderId="0" xfId="1" applyNumberFormat="1" applyFont="1" applyFill="1" applyBorder="1"/>
    <xf numFmtId="169" fontId="7" fillId="13" borderId="0" xfId="1" applyNumberFormat="1" applyFont="1" applyFill="1" applyBorder="1"/>
    <xf numFmtId="165" fontId="7" fillId="13" borderId="0" xfId="2" applyNumberFormat="1" applyFont="1" applyFill="1" applyBorder="1"/>
    <xf numFmtId="164" fontId="7" fillId="13" borderId="1" xfId="1" applyNumberFormat="1" applyFont="1" applyFill="1" applyBorder="1"/>
    <xf numFmtId="169" fontId="7" fillId="13" borderId="1" xfId="1" applyNumberFormat="1" applyFont="1" applyFill="1" applyBorder="1"/>
    <xf numFmtId="164" fontId="10" fillId="13" borderId="0" xfId="1" applyNumberFormat="1" applyFont="1" applyFill="1" applyBorder="1"/>
    <xf numFmtId="164" fontId="0" fillId="13" borderId="16" xfId="1" applyNumberFormat="1" applyFont="1" applyFill="1" applyBorder="1"/>
    <xf numFmtId="164" fontId="10" fillId="13" borderId="17" xfId="1" applyNumberFormat="1" applyFont="1" applyFill="1" applyBorder="1"/>
    <xf numFmtId="165" fontId="7" fillId="13" borderId="17" xfId="2" applyNumberFormat="1" applyFont="1" applyFill="1" applyBorder="1"/>
    <xf numFmtId="164" fontId="7" fillId="13" borderId="17" xfId="1" applyNumberFormat="1" applyFont="1" applyFill="1" applyBorder="1"/>
    <xf numFmtId="164" fontId="0" fillId="13" borderId="18" xfId="1" applyNumberFormat="1" applyFont="1" applyFill="1" applyBorder="1"/>
    <xf numFmtId="169" fontId="7" fillId="0" borderId="0" xfId="1" applyNumberFormat="1" applyFont="1" applyFill="1" applyBorder="1"/>
    <xf numFmtId="165" fontId="7" fillId="0" borderId="0" xfId="2" applyNumberFormat="1" applyFont="1" applyFill="1" applyBorder="1"/>
    <xf numFmtId="0" fontId="10" fillId="0" borderId="0" xfId="0" applyFont="1" applyFill="1" applyBorder="1" applyAlignment="1"/>
    <xf numFmtId="164" fontId="10" fillId="0" borderId="0" xfId="1" applyNumberFormat="1" applyFont="1" applyFill="1" applyBorder="1" applyAlignment="1"/>
    <xf numFmtId="0" fontId="2" fillId="0" borderId="0" xfId="0" applyFont="1" applyAlignment="1"/>
    <xf numFmtId="0" fontId="0" fillId="0" borderId="0" xfId="0" applyFont="1"/>
    <xf numFmtId="0" fontId="3" fillId="0" borderId="0" xfId="0" applyFont="1" applyAlignment="1"/>
    <xf numFmtId="164" fontId="0" fillId="3" borderId="14" xfId="1" applyNumberFormat="1" applyFont="1" applyFill="1" applyBorder="1"/>
    <xf numFmtId="164" fontId="0" fillId="3" borderId="0" xfId="1" applyNumberFormat="1" applyFont="1" applyFill="1" applyBorder="1" applyAlignment="1">
      <alignment horizontal="left"/>
    </xf>
    <xf numFmtId="164" fontId="0" fillId="3" borderId="15" xfId="1" applyNumberFormat="1" applyFont="1" applyFill="1" applyBorder="1"/>
    <xf numFmtId="0" fontId="0" fillId="3" borderId="14" xfId="0" applyFill="1" applyBorder="1"/>
    <xf numFmtId="0" fontId="0" fillId="3" borderId="0" xfId="0" applyFill="1" applyBorder="1" applyAlignment="1"/>
    <xf numFmtId="0" fontId="0" fillId="3" borderId="15" xfId="0" applyFill="1" applyBorder="1"/>
    <xf numFmtId="0" fontId="0" fillId="3" borderId="16" xfId="0" applyFill="1" applyBorder="1"/>
    <xf numFmtId="0" fontId="0" fillId="3" borderId="17" xfId="0" applyFill="1" applyBorder="1"/>
    <xf numFmtId="0" fontId="0" fillId="3" borderId="18" xfId="0" applyFill="1" applyBorder="1"/>
    <xf numFmtId="164" fontId="3" fillId="0" borderId="0" xfId="1" applyNumberFormat="1" applyFont="1" applyFill="1" applyBorder="1" applyAlignment="1"/>
    <xf numFmtId="164" fontId="3" fillId="3" borderId="22" xfId="1" applyNumberFormat="1" applyFont="1" applyFill="1" applyBorder="1" applyAlignment="1"/>
    <xf numFmtId="164" fontId="3" fillId="19" borderId="27" xfId="1" applyNumberFormat="1" applyFont="1" applyFill="1" applyBorder="1" applyAlignment="1">
      <alignment horizontal="center"/>
    </xf>
    <xf numFmtId="0" fontId="0" fillId="3" borderId="21" xfId="0" applyFill="1" applyBorder="1" applyAlignment="1"/>
    <xf numFmtId="0" fontId="0" fillId="3" borderId="20" xfId="0" applyFill="1" applyBorder="1" applyAlignment="1"/>
    <xf numFmtId="43" fontId="0" fillId="0" borderId="0" xfId="0" applyNumberFormat="1"/>
    <xf numFmtId="165" fontId="10" fillId="7" borderId="19" xfId="2" applyNumberFormat="1" applyFont="1" applyFill="1" applyBorder="1"/>
    <xf numFmtId="0" fontId="0" fillId="19" borderId="0" xfId="0" applyFill="1" applyBorder="1"/>
    <xf numFmtId="165" fontId="2" fillId="19" borderId="19" xfId="2" applyNumberFormat="1" applyFont="1" applyFill="1" applyBorder="1"/>
    <xf numFmtId="10" fontId="0" fillId="0" borderId="0" xfId="2" applyNumberFormat="1" applyFont="1"/>
    <xf numFmtId="0" fontId="0" fillId="0" borderId="0" xfId="0" applyFont="1" applyAlignment="1"/>
    <xf numFmtId="14" fontId="0" fillId="12" borderId="16" xfId="0" applyNumberFormat="1" applyFill="1" applyBorder="1"/>
    <xf numFmtId="0" fontId="0" fillId="17" borderId="0" xfId="0" applyFill="1" applyBorder="1"/>
    <xf numFmtId="164" fontId="5" fillId="18" borderId="0" xfId="1" applyNumberFormat="1" applyFont="1" applyFill="1" applyBorder="1"/>
    <xf numFmtId="0" fontId="0" fillId="5" borderId="31" xfId="0" applyFill="1" applyBorder="1" applyAlignment="1">
      <alignment horizontal="center"/>
    </xf>
    <xf numFmtId="0" fontId="7" fillId="8" borderId="32" xfId="0" applyFont="1" applyFill="1" applyBorder="1" applyAlignment="1">
      <alignment horizontal="center"/>
    </xf>
    <xf numFmtId="164" fontId="0" fillId="5" borderId="14" xfId="1" applyNumberFormat="1" applyFont="1" applyFill="1" applyBorder="1"/>
    <xf numFmtId="0" fontId="0" fillId="8" borderId="15" xfId="0" applyFill="1" applyBorder="1"/>
    <xf numFmtId="165" fontId="0" fillId="8" borderId="15" xfId="2" applyNumberFormat="1" applyFont="1" applyFill="1" applyBorder="1"/>
    <xf numFmtId="49" fontId="7" fillId="5" borderId="0" xfId="1" applyNumberFormat="1" applyFont="1" applyFill="1" applyBorder="1" applyAlignment="1">
      <alignment horizontal="right"/>
    </xf>
    <xf numFmtId="164" fontId="0" fillId="5" borderId="16" xfId="1" applyNumberFormat="1" applyFont="1" applyFill="1" applyBorder="1"/>
    <xf numFmtId="164" fontId="0" fillId="5" borderId="17" xfId="1" applyNumberFormat="1" applyFont="1" applyFill="1" applyBorder="1"/>
    <xf numFmtId="0" fontId="0" fillId="5" borderId="17" xfId="0" applyFill="1" applyBorder="1"/>
    <xf numFmtId="0" fontId="0" fillId="8" borderId="17" xfId="0" applyFill="1" applyBorder="1"/>
    <xf numFmtId="0" fontId="0" fillId="8" borderId="18" xfId="0" applyFill="1" applyBorder="1"/>
    <xf numFmtId="0" fontId="0" fillId="5" borderId="14" xfId="0" applyFill="1" applyBorder="1"/>
    <xf numFmtId="0" fontId="4" fillId="5" borderId="1" xfId="0" applyFont="1" applyFill="1" applyBorder="1" applyAlignment="1">
      <alignment horizontal="center"/>
    </xf>
    <xf numFmtId="0" fontId="0" fillId="5" borderId="15" xfId="0" applyFill="1" applyBorder="1"/>
    <xf numFmtId="171" fontId="0" fillId="5" borderId="0" xfId="0" applyNumberFormat="1" applyFill="1" applyBorder="1"/>
    <xf numFmtId="164" fontId="0" fillId="5" borderId="0" xfId="0" applyNumberFormat="1" applyFill="1" applyBorder="1"/>
    <xf numFmtId="38" fontId="0" fillId="5" borderId="0" xfId="0" applyNumberFormat="1" applyFill="1" applyBorder="1"/>
    <xf numFmtId="0" fontId="0" fillId="5" borderId="16" xfId="0" applyFill="1" applyBorder="1"/>
    <xf numFmtId="165" fontId="0" fillId="5" borderId="17" xfId="2" applyNumberFormat="1" applyFont="1" applyFill="1" applyBorder="1"/>
    <xf numFmtId="0" fontId="0" fillId="5" borderId="18" xfId="0" applyFill="1" applyBorder="1"/>
    <xf numFmtId="0" fontId="0" fillId="5" borderId="0" xfId="0" applyFill="1" applyBorder="1" applyAlignment="1">
      <alignment vertical="center"/>
    </xf>
    <xf numFmtId="171" fontId="0" fillId="5" borderId="0" xfId="0" applyNumberFormat="1" applyFill="1"/>
    <xf numFmtId="0" fontId="0" fillId="5" borderId="0" xfId="0" applyFill="1"/>
    <xf numFmtId="164" fontId="0" fillId="5" borderId="0" xfId="1" applyNumberFormat="1" applyFont="1" applyFill="1"/>
    <xf numFmtId="165" fontId="0" fillId="5" borderId="0" xfId="2" applyNumberFormat="1" applyFont="1" applyFill="1"/>
    <xf numFmtId="0" fontId="2" fillId="3" borderId="0" xfId="0" applyFont="1" applyFill="1" applyBorder="1"/>
    <xf numFmtId="164" fontId="12" fillId="20" borderId="6" xfId="1" applyNumberFormat="1" applyFont="1" applyFill="1" applyBorder="1" applyAlignment="1"/>
    <xf numFmtId="164" fontId="10" fillId="20" borderId="21" xfId="1" applyNumberFormat="1" applyFont="1" applyFill="1" applyBorder="1" applyAlignment="1"/>
    <xf numFmtId="0" fontId="0" fillId="20" borderId="21" xfId="0" applyFill="1" applyBorder="1"/>
    <xf numFmtId="0" fontId="10" fillId="20" borderId="6" xfId="0" applyFont="1" applyFill="1" applyBorder="1" applyAlignment="1">
      <alignment horizontal="center"/>
    </xf>
    <xf numFmtId="164" fontId="7" fillId="20" borderId="0" xfId="1" applyNumberFormat="1" applyFont="1" applyFill="1" applyBorder="1"/>
    <xf numFmtId="0" fontId="7" fillId="20" borderId="0" xfId="0" applyFont="1" applyFill="1" applyBorder="1"/>
    <xf numFmtId="164" fontId="0" fillId="20" borderId="0" xfId="1" applyNumberFormat="1" applyFont="1" applyFill="1" applyBorder="1"/>
    <xf numFmtId="0" fontId="0" fillId="20" borderId="0" xfId="0" applyFill="1" applyBorder="1"/>
    <xf numFmtId="164" fontId="7" fillId="20" borderId="0" xfId="1" applyNumberFormat="1" applyFont="1" applyFill="1" applyBorder="1" applyAlignment="1">
      <alignment horizontal="center"/>
    </xf>
    <xf numFmtId="164" fontId="11" fillId="20" borderId="0" xfId="1" applyNumberFormat="1" applyFont="1" applyFill="1" applyBorder="1"/>
    <xf numFmtId="0" fontId="0" fillId="20" borderId="36" xfId="0" applyFill="1" applyBorder="1"/>
    <xf numFmtId="0" fontId="0" fillId="20" borderId="37" xfId="0" applyFill="1" applyBorder="1"/>
    <xf numFmtId="0" fontId="0" fillId="20" borderId="38" xfId="0" applyFill="1" applyBorder="1"/>
    <xf numFmtId="0" fontId="0" fillId="20" borderId="39" xfId="0" applyFill="1" applyBorder="1"/>
    <xf numFmtId="0" fontId="0" fillId="20" borderId="40" xfId="0" applyFill="1" applyBorder="1"/>
    <xf numFmtId="0" fontId="13" fillId="20" borderId="0" xfId="0" applyFont="1" applyFill="1" applyBorder="1"/>
    <xf numFmtId="166" fontId="13" fillId="20" borderId="0" xfId="2" applyNumberFormat="1" applyFont="1" applyFill="1" applyBorder="1"/>
    <xf numFmtId="164" fontId="10" fillId="20" borderId="44" xfId="1" applyNumberFormat="1" applyFont="1" applyFill="1" applyBorder="1" applyAlignment="1"/>
    <xf numFmtId="0" fontId="0" fillId="20" borderId="45" xfId="0" applyFill="1" applyBorder="1"/>
    <xf numFmtId="164" fontId="0" fillId="20" borderId="36" xfId="1" applyNumberFormat="1" applyFont="1" applyFill="1" applyBorder="1"/>
    <xf numFmtId="164" fontId="0" fillId="20" borderId="38" xfId="1" applyNumberFormat="1" applyFont="1" applyFill="1" applyBorder="1"/>
    <xf numFmtId="164" fontId="0" fillId="20" borderId="39" xfId="1" applyNumberFormat="1" applyFont="1" applyFill="1" applyBorder="1" applyAlignment="1">
      <alignment horizontal="center"/>
    </xf>
    <xf numFmtId="0" fontId="0" fillId="13" borderId="3" xfId="0" applyFill="1" applyBorder="1" applyAlignment="1">
      <alignment horizontal="center"/>
    </xf>
    <xf numFmtId="0" fontId="0" fillId="13" borderId="2" xfId="0" applyFill="1" applyBorder="1" applyAlignment="1">
      <alignment horizontal="center"/>
    </xf>
    <xf numFmtId="0" fontId="2" fillId="9" borderId="6" xfId="0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2" fillId="9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49" fontId="7" fillId="2" borderId="0" xfId="1" applyNumberFormat="1" applyFont="1" applyFill="1" applyBorder="1" applyAlignment="1">
      <alignment horizontal="right"/>
    </xf>
    <xf numFmtId="49" fontId="5" fillId="2" borderId="0" xfId="1" applyNumberFormat="1" applyFont="1" applyFill="1" applyBorder="1" applyAlignment="1">
      <alignment horizontal="right"/>
    </xf>
    <xf numFmtId="0" fontId="14" fillId="2" borderId="1" xfId="0" applyFont="1" applyFill="1" applyBorder="1" applyAlignment="1">
      <alignment horizontal="center"/>
    </xf>
    <xf numFmtId="171" fontId="0" fillId="0" borderId="0" xfId="0" applyNumberFormat="1" applyFill="1" applyBorder="1"/>
    <xf numFmtId="0" fontId="2" fillId="6" borderId="46" xfId="0" applyFont="1" applyFill="1" applyBorder="1" applyAlignment="1">
      <alignment horizontal="right"/>
    </xf>
    <xf numFmtId="0" fontId="2" fillId="6" borderId="23" xfId="0" applyFont="1" applyFill="1" applyBorder="1" applyAlignment="1">
      <alignment horizontal="right"/>
    </xf>
    <xf numFmtId="0" fontId="2" fillId="6" borderId="23" xfId="0" applyFont="1" applyFill="1" applyBorder="1" applyAlignment="1">
      <alignment horizontal="center"/>
    </xf>
    <xf numFmtId="0" fontId="2" fillId="6" borderId="47" xfId="0" applyFont="1" applyFill="1" applyBorder="1" applyAlignment="1">
      <alignment horizontal="center"/>
    </xf>
    <xf numFmtId="0" fontId="2" fillId="9" borderId="11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14" fillId="10" borderId="1" xfId="0" applyFont="1" applyFill="1" applyBorder="1" applyAlignment="1">
      <alignment horizontal="center"/>
    </xf>
    <xf numFmtId="49" fontId="7" fillId="10" borderId="0" xfId="1" applyNumberFormat="1" applyFont="1" applyFill="1" applyBorder="1" applyAlignment="1">
      <alignment horizontal="right"/>
    </xf>
    <xf numFmtId="49" fontId="5" fillId="10" borderId="0" xfId="1" applyNumberFormat="1" applyFont="1" applyFill="1" applyBorder="1" applyAlignment="1">
      <alignment horizontal="right"/>
    </xf>
    <xf numFmtId="165" fontId="0" fillId="7" borderId="0" xfId="2" applyNumberFormat="1" applyFont="1" applyFill="1" applyBorder="1"/>
    <xf numFmtId="0" fontId="5" fillId="7" borderId="0" xfId="0" applyFont="1" applyFill="1" applyBorder="1" applyAlignment="1">
      <alignment horizontal="center"/>
    </xf>
    <xf numFmtId="164" fontId="0" fillId="7" borderId="1" xfId="1" applyNumberFormat="1" applyFont="1" applyFill="1" applyBorder="1"/>
    <xf numFmtId="0" fontId="4" fillId="3" borderId="1" xfId="0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0" fillId="3" borderId="11" xfId="0" applyFill="1" applyBorder="1"/>
    <xf numFmtId="165" fontId="0" fillId="3" borderId="11" xfId="2" applyNumberFormat="1" applyFont="1" applyFill="1" applyBorder="1"/>
    <xf numFmtId="164" fontId="0" fillId="3" borderId="9" xfId="1" applyNumberFormat="1" applyFont="1" applyFill="1" applyBorder="1"/>
    <xf numFmtId="164" fontId="0" fillId="3" borderId="11" xfId="1" applyNumberFormat="1" applyFont="1" applyFill="1" applyBorder="1"/>
    <xf numFmtId="0" fontId="8" fillId="13" borderId="0" xfId="0" applyFont="1" applyFill="1" applyBorder="1" applyAlignment="1">
      <alignment horizontal="center"/>
    </xf>
    <xf numFmtId="0" fontId="14" fillId="13" borderId="1" xfId="0" applyFont="1" applyFill="1" applyBorder="1" applyAlignment="1">
      <alignment horizontal="center"/>
    </xf>
    <xf numFmtId="164" fontId="2" fillId="0" borderId="0" xfId="1" applyNumberFormat="1" applyFont="1" applyFill="1" applyBorder="1"/>
    <xf numFmtId="164" fontId="0" fillId="20" borderId="0" xfId="1" applyNumberFormat="1" applyFont="1" applyFill="1" applyBorder="1" applyAlignment="1">
      <alignment horizontal="left"/>
    </xf>
    <xf numFmtId="165" fontId="0" fillId="20" borderId="0" xfId="2" applyNumberFormat="1" applyFont="1" applyFill="1" applyBorder="1"/>
    <xf numFmtId="0" fontId="0" fillId="20" borderId="0" xfId="0" applyFill="1" applyBorder="1" applyAlignment="1"/>
    <xf numFmtId="0" fontId="2" fillId="20" borderId="0" xfId="0" applyFont="1" applyFill="1" applyBorder="1"/>
    <xf numFmtId="165" fontId="2" fillId="20" borderId="19" xfId="2" applyNumberFormat="1" applyFont="1" applyFill="1" applyBorder="1"/>
    <xf numFmtId="0" fontId="0" fillId="0" borderId="34" xfId="0" applyFill="1" applyBorder="1"/>
    <xf numFmtId="0" fontId="0" fillId="20" borderId="33" xfId="0" applyFill="1" applyBorder="1" applyAlignment="1"/>
    <xf numFmtId="0" fontId="0" fillId="20" borderId="34" xfId="0" applyFill="1" applyBorder="1" applyAlignment="1"/>
    <xf numFmtId="164" fontId="0" fillId="20" borderId="37" xfId="1" applyNumberFormat="1" applyFont="1" applyFill="1" applyBorder="1"/>
    <xf numFmtId="164" fontId="3" fillId="20" borderId="35" xfId="1" applyNumberFormat="1" applyFont="1" applyFill="1" applyBorder="1" applyAlignment="1"/>
    <xf numFmtId="164" fontId="15" fillId="20" borderId="48" xfId="1" applyNumberFormat="1" applyFont="1" applyFill="1" applyBorder="1" applyAlignment="1">
      <alignment horizontal="center"/>
    </xf>
    <xf numFmtId="0" fontId="16" fillId="20" borderId="36" xfId="0" applyFont="1" applyFill="1" applyBorder="1"/>
    <xf numFmtId="0" fontId="16" fillId="20" borderId="37" xfId="0" applyFont="1" applyFill="1" applyBorder="1"/>
    <xf numFmtId="0" fontId="16" fillId="20" borderId="38" xfId="0" applyFont="1" applyFill="1" applyBorder="1"/>
    <xf numFmtId="0" fontId="16" fillId="20" borderId="39" xfId="0" applyFont="1" applyFill="1" applyBorder="1"/>
    <xf numFmtId="0" fontId="16" fillId="20" borderId="40" xfId="0" applyFont="1" applyFill="1" applyBorder="1"/>
    <xf numFmtId="1" fontId="0" fillId="0" borderId="0" xfId="0" applyNumberFormat="1"/>
    <xf numFmtId="0" fontId="4" fillId="8" borderId="0" xfId="0" applyFont="1" applyFill="1" applyBorder="1" applyAlignment="1">
      <alignment horizontal="center"/>
    </xf>
    <xf numFmtId="0" fontId="0" fillId="21" borderId="0" xfId="0" applyFill="1" applyBorder="1"/>
    <xf numFmtId="165" fontId="0" fillId="21" borderId="0" xfId="2" applyNumberFormat="1" applyFont="1" applyFill="1" applyBorder="1"/>
    <xf numFmtId="0" fontId="0" fillId="21" borderId="17" xfId="0" applyFill="1" applyBorder="1"/>
    <xf numFmtId="164" fontId="0" fillId="21" borderId="0" xfId="1" applyNumberFormat="1" applyFont="1" applyFill="1" applyBorder="1"/>
    <xf numFmtId="0" fontId="2" fillId="20" borderId="0" xfId="0" applyFont="1" applyFill="1" applyBorder="1" applyAlignment="1">
      <alignment horizontal="center"/>
    </xf>
    <xf numFmtId="164" fontId="2" fillId="20" borderId="0" xfId="0" applyNumberFormat="1" applyFont="1" applyFill="1" applyBorder="1" applyAlignment="1">
      <alignment horizontal="center"/>
    </xf>
    <xf numFmtId="165" fontId="2" fillId="20" borderId="0" xfId="2" applyNumberFormat="1" applyFont="1" applyFill="1" applyBorder="1"/>
    <xf numFmtId="169" fontId="13" fillId="20" borderId="0" xfId="1" applyNumberFormat="1" applyFont="1" applyFill="1" applyBorder="1"/>
    <xf numFmtId="164" fontId="6" fillId="20" borderId="0" xfId="1" applyNumberFormat="1" applyFont="1" applyFill="1" applyBorder="1"/>
    <xf numFmtId="0" fontId="6" fillId="20" borderId="0" xfId="0" applyFont="1" applyFill="1" applyBorder="1"/>
    <xf numFmtId="164" fontId="6" fillId="20" borderId="1" xfId="1" applyNumberFormat="1" applyFont="1" applyFill="1" applyBorder="1"/>
    <xf numFmtId="165" fontId="6" fillId="20" borderId="0" xfId="2" applyNumberFormat="1" applyFont="1" applyFill="1" applyBorder="1"/>
    <xf numFmtId="164" fontId="11" fillId="20" borderId="19" xfId="1" applyNumberFormat="1" applyFont="1" applyFill="1" applyBorder="1"/>
    <xf numFmtId="164" fontId="11" fillId="20" borderId="19" xfId="0" applyNumberFormat="1" applyFont="1" applyFill="1" applyBorder="1"/>
    <xf numFmtId="165" fontId="11" fillId="20" borderId="19" xfId="2" applyNumberFormat="1" applyFont="1" applyFill="1" applyBorder="1"/>
    <xf numFmtId="165" fontId="11" fillId="20" borderId="26" xfId="2" applyNumberFormat="1" applyFont="1" applyFill="1" applyBorder="1"/>
    <xf numFmtId="164" fontId="11" fillId="20" borderId="39" xfId="1" applyNumberFormat="1" applyFont="1" applyFill="1" applyBorder="1"/>
    <xf numFmtId="164" fontId="6" fillId="20" borderId="39" xfId="1" applyNumberFormat="1" applyFont="1" applyFill="1" applyBorder="1"/>
    <xf numFmtId="0" fontId="6" fillId="20" borderId="39" xfId="0" applyFont="1" applyFill="1" applyBorder="1"/>
    <xf numFmtId="171" fontId="0" fillId="22" borderId="0" xfId="0" applyNumberFormat="1" applyFill="1"/>
    <xf numFmtId="164" fontId="0" fillId="22" borderId="0" xfId="1" applyNumberFormat="1" applyFont="1" applyFill="1"/>
    <xf numFmtId="164" fontId="6" fillId="0" borderId="0" xfId="1" applyNumberFormat="1" applyFont="1" applyFill="1"/>
    <xf numFmtId="0" fontId="0" fillId="13" borderId="3" xfId="0" applyFill="1" applyBorder="1" applyAlignment="1">
      <alignment horizontal="center"/>
    </xf>
    <xf numFmtId="0" fontId="0" fillId="13" borderId="2" xfId="0" applyFill="1" applyBorder="1" applyAlignment="1">
      <alignment horizontal="center"/>
    </xf>
    <xf numFmtId="0" fontId="2" fillId="11" borderId="5" xfId="0" applyFont="1" applyFill="1" applyBorder="1" applyAlignment="1">
      <alignment horizontal="center"/>
    </xf>
    <xf numFmtId="0" fontId="2" fillId="11" borderId="6" xfId="0" applyFont="1" applyFill="1" applyBorder="1" applyAlignment="1">
      <alignment horizontal="center"/>
    </xf>
    <xf numFmtId="0" fontId="2" fillId="11" borderId="7" xfId="0" applyFont="1" applyFill="1" applyBorder="1" applyAlignment="1">
      <alignment horizontal="center"/>
    </xf>
    <xf numFmtId="9" fontId="2" fillId="13" borderId="2" xfId="0" applyNumberFormat="1" applyFont="1" applyFill="1" applyBorder="1" applyAlignment="1">
      <alignment horizontal="center"/>
    </xf>
    <xf numFmtId="0" fontId="2" fillId="13" borderId="2" xfId="0" applyFont="1" applyFill="1" applyBorder="1" applyAlignment="1">
      <alignment horizontal="center"/>
    </xf>
    <xf numFmtId="0" fontId="2" fillId="13" borderId="4" xfId="0" applyFont="1" applyFill="1" applyBorder="1" applyAlignment="1">
      <alignment horizontal="center"/>
    </xf>
    <xf numFmtId="0" fontId="2" fillId="9" borderId="3" xfId="0" applyFont="1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2" fillId="9" borderId="4" xfId="0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2" fillId="9" borderId="5" xfId="0" applyFont="1" applyFill="1" applyBorder="1" applyAlignment="1">
      <alignment horizontal="center"/>
    </xf>
    <xf numFmtId="0" fontId="2" fillId="9" borderId="6" xfId="0" applyFont="1" applyFill="1" applyBorder="1" applyAlignment="1">
      <alignment horizontal="center"/>
    </xf>
    <xf numFmtId="0" fontId="2" fillId="9" borderId="10" xfId="0" applyFont="1" applyFill="1" applyBorder="1" applyAlignment="1">
      <alignment horizontal="center"/>
    </xf>
    <xf numFmtId="0" fontId="2" fillId="9" borderId="0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2" fillId="6" borderId="23" xfId="0" applyFont="1" applyFill="1" applyBorder="1" applyAlignment="1">
      <alignment horizontal="center"/>
    </xf>
    <xf numFmtId="10" fontId="2" fillId="4" borderId="2" xfId="2" applyNumberFormat="1" applyFont="1" applyFill="1" applyBorder="1" applyAlignment="1">
      <alignment horizontal="center"/>
    </xf>
    <xf numFmtId="10" fontId="2" fillId="4" borderId="4" xfId="2" applyNumberFormat="1" applyFont="1" applyFill="1" applyBorder="1" applyAlignment="1">
      <alignment horizontal="center"/>
    </xf>
    <xf numFmtId="0" fontId="2" fillId="16" borderId="3" xfId="0" applyFont="1" applyFill="1" applyBorder="1" applyAlignment="1">
      <alignment horizontal="center"/>
    </xf>
    <xf numFmtId="0" fontId="2" fillId="16" borderId="2" xfId="0" applyFont="1" applyFill="1" applyBorder="1" applyAlignment="1">
      <alignment horizontal="center"/>
    </xf>
    <xf numFmtId="0" fontId="2" fillId="16" borderId="4" xfId="0" applyFont="1" applyFill="1" applyBorder="1" applyAlignment="1">
      <alignment horizontal="center"/>
    </xf>
    <xf numFmtId="9" fontId="2" fillId="7" borderId="3" xfId="0" applyNumberFormat="1" applyFont="1" applyFill="1" applyBorder="1" applyAlignment="1">
      <alignment horizontal="center"/>
    </xf>
    <xf numFmtId="9" fontId="2" fillId="7" borderId="2" xfId="0" applyNumberFormat="1" applyFont="1" applyFill="1" applyBorder="1" applyAlignment="1">
      <alignment horizontal="center"/>
    </xf>
    <xf numFmtId="9" fontId="2" fillId="7" borderId="4" xfId="0" applyNumberFormat="1" applyFont="1" applyFill="1" applyBorder="1" applyAlignment="1">
      <alignment horizontal="center"/>
    </xf>
    <xf numFmtId="0" fontId="2" fillId="13" borderId="3" xfId="0" applyFont="1" applyFill="1" applyBorder="1" applyAlignment="1">
      <alignment horizontal="center"/>
    </xf>
    <xf numFmtId="0" fontId="2" fillId="8" borderId="12" xfId="0" applyFont="1" applyFill="1" applyBorder="1" applyAlignment="1">
      <alignment horizontal="center"/>
    </xf>
    <xf numFmtId="0" fontId="2" fillId="8" borderId="13" xfId="0" applyFont="1" applyFill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165" fontId="2" fillId="8" borderId="13" xfId="2" applyNumberFormat="1" applyFont="1" applyFill="1" applyBorder="1" applyAlignment="1">
      <alignment horizontal="center"/>
    </xf>
    <xf numFmtId="165" fontId="2" fillId="8" borderId="28" xfId="2" applyNumberFormat="1" applyFont="1" applyFill="1" applyBorder="1" applyAlignment="1">
      <alignment horizontal="center"/>
    </xf>
    <xf numFmtId="164" fontId="2" fillId="15" borderId="5" xfId="1" applyNumberFormat="1" applyFont="1" applyFill="1" applyBorder="1" applyAlignment="1">
      <alignment horizontal="center"/>
    </xf>
    <xf numFmtId="164" fontId="2" fillId="15" borderId="6" xfId="1" applyNumberFormat="1" applyFont="1" applyFill="1" applyBorder="1" applyAlignment="1">
      <alignment horizontal="center"/>
    </xf>
    <xf numFmtId="164" fontId="2" fillId="15" borderId="7" xfId="1" applyNumberFormat="1" applyFont="1" applyFill="1" applyBorder="1" applyAlignment="1">
      <alignment horizontal="center"/>
    </xf>
    <xf numFmtId="0" fontId="2" fillId="17" borderId="24" xfId="0" applyFont="1" applyFill="1" applyBorder="1" applyAlignment="1">
      <alignment horizontal="center" wrapText="1"/>
    </xf>
    <xf numFmtId="0" fontId="2" fillId="17" borderId="25" xfId="0" applyFont="1" applyFill="1" applyBorder="1" applyAlignment="1">
      <alignment horizontal="center" wrapText="1"/>
    </xf>
    <xf numFmtId="164" fontId="2" fillId="17" borderId="5" xfId="1" applyNumberFormat="1" applyFont="1" applyFill="1" applyBorder="1" applyAlignment="1">
      <alignment horizontal="center"/>
    </xf>
    <xf numFmtId="164" fontId="2" fillId="17" borderId="6" xfId="1" applyNumberFormat="1" applyFont="1" applyFill="1" applyBorder="1" applyAlignment="1">
      <alignment horizontal="center"/>
    </xf>
    <xf numFmtId="164" fontId="2" fillId="17" borderId="7" xfId="1" applyNumberFormat="1" applyFont="1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32" xfId="0" applyFill="1" applyBorder="1" applyAlignment="1">
      <alignment horizontal="center"/>
    </xf>
    <xf numFmtId="0" fontId="4" fillId="21" borderId="23" xfId="0" applyFont="1" applyFill="1" applyBorder="1" applyAlignment="1">
      <alignment horizontal="center" wrapText="1"/>
    </xf>
    <xf numFmtId="0" fontId="4" fillId="21" borderId="1" xfId="0" applyFont="1" applyFill="1" applyBorder="1" applyAlignment="1">
      <alignment horizontal="center" wrapText="1"/>
    </xf>
    <xf numFmtId="0" fontId="0" fillId="5" borderId="30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164" fontId="0" fillId="3" borderId="0" xfId="0" applyNumberForma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164" fontId="2" fillId="19" borderId="19" xfId="0" applyNumberFormat="1" applyFont="1" applyFill="1" applyBorder="1" applyAlignment="1">
      <alignment horizontal="center"/>
    </xf>
    <xf numFmtId="0" fontId="2" fillId="19" borderId="19" xfId="0" applyFont="1" applyFill="1" applyBorder="1" applyAlignment="1">
      <alignment horizontal="center"/>
    </xf>
    <xf numFmtId="0" fontId="2" fillId="19" borderId="5" xfId="0" applyFont="1" applyFill="1" applyBorder="1" applyAlignment="1">
      <alignment horizontal="center"/>
    </xf>
    <xf numFmtId="0" fontId="2" fillId="19" borderId="6" xfId="0" applyFont="1" applyFill="1" applyBorder="1" applyAlignment="1">
      <alignment horizontal="center"/>
    </xf>
    <xf numFmtId="0" fontId="2" fillId="19" borderId="7" xfId="0" applyFont="1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164" fontId="13" fillId="20" borderId="0" xfId="1" applyNumberFormat="1" applyFont="1" applyFill="1" applyBorder="1" applyAlignment="1">
      <alignment horizontal="center"/>
    </xf>
    <xf numFmtId="164" fontId="10" fillId="20" borderId="36" xfId="1" applyNumberFormat="1" applyFont="1" applyFill="1" applyBorder="1" applyAlignment="1">
      <alignment horizontal="center"/>
    </xf>
    <xf numFmtId="164" fontId="10" fillId="20" borderId="0" xfId="1" applyNumberFormat="1" applyFont="1" applyFill="1" applyBorder="1" applyAlignment="1">
      <alignment horizontal="center"/>
    </xf>
    <xf numFmtId="164" fontId="11" fillId="20" borderId="19" xfId="1" applyNumberFormat="1" applyFont="1" applyFill="1" applyBorder="1" applyAlignment="1">
      <alignment horizontal="center"/>
    </xf>
    <xf numFmtId="164" fontId="7" fillId="20" borderId="0" xfId="1" applyNumberFormat="1" applyFont="1" applyFill="1" applyBorder="1" applyAlignment="1">
      <alignment horizontal="center"/>
    </xf>
    <xf numFmtId="0" fontId="13" fillId="20" borderId="49" xfId="0" applyFont="1" applyFill="1" applyBorder="1" applyAlignment="1">
      <alignment horizontal="center"/>
    </xf>
    <xf numFmtId="0" fontId="13" fillId="20" borderId="50" xfId="0" applyFont="1" applyFill="1" applyBorder="1" applyAlignment="1">
      <alignment horizontal="center"/>
    </xf>
    <xf numFmtId="0" fontId="13" fillId="20" borderId="51" xfId="0" applyFont="1" applyFill="1" applyBorder="1" applyAlignment="1">
      <alignment horizontal="center"/>
    </xf>
    <xf numFmtId="164" fontId="0" fillId="20" borderId="0" xfId="1" applyNumberFormat="1" applyFont="1" applyFill="1" applyBorder="1" applyAlignment="1">
      <alignment horizontal="center"/>
    </xf>
    <xf numFmtId="164" fontId="0" fillId="20" borderId="0" xfId="0" applyNumberFormat="1" applyFill="1" applyBorder="1" applyAlignment="1">
      <alignment horizontal="center"/>
    </xf>
    <xf numFmtId="0" fontId="0" fillId="20" borderId="0" xfId="0" applyFill="1" applyBorder="1" applyAlignment="1">
      <alignment horizontal="center"/>
    </xf>
    <xf numFmtId="164" fontId="0" fillId="20" borderId="1" xfId="0" applyNumberFormat="1" applyFill="1" applyBorder="1" applyAlignment="1">
      <alignment horizontal="center"/>
    </xf>
    <xf numFmtId="0" fontId="0" fillId="20" borderId="1" xfId="0" applyFill="1" applyBorder="1" applyAlignment="1">
      <alignment horizontal="center"/>
    </xf>
    <xf numFmtId="0" fontId="2" fillId="20" borderId="0" xfId="0" applyFont="1" applyFill="1" applyBorder="1" applyAlignment="1">
      <alignment horizontal="center"/>
    </xf>
    <xf numFmtId="164" fontId="2" fillId="20" borderId="19" xfId="0" applyNumberFormat="1" applyFont="1" applyFill="1" applyBorder="1" applyAlignment="1">
      <alignment horizontal="center"/>
    </xf>
    <xf numFmtId="0" fontId="2" fillId="20" borderId="19" xfId="0" applyFont="1" applyFill="1" applyBorder="1" applyAlignment="1">
      <alignment horizontal="center"/>
    </xf>
    <xf numFmtId="0" fontId="13" fillId="20" borderId="0" xfId="0" applyFont="1" applyFill="1" applyBorder="1" applyAlignment="1">
      <alignment horizontal="center"/>
    </xf>
    <xf numFmtId="0" fontId="3" fillId="8" borderId="5" xfId="0" applyFont="1" applyFill="1" applyBorder="1" applyAlignment="1">
      <alignment horizontal="center"/>
    </xf>
    <xf numFmtId="0" fontId="3" fillId="8" borderId="6" xfId="0" applyFont="1" applyFill="1" applyBorder="1" applyAlignment="1">
      <alignment horizontal="center"/>
    </xf>
    <xf numFmtId="0" fontId="3" fillId="8" borderId="7" xfId="0" applyFont="1" applyFill="1" applyBorder="1" applyAlignment="1">
      <alignment horizontal="center"/>
    </xf>
    <xf numFmtId="0" fontId="0" fillId="0" borderId="0" xfId="0" applyAlignment="1">
      <alignment horizontal="left"/>
    </xf>
    <xf numFmtId="164" fontId="13" fillId="20" borderId="41" xfId="1" applyNumberFormat="1" applyFont="1" applyFill="1" applyBorder="1" applyAlignment="1">
      <alignment horizontal="center"/>
    </xf>
    <xf numFmtId="164" fontId="13" fillId="20" borderId="42" xfId="1" applyNumberFormat="1" applyFont="1" applyFill="1" applyBorder="1" applyAlignment="1">
      <alignment horizontal="center"/>
    </xf>
    <xf numFmtId="164" fontId="13" fillId="20" borderId="43" xfId="1" applyNumberFormat="1" applyFont="1" applyFill="1" applyBorder="1" applyAlignment="1">
      <alignment horizontal="center"/>
    </xf>
    <xf numFmtId="164" fontId="10" fillId="20" borderId="6" xfId="1" applyNumberFormat="1" applyFont="1" applyFill="1" applyBorder="1" applyAlignment="1">
      <alignment horizontal="center"/>
    </xf>
    <xf numFmtId="0" fontId="10" fillId="20" borderId="6" xfId="0" applyFont="1" applyFill="1" applyBorder="1" applyAlignment="1">
      <alignment horizontal="center"/>
    </xf>
    <xf numFmtId="164" fontId="2" fillId="7" borderId="5" xfId="1" applyNumberFormat="1" applyFont="1" applyFill="1" applyBorder="1" applyAlignment="1">
      <alignment horizontal="center"/>
    </xf>
    <xf numFmtId="164" fontId="2" fillId="7" borderId="6" xfId="1" applyNumberFormat="1" applyFont="1" applyFill="1" applyBorder="1" applyAlignment="1">
      <alignment horizontal="center"/>
    </xf>
    <xf numFmtId="164" fontId="2" fillId="7" borderId="7" xfId="1" applyNumberFormat="1" applyFont="1" applyFill="1" applyBorder="1" applyAlignment="1">
      <alignment horizontal="center"/>
    </xf>
    <xf numFmtId="164" fontId="10" fillId="7" borderId="6" xfId="1" applyNumberFormat="1" applyFont="1" applyFill="1" applyBorder="1" applyAlignment="1">
      <alignment horizontal="center"/>
    </xf>
    <xf numFmtId="164" fontId="10" fillId="7" borderId="14" xfId="1" applyNumberFormat="1" applyFont="1" applyFill="1" applyBorder="1" applyAlignment="1">
      <alignment horizontal="center"/>
    </xf>
    <xf numFmtId="164" fontId="10" fillId="7" borderId="0" xfId="1" applyNumberFormat="1" applyFont="1" applyFill="1" applyBorder="1" applyAlignment="1">
      <alignment horizontal="center"/>
    </xf>
    <xf numFmtId="164" fontId="7" fillId="7" borderId="0" xfId="1" applyNumberFormat="1" applyFont="1" applyFill="1" applyBorder="1" applyAlignment="1">
      <alignment horizontal="center"/>
    </xf>
    <xf numFmtId="0" fontId="2" fillId="19" borderId="0" xfId="0" applyFont="1" applyFill="1" applyBorder="1" applyAlignment="1">
      <alignment horizontal="center"/>
    </xf>
    <xf numFmtId="0" fontId="10" fillId="7" borderId="6" xfId="0" applyFont="1" applyFill="1" applyBorder="1" applyAlignment="1">
      <alignment horizontal="center"/>
    </xf>
    <xf numFmtId="164" fontId="12" fillId="18" borderId="19" xfId="1" applyNumberFormat="1" applyFont="1" applyFill="1" applyBorder="1" applyAlignment="1">
      <alignment horizontal="center"/>
    </xf>
    <xf numFmtId="164" fontId="0" fillId="3" borderId="0" xfId="1" applyNumberFormat="1" applyFont="1" applyFill="1" applyBorder="1" applyAlignment="1">
      <alignment horizontal="center"/>
    </xf>
    <xf numFmtId="164" fontId="10" fillId="13" borderId="6" xfId="1" applyNumberFormat="1" applyFont="1" applyFill="1" applyBorder="1" applyAlignment="1">
      <alignment horizontal="center"/>
    </xf>
    <xf numFmtId="0" fontId="2" fillId="12" borderId="5" xfId="0" applyFont="1" applyFill="1" applyBorder="1" applyAlignment="1">
      <alignment horizontal="center"/>
    </xf>
    <xf numFmtId="0" fontId="2" fillId="12" borderId="6" xfId="0" applyFont="1" applyFill="1" applyBorder="1" applyAlignment="1">
      <alignment horizontal="center"/>
    </xf>
    <xf numFmtId="0" fontId="2" fillId="12" borderId="7" xfId="0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EB4EC"/>
      <color rgb="FFFF6699"/>
      <color rgb="FF9966FF"/>
      <color rgb="FFC1C1FF"/>
      <color rgb="FFE5B0FA"/>
      <color rgb="FFD581F7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78</xdr:col>
      <xdr:colOff>259080</xdr:colOff>
      <xdr:row>4</xdr:row>
      <xdr:rowOff>60960</xdr:rowOff>
    </xdr:from>
    <xdr:to>
      <xdr:col>78</xdr:col>
      <xdr:colOff>342900</xdr:colOff>
      <xdr:row>4</xdr:row>
      <xdr:rowOff>175260</xdr:rowOff>
    </xdr:to>
    <xdr:sp macro="" textlink="">
      <xdr:nvSpPr>
        <xdr:cNvPr id="4" name="Arrow: Down 3">
          <a:extLst>
            <a:ext uri="{FF2B5EF4-FFF2-40B4-BE49-F238E27FC236}">
              <a16:creationId xmlns:a16="http://schemas.microsoft.com/office/drawing/2014/main" id="{7BB724AA-2997-4487-9D13-52A765C5F08E}"/>
            </a:ext>
          </a:extLst>
        </xdr:cNvPr>
        <xdr:cNvSpPr/>
      </xdr:nvSpPr>
      <xdr:spPr>
        <a:xfrm>
          <a:off x="16908780" y="670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78</xdr:col>
      <xdr:colOff>274320</xdr:colOff>
      <xdr:row>5</xdr:row>
      <xdr:rowOff>76200</xdr:rowOff>
    </xdr:from>
    <xdr:to>
      <xdr:col>78</xdr:col>
      <xdr:colOff>358140</xdr:colOff>
      <xdr:row>6</xdr:row>
      <xdr:rowOff>7620</xdr:rowOff>
    </xdr:to>
    <xdr:sp macro="" textlink="">
      <xdr:nvSpPr>
        <xdr:cNvPr id="12" name="Arrow: Down 11">
          <a:extLst>
            <a:ext uri="{FF2B5EF4-FFF2-40B4-BE49-F238E27FC236}">
              <a16:creationId xmlns:a16="http://schemas.microsoft.com/office/drawing/2014/main" id="{9C9BC6A7-F98F-4545-B362-C33CEA8794F1}"/>
            </a:ext>
          </a:extLst>
        </xdr:cNvPr>
        <xdr:cNvSpPr/>
      </xdr:nvSpPr>
      <xdr:spPr>
        <a:xfrm rot="10800000">
          <a:off x="16924020" y="868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78</xdr:col>
      <xdr:colOff>289560</xdr:colOff>
      <xdr:row>7</xdr:row>
      <xdr:rowOff>45720</xdr:rowOff>
    </xdr:from>
    <xdr:to>
      <xdr:col>78</xdr:col>
      <xdr:colOff>449580</xdr:colOff>
      <xdr:row>8</xdr:row>
      <xdr:rowOff>30480</xdr:rowOff>
    </xdr:to>
    <xdr:sp macro="" textlink="">
      <xdr:nvSpPr>
        <xdr:cNvPr id="13" name="Minus Sign 12">
          <a:extLst>
            <a:ext uri="{FF2B5EF4-FFF2-40B4-BE49-F238E27FC236}">
              <a16:creationId xmlns:a16="http://schemas.microsoft.com/office/drawing/2014/main" id="{D63F33E3-BC66-44CE-BA9B-CCC003B42CE2}"/>
            </a:ext>
          </a:extLst>
        </xdr:cNvPr>
        <xdr:cNvSpPr/>
      </xdr:nvSpPr>
      <xdr:spPr>
        <a:xfrm>
          <a:off x="16939260" y="12039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35</xdr:col>
      <xdr:colOff>0</xdr:colOff>
      <xdr:row>15</xdr:row>
      <xdr:rowOff>0</xdr:rowOff>
    </xdr:from>
    <xdr:to>
      <xdr:col>35</xdr:col>
      <xdr:colOff>83820</xdr:colOff>
      <xdr:row>15</xdr:row>
      <xdr:rowOff>114300</xdr:rowOff>
    </xdr:to>
    <xdr:sp macro="" textlink="">
      <xdr:nvSpPr>
        <xdr:cNvPr id="26" name="Arrow: Down 25">
          <a:extLst>
            <a:ext uri="{FF2B5EF4-FFF2-40B4-BE49-F238E27FC236}">
              <a16:creationId xmlns:a16="http://schemas.microsoft.com/office/drawing/2014/main" id="{97BEA482-DB5A-473A-AB49-0BD9D6ACEB8C}"/>
            </a:ext>
          </a:extLst>
        </xdr:cNvPr>
        <xdr:cNvSpPr/>
      </xdr:nvSpPr>
      <xdr:spPr>
        <a:xfrm rot="10800000">
          <a:off x="9113520" y="26212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16</xdr:row>
      <xdr:rowOff>0</xdr:rowOff>
    </xdr:from>
    <xdr:to>
      <xdr:col>35</xdr:col>
      <xdr:colOff>83820</xdr:colOff>
      <xdr:row>16</xdr:row>
      <xdr:rowOff>114300</xdr:rowOff>
    </xdr:to>
    <xdr:sp macro="" textlink="">
      <xdr:nvSpPr>
        <xdr:cNvPr id="28" name="Arrow: Down 27">
          <a:extLst>
            <a:ext uri="{FF2B5EF4-FFF2-40B4-BE49-F238E27FC236}">
              <a16:creationId xmlns:a16="http://schemas.microsoft.com/office/drawing/2014/main" id="{DCF34EAD-2461-407F-838A-A52984687A9D}"/>
            </a:ext>
          </a:extLst>
        </xdr:cNvPr>
        <xdr:cNvSpPr/>
      </xdr:nvSpPr>
      <xdr:spPr>
        <a:xfrm rot="10800000">
          <a:off x="9113520" y="2804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17</xdr:row>
      <xdr:rowOff>0</xdr:rowOff>
    </xdr:from>
    <xdr:to>
      <xdr:col>35</xdr:col>
      <xdr:colOff>83820</xdr:colOff>
      <xdr:row>17</xdr:row>
      <xdr:rowOff>114300</xdr:rowOff>
    </xdr:to>
    <xdr:sp macro="" textlink="">
      <xdr:nvSpPr>
        <xdr:cNvPr id="29" name="Arrow: Down 28">
          <a:extLst>
            <a:ext uri="{FF2B5EF4-FFF2-40B4-BE49-F238E27FC236}">
              <a16:creationId xmlns:a16="http://schemas.microsoft.com/office/drawing/2014/main" id="{FD8235BE-CFF9-4299-B928-3B84C81A3764}"/>
            </a:ext>
          </a:extLst>
        </xdr:cNvPr>
        <xdr:cNvSpPr/>
      </xdr:nvSpPr>
      <xdr:spPr>
        <a:xfrm rot="10800000">
          <a:off x="9113520" y="2987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18</xdr:row>
      <xdr:rowOff>0</xdr:rowOff>
    </xdr:from>
    <xdr:to>
      <xdr:col>35</xdr:col>
      <xdr:colOff>83820</xdr:colOff>
      <xdr:row>18</xdr:row>
      <xdr:rowOff>114300</xdr:rowOff>
    </xdr:to>
    <xdr:sp macro="" textlink="">
      <xdr:nvSpPr>
        <xdr:cNvPr id="30" name="Arrow: Down 29">
          <a:extLst>
            <a:ext uri="{FF2B5EF4-FFF2-40B4-BE49-F238E27FC236}">
              <a16:creationId xmlns:a16="http://schemas.microsoft.com/office/drawing/2014/main" id="{A9D1558D-2A28-4426-BF6F-062B3564FF70}"/>
            </a:ext>
          </a:extLst>
        </xdr:cNvPr>
        <xdr:cNvSpPr/>
      </xdr:nvSpPr>
      <xdr:spPr>
        <a:xfrm rot="10800000">
          <a:off x="911352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19</xdr:row>
      <xdr:rowOff>0</xdr:rowOff>
    </xdr:from>
    <xdr:to>
      <xdr:col>35</xdr:col>
      <xdr:colOff>83820</xdr:colOff>
      <xdr:row>19</xdr:row>
      <xdr:rowOff>114300</xdr:rowOff>
    </xdr:to>
    <xdr:sp macro="" textlink="">
      <xdr:nvSpPr>
        <xdr:cNvPr id="31" name="Arrow: Down 30">
          <a:extLst>
            <a:ext uri="{FF2B5EF4-FFF2-40B4-BE49-F238E27FC236}">
              <a16:creationId xmlns:a16="http://schemas.microsoft.com/office/drawing/2014/main" id="{84DA76D7-2B44-4F34-9C1F-ACCD6BA0A496}"/>
            </a:ext>
          </a:extLst>
        </xdr:cNvPr>
        <xdr:cNvSpPr/>
      </xdr:nvSpPr>
      <xdr:spPr>
        <a:xfrm rot="10800000">
          <a:off x="9113520" y="3352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79</xdr:col>
      <xdr:colOff>281940</xdr:colOff>
      <xdr:row>5</xdr:row>
      <xdr:rowOff>45720</xdr:rowOff>
    </xdr:from>
    <xdr:to>
      <xdr:col>79</xdr:col>
      <xdr:colOff>365760</xdr:colOff>
      <xdr:row>5</xdr:row>
      <xdr:rowOff>160020</xdr:rowOff>
    </xdr:to>
    <xdr:sp macro="" textlink="">
      <xdr:nvSpPr>
        <xdr:cNvPr id="34" name="Arrow: Down 33">
          <a:extLst>
            <a:ext uri="{FF2B5EF4-FFF2-40B4-BE49-F238E27FC236}">
              <a16:creationId xmlns:a16="http://schemas.microsoft.com/office/drawing/2014/main" id="{87FD0F4F-F588-464D-8458-F34D18AA5EDE}"/>
            </a:ext>
          </a:extLst>
        </xdr:cNvPr>
        <xdr:cNvSpPr/>
      </xdr:nvSpPr>
      <xdr:spPr>
        <a:xfrm>
          <a:off x="17541240" y="838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20</xdr:row>
      <xdr:rowOff>0</xdr:rowOff>
    </xdr:from>
    <xdr:to>
      <xdr:col>35</xdr:col>
      <xdr:colOff>83820</xdr:colOff>
      <xdr:row>20</xdr:row>
      <xdr:rowOff>114300</xdr:rowOff>
    </xdr:to>
    <xdr:sp macro="" textlink="">
      <xdr:nvSpPr>
        <xdr:cNvPr id="20" name="Arrow: Down 19">
          <a:extLst>
            <a:ext uri="{FF2B5EF4-FFF2-40B4-BE49-F238E27FC236}">
              <a16:creationId xmlns:a16="http://schemas.microsoft.com/office/drawing/2014/main" id="{38421014-4587-4781-946A-3D4A80382EB1}"/>
            </a:ext>
          </a:extLst>
        </xdr:cNvPr>
        <xdr:cNvSpPr/>
      </xdr:nvSpPr>
      <xdr:spPr>
        <a:xfrm rot="10800000">
          <a:off x="9296400" y="3352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21</xdr:row>
      <xdr:rowOff>0</xdr:rowOff>
    </xdr:from>
    <xdr:to>
      <xdr:col>35</xdr:col>
      <xdr:colOff>83820</xdr:colOff>
      <xdr:row>21</xdr:row>
      <xdr:rowOff>114300</xdr:rowOff>
    </xdr:to>
    <xdr:sp macro="" textlink="">
      <xdr:nvSpPr>
        <xdr:cNvPr id="38" name="Arrow: Down 37">
          <a:extLst>
            <a:ext uri="{FF2B5EF4-FFF2-40B4-BE49-F238E27FC236}">
              <a16:creationId xmlns:a16="http://schemas.microsoft.com/office/drawing/2014/main" id="{036ABE79-DA98-4599-BC86-BDFBF984BFB0}"/>
            </a:ext>
          </a:extLst>
        </xdr:cNvPr>
        <xdr:cNvSpPr/>
      </xdr:nvSpPr>
      <xdr:spPr>
        <a:xfrm rot="10800000">
          <a:off x="9296400" y="3535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22</xdr:row>
      <xdr:rowOff>0</xdr:rowOff>
    </xdr:from>
    <xdr:to>
      <xdr:col>35</xdr:col>
      <xdr:colOff>83820</xdr:colOff>
      <xdr:row>22</xdr:row>
      <xdr:rowOff>114300</xdr:rowOff>
    </xdr:to>
    <xdr:sp macro="" textlink="">
      <xdr:nvSpPr>
        <xdr:cNvPr id="35" name="Arrow: Down 34">
          <a:extLst>
            <a:ext uri="{FF2B5EF4-FFF2-40B4-BE49-F238E27FC236}">
              <a16:creationId xmlns:a16="http://schemas.microsoft.com/office/drawing/2014/main" id="{1A4EAEE9-2269-4A97-A6BA-05C97A2E74EB}"/>
            </a:ext>
          </a:extLst>
        </xdr:cNvPr>
        <xdr:cNvSpPr/>
      </xdr:nvSpPr>
      <xdr:spPr>
        <a:xfrm rot="10800000">
          <a:off x="9364980" y="3718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79</xdr:col>
      <xdr:colOff>274320</xdr:colOff>
      <xdr:row>4</xdr:row>
      <xdr:rowOff>22860</xdr:rowOff>
    </xdr:from>
    <xdr:to>
      <xdr:col>79</xdr:col>
      <xdr:colOff>358140</xdr:colOff>
      <xdr:row>4</xdr:row>
      <xdr:rowOff>137160</xdr:rowOff>
    </xdr:to>
    <xdr:sp macro="" textlink="">
      <xdr:nvSpPr>
        <xdr:cNvPr id="44" name="Arrow: Down 43">
          <a:extLst>
            <a:ext uri="{FF2B5EF4-FFF2-40B4-BE49-F238E27FC236}">
              <a16:creationId xmlns:a16="http://schemas.microsoft.com/office/drawing/2014/main" id="{94F8C43D-030C-41BC-947E-4C3FED4BB2E3}"/>
            </a:ext>
          </a:extLst>
        </xdr:cNvPr>
        <xdr:cNvSpPr/>
      </xdr:nvSpPr>
      <xdr:spPr>
        <a:xfrm flipH="1" flipV="1">
          <a:off x="17533620" y="632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17</xdr:row>
      <xdr:rowOff>0</xdr:rowOff>
    </xdr:from>
    <xdr:to>
      <xdr:col>29</xdr:col>
      <xdr:colOff>83820</xdr:colOff>
      <xdr:row>17</xdr:row>
      <xdr:rowOff>114300</xdr:rowOff>
    </xdr:to>
    <xdr:sp macro="" textlink="">
      <xdr:nvSpPr>
        <xdr:cNvPr id="61" name="Arrow: Down 60">
          <a:extLst>
            <a:ext uri="{FF2B5EF4-FFF2-40B4-BE49-F238E27FC236}">
              <a16:creationId xmlns:a16="http://schemas.microsoft.com/office/drawing/2014/main" id="{3978773A-558E-4F92-880E-45B921ED01DF}"/>
            </a:ext>
          </a:extLst>
        </xdr:cNvPr>
        <xdr:cNvSpPr/>
      </xdr:nvSpPr>
      <xdr:spPr>
        <a:xfrm flipH="1" flipV="1">
          <a:off x="7680960" y="2987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18</xdr:row>
      <xdr:rowOff>0</xdr:rowOff>
    </xdr:from>
    <xdr:to>
      <xdr:col>29</xdr:col>
      <xdr:colOff>83820</xdr:colOff>
      <xdr:row>18</xdr:row>
      <xdr:rowOff>114300</xdr:rowOff>
    </xdr:to>
    <xdr:sp macro="" textlink="">
      <xdr:nvSpPr>
        <xdr:cNvPr id="63" name="Arrow: Down 62">
          <a:extLst>
            <a:ext uri="{FF2B5EF4-FFF2-40B4-BE49-F238E27FC236}">
              <a16:creationId xmlns:a16="http://schemas.microsoft.com/office/drawing/2014/main" id="{5A1C8C26-F18E-49B0-8F25-012188B1AA86}"/>
            </a:ext>
          </a:extLst>
        </xdr:cNvPr>
        <xdr:cNvSpPr/>
      </xdr:nvSpPr>
      <xdr:spPr>
        <a:xfrm flipH="1" flipV="1">
          <a:off x="768096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20</xdr:row>
      <xdr:rowOff>0</xdr:rowOff>
    </xdr:from>
    <xdr:to>
      <xdr:col>29</xdr:col>
      <xdr:colOff>83820</xdr:colOff>
      <xdr:row>20</xdr:row>
      <xdr:rowOff>114300</xdr:rowOff>
    </xdr:to>
    <xdr:sp macro="" textlink="">
      <xdr:nvSpPr>
        <xdr:cNvPr id="65" name="Arrow: Down 64">
          <a:extLst>
            <a:ext uri="{FF2B5EF4-FFF2-40B4-BE49-F238E27FC236}">
              <a16:creationId xmlns:a16="http://schemas.microsoft.com/office/drawing/2014/main" id="{E0408061-5005-407F-89E8-3B4C559E8C32}"/>
            </a:ext>
          </a:extLst>
        </xdr:cNvPr>
        <xdr:cNvSpPr/>
      </xdr:nvSpPr>
      <xdr:spPr>
        <a:xfrm flipH="1" flipV="1">
          <a:off x="7680960" y="3535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19</xdr:row>
      <xdr:rowOff>0</xdr:rowOff>
    </xdr:from>
    <xdr:to>
      <xdr:col>29</xdr:col>
      <xdr:colOff>83820</xdr:colOff>
      <xdr:row>19</xdr:row>
      <xdr:rowOff>114300</xdr:rowOff>
    </xdr:to>
    <xdr:sp macro="" textlink="">
      <xdr:nvSpPr>
        <xdr:cNvPr id="67" name="Arrow: Down 66">
          <a:extLst>
            <a:ext uri="{FF2B5EF4-FFF2-40B4-BE49-F238E27FC236}">
              <a16:creationId xmlns:a16="http://schemas.microsoft.com/office/drawing/2014/main" id="{4BA885B2-1889-4E6D-B2E5-B2D6194ABEAA}"/>
            </a:ext>
          </a:extLst>
        </xdr:cNvPr>
        <xdr:cNvSpPr/>
      </xdr:nvSpPr>
      <xdr:spPr>
        <a:xfrm>
          <a:off x="7680960" y="33528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21</xdr:row>
      <xdr:rowOff>0</xdr:rowOff>
    </xdr:from>
    <xdr:to>
      <xdr:col>29</xdr:col>
      <xdr:colOff>83820</xdr:colOff>
      <xdr:row>21</xdr:row>
      <xdr:rowOff>114300</xdr:rowOff>
    </xdr:to>
    <xdr:sp macro="" textlink="">
      <xdr:nvSpPr>
        <xdr:cNvPr id="69" name="Arrow: Down 68">
          <a:extLst>
            <a:ext uri="{FF2B5EF4-FFF2-40B4-BE49-F238E27FC236}">
              <a16:creationId xmlns:a16="http://schemas.microsoft.com/office/drawing/2014/main" id="{F1263BC6-5B7B-4547-9F01-C55E1B84AA0B}"/>
            </a:ext>
          </a:extLst>
        </xdr:cNvPr>
        <xdr:cNvSpPr/>
      </xdr:nvSpPr>
      <xdr:spPr>
        <a:xfrm>
          <a:off x="7680960" y="37185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22</xdr:row>
      <xdr:rowOff>0</xdr:rowOff>
    </xdr:from>
    <xdr:to>
      <xdr:col>29</xdr:col>
      <xdr:colOff>83820</xdr:colOff>
      <xdr:row>22</xdr:row>
      <xdr:rowOff>114300</xdr:rowOff>
    </xdr:to>
    <xdr:sp macro="" textlink="">
      <xdr:nvSpPr>
        <xdr:cNvPr id="70" name="Arrow: Down 69">
          <a:extLst>
            <a:ext uri="{FF2B5EF4-FFF2-40B4-BE49-F238E27FC236}">
              <a16:creationId xmlns:a16="http://schemas.microsoft.com/office/drawing/2014/main" id="{C5DBCBD0-33D9-4C5B-8266-2CCCE9E01070}"/>
            </a:ext>
          </a:extLst>
        </xdr:cNvPr>
        <xdr:cNvSpPr/>
      </xdr:nvSpPr>
      <xdr:spPr>
        <a:xfrm>
          <a:off x="7680960" y="39014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17</xdr:row>
      <xdr:rowOff>0</xdr:rowOff>
    </xdr:from>
    <xdr:to>
      <xdr:col>18</xdr:col>
      <xdr:colOff>83820</xdr:colOff>
      <xdr:row>17</xdr:row>
      <xdr:rowOff>114300</xdr:rowOff>
    </xdr:to>
    <xdr:sp macro="" textlink="">
      <xdr:nvSpPr>
        <xdr:cNvPr id="71" name="Arrow: Down 70">
          <a:extLst>
            <a:ext uri="{FF2B5EF4-FFF2-40B4-BE49-F238E27FC236}">
              <a16:creationId xmlns:a16="http://schemas.microsoft.com/office/drawing/2014/main" id="{B3333557-C866-4949-BDCF-233E7F22D922}"/>
            </a:ext>
          </a:extLst>
        </xdr:cNvPr>
        <xdr:cNvSpPr/>
      </xdr:nvSpPr>
      <xdr:spPr>
        <a:xfrm rot="10800000">
          <a:off x="4922520" y="29870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19</xdr:row>
      <xdr:rowOff>0</xdr:rowOff>
    </xdr:from>
    <xdr:to>
      <xdr:col>18</xdr:col>
      <xdr:colOff>83820</xdr:colOff>
      <xdr:row>19</xdr:row>
      <xdr:rowOff>114300</xdr:rowOff>
    </xdr:to>
    <xdr:sp macro="" textlink="">
      <xdr:nvSpPr>
        <xdr:cNvPr id="74" name="Arrow: Down 73">
          <a:extLst>
            <a:ext uri="{FF2B5EF4-FFF2-40B4-BE49-F238E27FC236}">
              <a16:creationId xmlns:a16="http://schemas.microsoft.com/office/drawing/2014/main" id="{608E0DC2-3B29-4CBE-AB92-1994DEDE852D}"/>
            </a:ext>
          </a:extLst>
        </xdr:cNvPr>
        <xdr:cNvSpPr/>
      </xdr:nvSpPr>
      <xdr:spPr>
        <a:xfrm rot="10800000">
          <a:off x="4922520" y="33528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20</xdr:row>
      <xdr:rowOff>0</xdr:rowOff>
    </xdr:from>
    <xdr:to>
      <xdr:col>18</xdr:col>
      <xdr:colOff>83820</xdr:colOff>
      <xdr:row>20</xdr:row>
      <xdr:rowOff>114300</xdr:rowOff>
    </xdr:to>
    <xdr:sp macro="" textlink="">
      <xdr:nvSpPr>
        <xdr:cNvPr id="76" name="Arrow: Down 75">
          <a:extLst>
            <a:ext uri="{FF2B5EF4-FFF2-40B4-BE49-F238E27FC236}">
              <a16:creationId xmlns:a16="http://schemas.microsoft.com/office/drawing/2014/main" id="{65BC8D0A-7319-4727-951B-EACEBD8D8C4F}"/>
            </a:ext>
          </a:extLst>
        </xdr:cNvPr>
        <xdr:cNvSpPr/>
      </xdr:nvSpPr>
      <xdr:spPr>
        <a:xfrm rot="10800000">
          <a:off x="4922520" y="3535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21</xdr:row>
      <xdr:rowOff>0</xdr:rowOff>
    </xdr:from>
    <xdr:to>
      <xdr:col>18</xdr:col>
      <xdr:colOff>83820</xdr:colOff>
      <xdr:row>21</xdr:row>
      <xdr:rowOff>114300</xdr:rowOff>
    </xdr:to>
    <xdr:sp macro="" textlink="">
      <xdr:nvSpPr>
        <xdr:cNvPr id="78" name="Arrow: Down 77">
          <a:extLst>
            <a:ext uri="{FF2B5EF4-FFF2-40B4-BE49-F238E27FC236}">
              <a16:creationId xmlns:a16="http://schemas.microsoft.com/office/drawing/2014/main" id="{FAC7961A-DE9E-4C78-ADE3-AA8B4CEABC05}"/>
            </a:ext>
          </a:extLst>
        </xdr:cNvPr>
        <xdr:cNvSpPr/>
      </xdr:nvSpPr>
      <xdr:spPr>
        <a:xfrm rot="10800000">
          <a:off x="4922520" y="37185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18</xdr:row>
      <xdr:rowOff>0</xdr:rowOff>
    </xdr:from>
    <xdr:to>
      <xdr:col>18</xdr:col>
      <xdr:colOff>83820</xdr:colOff>
      <xdr:row>18</xdr:row>
      <xdr:rowOff>114300</xdr:rowOff>
    </xdr:to>
    <xdr:sp macro="" textlink="">
      <xdr:nvSpPr>
        <xdr:cNvPr id="80" name="Arrow: Down 79">
          <a:extLst>
            <a:ext uri="{FF2B5EF4-FFF2-40B4-BE49-F238E27FC236}">
              <a16:creationId xmlns:a16="http://schemas.microsoft.com/office/drawing/2014/main" id="{F62459DF-CBE5-4E23-9D08-49155AEAD163}"/>
            </a:ext>
          </a:extLst>
        </xdr:cNvPr>
        <xdr:cNvSpPr/>
      </xdr:nvSpPr>
      <xdr:spPr>
        <a:xfrm>
          <a:off x="492252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22</xdr:row>
      <xdr:rowOff>0</xdr:rowOff>
    </xdr:from>
    <xdr:to>
      <xdr:col>18</xdr:col>
      <xdr:colOff>83820</xdr:colOff>
      <xdr:row>22</xdr:row>
      <xdr:rowOff>114300</xdr:rowOff>
    </xdr:to>
    <xdr:sp macro="" textlink="">
      <xdr:nvSpPr>
        <xdr:cNvPr id="81" name="Arrow: Down 80">
          <a:extLst>
            <a:ext uri="{FF2B5EF4-FFF2-40B4-BE49-F238E27FC236}">
              <a16:creationId xmlns:a16="http://schemas.microsoft.com/office/drawing/2014/main" id="{3BDC9BB9-920C-46AD-A90B-70BAC34CA901}"/>
            </a:ext>
          </a:extLst>
        </xdr:cNvPr>
        <xdr:cNvSpPr/>
      </xdr:nvSpPr>
      <xdr:spPr>
        <a:xfrm>
          <a:off x="492252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83820</xdr:colOff>
      <xdr:row>17</xdr:row>
      <xdr:rowOff>114300</xdr:rowOff>
    </xdr:to>
    <xdr:sp macro="" textlink="">
      <xdr:nvSpPr>
        <xdr:cNvPr id="82" name="Arrow: Down 81">
          <a:extLst>
            <a:ext uri="{FF2B5EF4-FFF2-40B4-BE49-F238E27FC236}">
              <a16:creationId xmlns:a16="http://schemas.microsoft.com/office/drawing/2014/main" id="{9C55C630-EA0F-4ACE-BB26-CD894A520B39}"/>
            </a:ext>
          </a:extLst>
        </xdr:cNvPr>
        <xdr:cNvSpPr/>
      </xdr:nvSpPr>
      <xdr:spPr>
        <a:xfrm>
          <a:off x="3855720" y="2987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18</xdr:row>
      <xdr:rowOff>0</xdr:rowOff>
    </xdr:from>
    <xdr:to>
      <xdr:col>11</xdr:col>
      <xdr:colOff>83820</xdr:colOff>
      <xdr:row>18</xdr:row>
      <xdr:rowOff>114300</xdr:rowOff>
    </xdr:to>
    <xdr:sp macro="" textlink="">
      <xdr:nvSpPr>
        <xdr:cNvPr id="84" name="Arrow: Down 83">
          <a:extLst>
            <a:ext uri="{FF2B5EF4-FFF2-40B4-BE49-F238E27FC236}">
              <a16:creationId xmlns:a16="http://schemas.microsoft.com/office/drawing/2014/main" id="{7EFBD03C-7FBC-49B0-887A-5B8A5F62FF12}"/>
            </a:ext>
          </a:extLst>
        </xdr:cNvPr>
        <xdr:cNvSpPr/>
      </xdr:nvSpPr>
      <xdr:spPr>
        <a:xfrm>
          <a:off x="385572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19</xdr:row>
      <xdr:rowOff>0</xdr:rowOff>
    </xdr:from>
    <xdr:to>
      <xdr:col>11</xdr:col>
      <xdr:colOff>83820</xdr:colOff>
      <xdr:row>19</xdr:row>
      <xdr:rowOff>114300</xdr:rowOff>
    </xdr:to>
    <xdr:sp macro="" textlink="">
      <xdr:nvSpPr>
        <xdr:cNvPr id="86" name="Arrow: Down 85">
          <a:extLst>
            <a:ext uri="{FF2B5EF4-FFF2-40B4-BE49-F238E27FC236}">
              <a16:creationId xmlns:a16="http://schemas.microsoft.com/office/drawing/2014/main" id="{A70BE426-F8D3-461D-B8B3-FB6D5FF65453}"/>
            </a:ext>
          </a:extLst>
        </xdr:cNvPr>
        <xdr:cNvSpPr/>
      </xdr:nvSpPr>
      <xdr:spPr>
        <a:xfrm>
          <a:off x="3855720" y="3352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21</xdr:row>
      <xdr:rowOff>0</xdr:rowOff>
    </xdr:from>
    <xdr:to>
      <xdr:col>11</xdr:col>
      <xdr:colOff>83820</xdr:colOff>
      <xdr:row>21</xdr:row>
      <xdr:rowOff>114300</xdr:rowOff>
    </xdr:to>
    <xdr:sp macro="" textlink="">
      <xdr:nvSpPr>
        <xdr:cNvPr id="87" name="Arrow: Down 86">
          <a:extLst>
            <a:ext uri="{FF2B5EF4-FFF2-40B4-BE49-F238E27FC236}">
              <a16:creationId xmlns:a16="http://schemas.microsoft.com/office/drawing/2014/main" id="{8ED7E8BA-7B05-4A94-A6A7-E6DC0C6BA560}"/>
            </a:ext>
          </a:extLst>
        </xdr:cNvPr>
        <xdr:cNvSpPr/>
      </xdr:nvSpPr>
      <xdr:spPr>
        <a:xfrm>
          <a:off x="3855720" y="3718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22</xdr:row>
      <xdr:rowOff>0</xdr:rowOff>
    </xdr:from>
    <xdr:to>
      <xdr:col>11</xdr:col>
      <xdr:colOff>83820</xdr:colOff>
      <xdr:row>22</xdr:row>
      <xdr:rowOff>114300</xdr:rowOff>
    </xdr:to>
    <xdr:sp macro="" textlink="">
      <xdr:nvSpPr>
        <xdr:cNvPr id="89" name="Arrow: Down 88">
          <a:extLst>
            <a:ext uri="{FF2B5EF4-FFF2-40B4-BE49-F238E27FC236}">
              <a16:creationId xmlns:a16="http://schemas.microsoft.com/office/drawing/2014/main" id="{D792D5A8-CEFC-4837-9418-0A8223AB81DB}"/>
            </a:ext>
          </a:extLst>
        </xdr:cNvPr>
        <xdr:cNvSpPr/>
      </xdr:nvSpPr>
      <xdr:spPr>
        <a:xfrm>
          <a:off x="385572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20</xdr:row>
      <xdr:rowOff>0</xdr:rowOff>
    </xdr:from>
    <xdr:to>
      <xdr:col>11</xdr:col>
      <xdr:colOff>83820</xdr:colOff>
      <xdr:row>20</xdr:row>
      <xdr:rowOff>114300</xdr:rowOff>
    </xdr:to>
    <xdr:sp macro="" textlink="">
      <xdr:nvSpPr>
        <xdr:cNvPr id="90" name="Arrow: Down 89">
          <a:extLst>
            <a:ext uri="{FF2B5EF4-FFF2-40B4-BE49-F238E27FC236}">
              <a16:creationId xmlns:a16="http://schemas.microsoft.com/office/drawing/2014/main" id="{D37D2FF0-8FE9-4B11-BB50-15CFCC8FA45D}"/>
            </a:ext>
          </a:extLst>
        </xdr:cNvPr>
        <xdr:cNvSpPr/>
      </xdr:nvSpPr>
      <xdr:spPr>
        <a:xfrm rot="10800000">
          <a:off x="3855720" y="3535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23</xdr:row>
      <xdr:rowOff>0</xdr:rowOff>
    </xdr:from>
    <xdr:to>
      <xdr:col>35</xdr:col>
      <xdr:colOff>83820</xdr:colOff>
      <xdr:row>23</xdr:row>
      <xdr:rowOff>114300</xdr:rowOff>
    </xdr:to>
    <xdr:sp macro="" textlink="">
      <xdr:nvSpPr>
        <xdr:cNvPr id="93" name="Arrow: Down 92">
          <a:extLst>
            <a:ext uri="{FF2B5EF4-FFF2-40B4-BE49-F238E27FC236}">
              <a16:creationId xmlns:a16="http://schemas.microsoft.com/office/drawing/2014/main" id="{E59577E0-1321-4990-AFA2-637AA4D292C8}"/>
            </a:ext>
          </a:extLst>
        </xdr:cNvPr>
        <xdr:cNvSpPr/>
      </xdr:nvSpPr>
      <xdr:spPr>
        <a:xfrm rot="10800000">
          <a:off x="936498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23</xdr:row>
      <xdr:rowOff>0</xdr:rowOff>
    </xdr:from>
    <xdr:to>
      <xdr:col>29</xdr:col>
      <xdr:colOff>83820</xdr:colOff>
      <xdr:row>23</xdr:row>
      <xdr:rowOff>114300</xdr:rowOff>
    </xdr:to>
    <xdr:sp macro="" textlink="">
      <xdr:nvSpPr>
        <xdr:cNvPr id="95" name="Arrow: Down 94">
          <a:extLst>
            <a:ext uri="{FF2B5EF4-FFF2-40B4-BE49-F238E27FC236}">
              <a16:creationId xmlns:a16="http://schemas.microsoft.com/office/drawing/2014/main" id="{B107AFD1-909F-4E64-90B3-AA20C009E2C0}"/>
            </a:ext>
          </a:extLst>
        </xdr:cNvPr>
        <xdr:cNvSpPr/>
      </xdr:nvSpPr>
      <xdr:spPr>
        <a:xfrm flipH="1" flipV="1">
          <a:off x="7680960" y="4084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23</xdr:row>
      <xdr:rowOff>0</xdr:rowOff>
    </xdr:from>
    <xdr:to>
      <xdr:col>11</xdr:col>
      <xdr:colOff>83820</xdr:colOff>
      <xdr:row>23</xdr:row>
      <xdr:rowOff>114300</xdr:rowOff>
    </xdr:to>
    <xdr:sp macro="" textlink="">
      <xdr:nvSpPr>
        <xdr:cNvPr id="97" name="Arrow: Down 96">
          <a:extLst>
            <a:ext uri="{FF2B5EF4-FFF2-40B4-BE49-F238E27FC236}">
              <a16:creationId xmlns:a16="http://schemas.microsoft.com/office/drawing/2014/main" id="{FC7C2545-F289-4858-97B1-D6B4CD610789}"/>
            </a:ext>
          </a:extLst>
        </xdr:cNvPr>
        <xdr:cNvSpPr/>
      </xdr:nvSpPr>
      <xdr:spPr>
        <a:xfrm>
          <a:off x="385572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23</xdr:row>
      <xdr:rowOff>0</xdr:rowOff>
    </xdr:from>
    <xdr:to>
      <xdr:col>18</xdr:col>
      <xdr:colOff>83820</xdr:colOff>
      <xdr:row>23</xdr:row>
      <xdr:rowOff>114300</xdr:rowOff>
    </xdr:to>
    <xdr:sp macro="" textlink="">
      <xdr:nvSpPr>
        <xdr:cNvPr id="102" name="Arrow: Down 101">
          <a:extLst>
            <a:ext uri="{FF2B5EF4-FFF2-40B4-BE49-F238E27FC236}">
              <a16:creationId xmlns:a16="http://schemas.microsoft.com/office/drawing/2014/main" id="{4AC821D8-276F-4107-8712-D744DEC6DD51}"/>
            </a:ext>
          </a:extLst>
        </xdr:cNvPr>
        <xdr:cNvSpPr/>
      </xdr:nvSpPr>
      <xdr:spPr>
        <a:xfrm rot="10800000">
          <a:off x="4922520" y="4084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12</xdr:row>
      <xdr:rowOff>0</xdr:rowOff>
    </xdr:from>
    <xdr:to>
      <xdr:col>35</xdr:col>
      <xdr:colOff>83820</xdr:colOff>
      <xdr:row>12</xdr:row>
      <xdr:rowOff>114300</xdr:rowOff>
    </xdr:to>
    <xdr:sp macro="" textlink="">
      <xdr:nvSpPr>
        <xdr:cNvPr id="107" name="Arrow: Down 106">
          <a:extLst>
            <a:ext uri="{FF2B5EF4-FFF2-40B4-BE49-F238E27FC236}">
              <a16:creationId xmlns:a16="http://schemas.microsoft.com/office/drawing/2014/main" id="{286E9A6F-495C-4C1B-8526-82EB647DA858}"/>
            </a:ext>
          </a:extLst>
        </xdr:cNvPr>
        <xdr:cNvSpPr/>
      </xdr:nvSpPr>
      <xdr:spPr>
        <a:xfrm rot="10800000">
          <a:off x="9364980" y="2072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13</xdr:row>
      <xdr:rowOff>0</xdr:rowOff>
    </xdr:from>
    <xdr:to>
      <xdr:col>35</xdr:col>
      <xdr:colOff>83820</xdr:colOff>
      <xdr:row>13</xdr:row>
      <xdr:rowOff>114300</xdr:rowOff>
    </xdr:to>
    <xdr:sp macro="" textlink="">
      <xdr:nvSpPr>
        <xdr:cNvPr id="108" name="Arrow: Down 107">
          <a:extLst>
            <a:ext uri="{FF2B5EF4-FFF2-40B4-BE49-F238E27FC236}">
              <a16:creationId xmlns:a16="http://schemas.microsoft.com/office/drawing/2014/main" id="{6577D4AB-D1C5-48B9-9617-E840DCD060AF}"/>
            </a:ext>
          </a:extLst>
        </xdr:cNvPr>
        <xdr:cNvSpPr/>
      </xdr:nvSpPr>
      <xdr:spPr>
        <a:xfrm rot="10800000">
          <a:off x="9364980" y="22555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14</xdr:row>
      <xdr:rowOff>0</xdr:rowOff>
    </xdr:from>
    <xdr:to>
      <xdr:col>35</xdr:col>
      <xdr:colOff>83820</xdr:colOff>
      <xdr:row>14</xdr:row>
      <xdr:rowOff>114300</xdr:rowOff>
    </xdr:to>
    <xdr:sp macro="" textlink="">
      <xdr:nvSpPr>
        <xdr:cNvPr id="109" name="Arrow: Down 108">
          <a:extLst>
            <a:ext uri="{FF2B5EF4-FFF2-40B4-BE49-F238E27FC236}">
              <a16:creationId xmlns:a16="http://schemas.microsoft.com/office/drawing/2014/main" id="{7B3762FE-5ACA-4A6A-96C2-F9D970211191}"/>
            </a:ext>
          </a:extLst>
        </xdr:cNvPr>
        <xdr:cNvSpPr/>
      </xdr:nvSpPr>
      <xdr:spPr>
        <a:xfrm>
          <a:off x="936498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12</xdr:row>
      <xdr:rowOff>0</xdr:rowOff>
    </xdr:from>
    <xdr:to>
      <xdr:col>29</xdr:col>
      <xdr:colOff>83820</xdr:colOff>
      <xdr:row>12</xdr:row>
      <xdr:rowOff>114300</xdr:rowOff>
    </xdr:to>
    <xdr:sp macro="" textlink="">
      <xdr:nvSpPr>
        <xdr:cNvPr id="113" name="Arrow: Down 112">
          <a:extLst>
            <a:ext uri="{FF2B5EF4-FFF2-40B4-BE49-F238E27FC236}">
              <a16:creationId xmlns:a16="http://schemas.microsoft.com/office/drawing/2014/main" id="{717C254B-25BC-4868-8C32-097BB26B452F}"/>
            </a:ext>
          </a:extLst>
        </xdr:cNvPr>
        <xdr:cNvSpPr/>
      </xdr:nvSpPr>
      <xdr:spPr>
        <a:xfrm flipH="1" flipV="1">
          <a:off x="7680960" y="2072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15</xdr:row>
      <xdr:rowOff>0</xdr:rowOff>
    </xdr:from>
    <xdr:to>
      <xdr:col>29</xdr:col>
      <xdr:colOff>83820</xdr:colOff>
      <xdr:row>15</xdr:row>
      <xdr:rowOff>114300</xdr:rowOff>
    </xdr:to>
    <xdr:sp macro="" textlink="">
      <xdr:nvSpPr>
        <xdr:cNvPr id="114" name="Arrow: Down 113">
          <a:extLst>
            <a:ext uri="{FF2B5EF4-FFF2-40B4-BE49-F238E27FC236}">
              <a16:creationId xmlns:a16="http://schemas.microsoft.com/office/drawing/2014/main" id="{02719312-EB2A-421F-B40D-28760A4621BE}"/>
            </a:ext>
          </a:extLst>
        </xdr:cNvPr>
        <xdr:cNvSpPr/>
      </xdr:nvSpPr>
      <xdr:spPr>
        <a:xfrm flipH="1" flipV="1">
          <a:off x="7680960" y="26212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13</xdr:row>
      <xdr:rowOff>0</xdr:rowOff>
    </xdr:from>
    <xdr:to>
      <xdr:col>29</xdr:col>
      <xdr:colOff>83820</xdr:colOff>
      <xdr:row>13</xdr:row>
      <xdr:rowOff>114300</xdr:rowOff>
    </xdr:to>
    <xdr:sp macro="" textlink="">
      <xdr:nvSpPr>
        <xdr:cNvPr id="115" name="Arrow: Down 114">
          <a:extLst>
            <a:ext uri="{FF2B5EF4-FFF2-40B4-BE49-F238E27FC236}">
              <a16:creationId xmlns:a16="http://schemas.microsoft.com/office/drawing/2014/main" id="{26051846-5C6E-4E40-9FF6-57059AFEBD57}"/>
            </a:ext>
          </a:extLst>
        </xdr:cNvPr>
        <xdr:cNvSpPr/>
      </xdr:nvSpPr>
      <xdr:spPr>
        <a:xfrm>
          <a:off x="768096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14</xdr:row>
      <xdr:rowOff>0</xdr:rowOff>
    </xdr:from>
    <xdr:to>
      <xdr:col>29</xdr:col>
      <xdr:colOff>83820</xdr:colOff>
      <xdr:row>14</xdr:row>
      <xdr:rowOff>114300</xdr:rowOff>
    </xdr:to>
    <xdr:sp macro="" textlink="">
      <xdr:nvSpPr>
        <xdr:cNvPr id="117" name="Arrow: Down 116">
          <a:extLst>
            <a:ext uri="{FF2B5EF4-FFF2-40B4-BE49-F238E27FC236}">
              <a16:creationId xmlns:a16="http://schemas.microsoft.com/office/drawing/2014/main" id="{C7367F7D-7FD2-4600-871D-AAA5046A58A0}"/>
            </a:ext>
          </a:extLst>
        </xdr:cNvPr>
        <xdr:cNvSpPr/>
      </xdr:nvSpPr>
      <xdr:spPr>
        <a:xfrm>
          <a:off x="768096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16</xdr:row>
      <xdr:rowOff>0</xdr:rowOff>
    </xdr:from>
    <xdr:to>
      <xdr:col>29</xdr:col>
      <xdr:colOff>83820</xdr:colOff>
      <xdr:row>16</xdr:row>
      <xdr:rowOff>114300</xdr:rowOff>
    </xdr:to>
    <xdr:sp macro="" textlink="">
      <xdr:nvSpPr>
        <xdr:cNvPr id="119" name="Arrow: Down 118">
          <a:extLst>
            <a:ext uri="{FF2B5EF4-FFF2-40B4-BE49-F238E27FC236}">
              <a16:creationId xmlns:a16="http://schemas.microsoft.com/office/drawing/2014/main" id="{DB93CD64-C578-4FB2-B0EB-DE9EAD0C815D}"/>
            </a:ext>
          </a:extLst>
        </xdr:cNvPr>
        <xdr:cNvSpPr/>
      </xdr:nvSpPr>
      <xdr:spPr>
        <a:xfrm>
          <a:off x="7680960" y="280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11</xdr:row>
      <xdr:rowOff>0</xdr:rowOff>
    </xdr:from>
    <xdr:to>
      <xdr:col>18</xdr:col>
      <xdr:colOff>83820</xdr:colOff>
      <xdr:row>11</xdr:row>
      <xdr:rowOff>114300</xdr:rowOff>
    </xdr:to>
    <xdr:sp macro="" textlink="">
      <xdr:nvSpPr>
        <xdr:cNvPr id="120" name="Arrow: Down 119">
          <a:extLst>
            <a:ext uri="{FF2B5EF4-FFF2-40B4-BE49-F238E27FC236}">
              <a16:creationId xmlns:a16="http://schemas.microsoft.com/office/drawing/2014/main" id="{3ED13040-F4E5-41AE-B430-585B07CFC17F}"/>
            </a:ext>
          </a:extLst>
        </xdr:cNvPr>
        <xdr:cNvSpPr/>
      </xdr:nvSpPr>
      <xdr:spPr>
        <a:xfrm rot="10800000">
          <a:off x="4922520" y="18897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12</xdr:row>
      <xdr:rowOff>0</xdr:rowOff>
    </xdr:from>
    <xdr:to>
      <xdr:col>18</xdr:col>
      <xdr:colOff>83820</xdr:colOff>
      <xdr:row>12</xdr:row>
      <xdr:rowOff>114300</xdr:rowOff>
    </xdr:to>
    <xdr:sp macro="" textlink="">
      <xdr:nvSpPr>
        <xdr:cNvPr id="121" name="Arrow: Down 120">
          <a:extLst>
            <a:ext uri="{FF2B5EF4-FFF2-40B4-BE49-F238E27FC236}">
              <a16:creationId xmlns:a16="http://schemas.microsoft.com/office/drawing/2014/main" id="{27360222-C7DC-448C-8901-2E7E2949B4C6}"/>
            </a:ext>
          </a:extLst>
        </xdr:cNvPr>
        <xdr:cNvSpPr/>
      </xdr:nvSpPr>
      <xdr:spPr>
        <a:xfrm rot="10800000">
          <a:off x="4922520" y="20726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13</xdr:row>
      <xdr:rowOff>0</xdr:rowOff>
    </xdr:from>
    <xdr:to>
      <xdr:col>18</xdr:col>
      <xdr:colOff>83820</xdr:colOff>
      <xdr:row>13</xdr:row>
      <xdr:rowOff>114300</xdr:rowOff>
    </xdr:to>
    <xdr:sp macro="" textlink="">
      <xdr:nvSpPr>
        <xdr:cNvPr id="122" name="Arrow: Down 121">
          <a:extLst>
            <a:ext uri="{FF2B5EF4-FFF2-40B4-BE49-F238E27FC236}">
              <a16:creationId xmlns:a16="http://schemas.microsoft.com/office/drawing/2014/main" id="{678879A9-8D53-4238-AA6E-20C299EE3DB4}"/>
            </a:ext>
          </a:extLst>
        </xdr:cNvPr>
        <xdr:cNvSpPr/>
      </xdr:nvSpPr>
      <xdr:spPr>
        <a:xfrm rot="10800000">
          <a:off x="492252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14</xdr:row>
      <xdr:rowOff>0</xdr:rowOff>
    </xdr:from>
    <xdr:to>
      <xdr:col>18</xdr:col>
      <xdr:colOff>83820</xdr:colOff>
      <xdr:row>14</xdr:row>
      <xdr:rowOff>114300</xdr:rowOff>
    </xdr:to>
    <xdr:sp macro="" textlink="">
      <xdr:nvSpPr>
        <xdr:cNvPr id="123" name="Arrow: Down 122">
          <a:extLst>
            <a:ext uri="{FF2B5EF4-FFF2-40B4-BE49-F238E27FC236}">
              <a16:creationId xmlns:a16="http://schemas.microsoft.com/office/drawing/2014/main" id="{6F9C1911-ECB9-4CA0-9CF2-A0108F27F6CA}"/>
            </a:ext>
          </a:extLst>
        </xdr:cNvPr>
        <xdr:cNvSpPr/>
      </xdr:nvSpPr>
      <xdr:spPr>
        <a:xfrm rot="10800000">
          <a:off x="492252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15</xdr:row>
      <xdr:rowOff>0</xdr:rowOff>
    </xdr:from>
    <xdr:to>
      <xdr:col>18</xdr:col>
      <xdr:colOff>83820</xdr:colOff>
      <xdr:row>15</xdr:row>
      <xdr:rowOff>114300</xdr:rowOff>
    </xdr:to>
    <xdr:sp macro="" textlink="">
      <xdr:nvSpPr>
        <xdr:cNvPr id="124" name="Arrow: Down 123">
          <a:extLst>
            <a:ext uri="{FF2B5EF4-FFF2-40B4-BE49-F238E27FC236}">
              <a16:creationId xmlns:a16="http://schemas.microsoft.com/office/drawing/2014/main" id="{C12FC9F4-C9A9-4D1C-9A32-D6B296100708}"/>
            </a:ext>
          </a:extLst>
        </xdr:cNvPr>
        <xdr:cNvSpPr/>
      </xdr:nvSpPr>
      <xdr:spPr>
        <a:xfrm rot="10800000">
          <a:off x="4922520" y="26212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16</xdr:row>
      <xdr:rowOff>0</xdr:rowOff>
    </xdr:from>
    <xdr:to>
      <xdr:col>18</xdr:col>
      <xdr:colOff>83820</xdr:colOff>
      <xdr:row>16</xdr:row>
      <xdr:rowOff>114300</xdr:rowOff>
    </xdr:to>
    <xdr:sp macro="" textlink="">
      <xdr:nvSpPr>
        <xdr:cNvPr id="125" name="Arrow: Down 124">
          <a:extLst>
            <a:ext uri="{FF2B5EF4-FFF2-40B4-BE49-F238E27FC236}">
              <a16:creationId xmlns:a16="http://schemas.microsoft.com/office/drawing/2014/main" id="{D1F5DA11-C5C5-4B6B-9E19-DE29FCB27AD4}"/>
            </a:ext>
          </a:extLst>
        </xdr:cNvPr>
        <xdr:cNvSpPr/>
      </xdr:nvSpPr>
      <xdr:spPr>
        <a:xfrm rot="10800000">
          <a:off x="4922520" y="280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10</xdr:row>
      <xdr:rowOff>0</xdr:rowOff>
    </xdr:from>
    <xdr:to>
      <xdr:col>11</xdr:col>
      <xdr:colOff>83820</xdr:colOff>
      <xdr:row>10</xdr:row>
      <xdr:rowOff>114300</xdr:rowOff>
    </xdr:to>
    <xdr:sp macro="" textlink="">
      <xdr:nvSpPr>
        <xdr:cNvPr id="126" name="Arrow: Down 125">
          <a:extLst>
            <a:ext uri="{FF2B5EF4-FFF2-40B4-BE49-F238E27FC236}">
              <a16:creationId xmlns:a16="http://schemas.microsoft.com/office/drawing/2014/main" id="{68925950-A500-41B6-8403-EBE42982C3E8}"/>
            </a:ext>
          </a:extLst>
        </xdr:cNvPr>
        <xdr:cNvSpPr/>
      </xdr:nvSpPr>
      <xdr:spPr>
        <a:xfrm>
          <a:off x="3855720" y="170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12</xdr:row>
      <xdr:rowOff>0</xdr:rowOff>
    </xdr:from>
    <xdr:to>
      <xdr:col>11</xdr:col>
      <xdr:colOff>83820</xdr:colOff>
      <xdr:row>12</xdr:row>
      <xdr:rowOff>114300</xdr:rowOff>
    </xdr:to>
    <xdr:sp macro="" textlink="">
      <xdr:nvSpPr>
        <xdr:cNvPr id="127" name="Arrow: Down 126">
          <a:extLst>
            <a:ext uri="{FF2B5EF4-FFF2-40B4-BE49-F238E27FC236}">
              <a16:creationId xmlns:a16="http://schemas.microsoft.com/office/drawing/2014/main" id="{2B65CBEA-A241-40CA-96E5-A98F17C71DE7}"/>
            </a:ext>
          </a:extLst>
        </xdr:cNvPr>
        <xdr:cNvSpPr/>
      </xdr:nvSpPr>
      <xdr:spPr>
        <a:xfrm>
          <a:off x="3855720" y="2072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14</xdr:row>
      <xdr:rowOff>0</xdr:rowOff>
    </xdr:from>
    <xdr:to>
      <xdr:col>11</xdr:col>
      <xdr:colOff>83820</xdr:colOff>
      <xdr:row>14</xdr:row>
      <xdr:rowOff>114300</xdr:rowOff>
    </xdr:to>
    <xdr:sp macro="" textlink="">
      <xdr:nvSpPr>
        <xdr:cNvPr id="128" name="Arrow: Down 127">
          <a:extLst>
            <a:ext uri="{FF2B5EF4-FFF2-40B4-BE49-F238E27FC236}">
              <a16:creationId xmlns:a16="http://schemas.microsoft.com/office/drawing/2014/main" id="{3D4AE680-4B34-40F9-83DC-033CB2AFDA9D}"/>
            </a:ext>
          </a:extLst>
        </xdr:cNvPr>
        <xdr:cNvSpPr/>
      </xdr:nvSpPr>
      <xdr:spPr>
        <a:xfrm>
          <a:off x="3855720" y="24384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16</xdr:row>
      <xdr:rowOff>0</xdr:rowOff>
    </xdr:from>
    <xdr:to>
      <xdr:col>11</xdr:col>
      <xdr:colOff>83820</xdr:colOff>
      <xdr:row>16</xdr:row>
      <xdr:rowOff>114300</xdr:rowOff>
    </xdr:to>
    <xdr:sp macro="" textlink="">
      <xdr:nvSpPr>
        <xdr:cNvPr id="129" name="Arrow: Down 128">
          <a:extLst>
            <a:ext uri="{FF2B5EF4-FFF2-40B4-BE49-F238E27FC236}">
              <a16:creationId xmlns:a16="http://schemas.microsoft.com/office/drawing/2014/main" id="{3D9D94ED-D325-4F12-A8C7-6B63777C7EBB}"/>
            </a:ext>
          </a:extLst>
        </xdr:cNvPr>
        <xdr:cNvSpPr/>
      </xdr:nvSpPr>
      <xdr:spPr>
        <a:xfrm>
          <a:off x="3855720" y="2804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11</xdr:row>
      <xdr:rowOff>0</xdr:rowOff>
    </xdr:from>
    <xdr:to>
      <xdr:col>11</xdr:col>
      <xdr:colOff>83820</xdr:colOff>
      <xdr:row>11</xdr:row>
      <xdr:rowOff>114300</xdr:rowOff>
    </xdr:to>
    <xdr:sp macro="" textlink="">
      <xdr:nvSpPr>
        <xdr:cNvPr id="130" name="Arrow: Down 129">
          <a:extLst>
            <a:ext uri="{FF2B5EF4-FFF2-40B4-BE49-F238E27FC236}">
              <a16:creationId xmlns:a16="http://schemas.microsoft.com/office/drawing/2014/main" id="{4F28D2C6-18CA-42FA-B650-78237BF0AFAD}"/>
            </a:ext>
          </a:extLst>
        </xdr:cNvPr>
        <xdr:cNvSpPr/>
      </xdr:nvSpPr>
      <xdr:spPr>
        <a:xfrm rot="10800000">
          <a:off x="3855720" y="18897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15</xdr:row>
      <xdr:rowOff>0</xdr:rowOff>
    </xdr:from>
    <xdr:to>
      <xdr:col>11</xdr:col>
      <xdr:colOff>83820</xdr:colOff>
      <xdr:row>15</xdr:row>
      <xdr:rowOff>114300</xdr:rowOff>
    </xdr:to>
    <xdr:sp macro="" textlink="">
      <xdr:nvSpPr>
        <xdr:cNvPr id="132" name="Arrow: Down 131">
          <a:extLst>
            <a:ext uri="{FF2B5EF4-FFF2-40B4-BE49-F238E27FC236}">
              <a16:creationId xmlns:a16="http://schemas.microsoft.com/office/drawing/2014/main" id="{5B12450C-B17B-4A35-B2E1-4FC0FA372CAF}"/>
            </a:ext>
          </a:extLst>
        </xdr:cNvPr>
        <xdr:cNvSpPr/>
      </xdr:nvSpPr>
      <xdr:spPr>
        <a:xfrm rot="10800000">
          <a:off x="3855720" y="26212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13</xdr:row>
      <xdr:rowOff>0</xdr:rowOff>
    </xdr:from>
    <xdr:to>
      <xdr:col>11</xdr:col>
      <xdr:colOff>83820</xdr:colOff>
      <xdr:row>13</xdr:row>
      <xdr:rowOff>114300</xdr:rowOff>
    </xdr:to>
    <xdr:sp macro="" textlink="">
      <xdr:nvSpPr>
        <xdr:cNvPr id="134" name="Arrow: Down 133">
          <a:extLst>
            <a:ext uri="{FF2B5EF4-FFF2-40B4-BE49-F238E27FC236}">
              <a16:creationId xmlns:a16="http://schemas.microsoft.com/office/drawing/2014/main" id="{E411B02F-7993-4E2C-B51A-EB08FA0BED39}"/>
            </a:ext>
          </a:extLst>
        </xdr:cNvPr>
        <xdr:cNvSpPr/>
      </xdr:nvSpPr>
      <xdr:spPr>
        <a:xfrm rot="10800000">
          <a:off x="385572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160020</xdr:colOff>
      <xdr:row>9</xdr:row>
      <xdr:rowOff>167640</xdr:rowOff>
    </xdr:to>
    <xdr:sp macro="" textlink="">
      <xdr:nvSpPr>
        <xdr:cNvPr id="138" name="Minus Sign 137">
          <a:extLst>
            <a:ext uri="{FF2B5EF4-FFF2-40B4-BE49-F238E27FC236}">
              <a16:creationId xmlns:a16="http://schemas.microsoft.com/office/drawing/2014/main" id="{F00432E2-A43D-48D8-B7AF-D7D7B2CF1FB4}"/>
            </a:ext>
          </a:extLst>
        </xdr:cNvPr>
        <xdr:cNvSpPr/>
      </xdr:nvSpPr>
      <xdr:spPr>
        <a:xfrm>
          <a:off x="3855720" y="15240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18</xdr:col>
      <xdr:colOff>0</xdr:colOff>
      <xdr:row>9</xdr:row>
      <xdr:rowOff>0</xdr:rowOff>
    </xdr:from>
    <xdr:to>
      <xdr:col>18</xdr:col>
      <xdr:colOff>160020</xdr:colOff>
      <xdr:row>9</xdr:row>
      <xdr:rowOff>167640</xdr:rowOff>
    </xdr:to>
    <xdr:sp macro="" textlink="">
      <xdr:nvSpPr>
        <xdr:cNvPr id="140" name="Minus Sign 139">
          <a:extLst>
            <a:ext uri="{FF2B5EF4-FFF2-40B4-BE49-F238E27FC236}">
              <a16:creationId xmlns:a16="http://schemas.microsoft.com/office/drawing/2014/main" id="{7293DE0B-586E-4085-903B-EC99BA9C608B}"/>
            </a:ext>
          </a:extLst>
        </xdr:cNvPr>
        <xdr:cNvSpPr/>
      </xdr:nvSpPr>
      <xdr:spPr>
        <a:xfrm>
          <a:off x="4922520" y="15240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29</xdr:col>
      <xdr:colOff>0</xdr:colOff>
      <xdr:row>11</xdr:row>
      <xdr:rowOff>0</xdr:rowOff>
    </xdr:from>
    <xdr:to>
      <xdr:col>30</xdr:col>
      <xdr:colOff>0</xdr:colOff>
      <xdr:row>11</xdr:row>
      <xdr:rowOff>167640</xdr:rowOff>
    </xdr:to>
    <xdr:sp macro="" textlink="">
      <xdr:nvSpPr>
        <xdr:cNvPr id="142" name="Minus Sign 141">
          <a:extLst>
            <a:ext uri="{FF2B5EF4-FFF2-40B4-BE49-F238E27FC236}">
              <a16:creationId xmlns:a16="http://schemas.microsoft.com/office/drawing/2014/main" id="{D2563AFD-3246-4055-B876-2053BB18F750}"/>
            </a:ext>
          </a:extLst>
        </xdr:cNvPr>
        <xdr:cNvSpPr/>
      </xdr:nvSpPr>
      <xdr:spPr>
        <a:xfrm>
          <a:off x="7680960" y="18897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83820</xdr:colOff>
      <xdr:row>10</xdr:row>
      <xdr:rowOff>114300</xdr:rowOff>
    </xdr:to>
    <xdr:sp macro="" textlink="">
      <xdr:nvSpPr>
        <xdr:cNvPr id="143" name="Arrow: Down 142">
          <a:extLst>
            <a:ext uri="{FF2B5EF4-FFF2-40B4-BE49-F238E27FC236}">
              <a16:creationId xmlns:a16="http://schemas.microsoft.com/office/drawing/2014/main" id="{5CBC945A-6D47-4DCD-8466-289550942D9E}"/>
            </a:ext>
          </a:extLst>
        </xdr:cNvPr>
        <xdr:cNvSpPr/>
      </xdr:nvSpPr>
      <xdr:spPr>
        <a:xfrm>
          <a:off x="4922520" y="170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11</xdr:row>
      <xdr:rowOff>0</xdr:rowOff>
    </xdr:from>
    <xdr:to>
      <xdr:col>36</xdr:col>
      <xdr:colOff>0</xdr:colOff>
      <xdr:row>11</xdr:row>
      <xdr:rowOff>167640</xdr:rowOff>
    </xdr:to>
    <xdr:sp macro="" textlink="">
      <xdr:nvSpPr>
        <xdr:cNvPr id="144" name="Minus Sign 143">
          <a:extLst>
            <a:ext uri="{FF2B5EF4-FFF2-40B4-BE49-F238E27FC236}">
              <a16:creationId xmlns:a16="http://schemas.microsoft.com/office/drawing/2014/main" id="{1194795E-1190-43C1-B4D2-5BE449088C9B}"/>
            </a:ext>
          </a:extLst>
        </xdr:cNvPr>
        <xdr:cNvSpPr/>
      </xdr:nvSpPr>
      <xdr:spPr>
        <a:xfrm>
          <a:off x="9364980" y="18897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11</xdr:row>
      <xdr:rowOff>0</xdr:rowOff>
    </xdr:from>
    <xdr:to>
      <xdr:col>5</xdr:col>
      <xdr:colOff>83820</xdr:colOff>
      <xdr:row>11</xdr:row>
      <xdr:rowOff>114300</xdr:rowOff>
    </xdr:to>
    <xdr:sp macro="" textlink="">
      <xdr:nvSpPr>
        <xdr:cNvPr id="145" name="Arrow: Down 144">
          <a:extLst>
            <a:ext uri="{FF2B5EF4-FFF2-40B4-BE49-F238E27FC236}">
              <a16:creationId xmlns:a16="http://schemas.microsoft.com/office/drawing/2014/main" id="{064DC395-B2AC-45CB-89D9-E1C831E2545A}"/>
            </a:ext>
          </a:extLst>
        </xdr:cNvPr>
        <xdr:cNvSpPr/>
      </xdr:nvSpPr>
      <xdr:spPr>
        <a:xfrm rot="10800000">
          <a:off x="2141220" y="18897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12</xdr:row>
      <xdr:rowOff>0</xdr:rowOff>
    </xdr:from>
    <xdr:to>
      <xdr:col>5</xdr:col>
      <xdr:colOff>83820</xdr:colOff>
      <xdr:row>12</xdr:row>
      <xdr:rowOff>114300</xdr:rowOff>
    </xdr:to>
    <xdr:sp macro="" textlink="">
      <xdr:nvSpPr>
        <xdr:cNvPr id="146" name="Arrow: Down 145">
          <a:extLst>
            <a:ext uri="{FF2B5EF4-FFF2-40B4-BE49-F238E27FC236}">
              <a16:creationId xmlns:a16="http://schemas.microsoft.com/office/drawing/2014/main" id="{1C0D65E8-5556-4048-A403-1824E6736FA9}"/>
            </a:ext>
          </a:extLst>
        </xdr:cNvPr>
        <xdr:cNvSpPr/>
      </xdr:nvSpPr>
      <xdr:spPr>
        <a:xfrm rot="10800000">
          <a:off x="2141220" y="20726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</xdr:row>
      <xdr:rowOff>0</xdr:rowOff>
    </xdr:from>
    <xdr:to>
      <xdr:col>5</xdr:col>
      <xdr:colOff>83820</xdr:colOff>
      <xdr:row>13</xdr:row>
      <xdr:rowOff>114300</xdr:rowOff>
    </xdr:to>
    <xdr:sp macro="" textlink="">
      <xdr:nvSpPr>
        <xdr:cNvPr id="147" name="Arrow: Down 146">
          <a:extLst>
            <a:ext uri="{FF2B5EF4-FFF2-40B4-BE49-F238E27FC236}">
              <a16:creationId xmlns:a16="http://schemas.microsoft.com/office/drawing/2014/main" id="{B82A486C-33E6-4906-9B63-7B091421ADBA}"/>
            </a:ext>
          </a:extLst>
        </xdr:cNvPr>
        <xdr:cNvSpPr/>
      </xdr:nvSpPr>
      <xdr:spPr>
        <a:xfrm rot="10800000">
          <a:off x="214122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14</xdr:row>
      <xdr:rowOff>0</xdr:rowOff>
    </xdr:from>
    <xdr:to>
      <xdr:col>5</xdr:col>
      <xdr:colOff>83820</xdr:colOff>
      <xdr:row>14</xdr:row>
      <xdr:rowOff>114300</xdr:rowOff>
    </xdr:to>
    <xdr:sp macro="" textlink="">
      <xdr:nvSpPr>
        <xdr:cNvPr id="149" name="Arrow: Down 148">
          <a:extLst>
            <a:ext uri="{FF2B5EF4-FFF2-40B4-BE49-F238E27FC236}">
              <a16:creationId xmlns:a16="http://schemas.microsoft.com/office/drawing/2014/main" id="{FB1D8145-3E95-470B-8361-385361C865B7}"/>
            </a:ext>
          </a:extLst>
        </xdr:cNvPr>
        <xdr:cNvSpPr/>
      </xdr:nvSpPr>
      <xdr:spPr>
        <a:xfrm rot="10800000">
          <a:off x="214122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83820</xdr:colOff>
      <xdr:row>15</xdr:row>
      <xdr:rowOff>114300</xdr:rowOff>
    </xdr:to>
    <xdr:sp macro="" textlink="">
      <xdr:nvSpPr>
        <xdr:cNvPr id="150" name="Arrow: Down 149">
          <a:extLst>
            <a:ext uri="{FF2B5EF4-FFF2-40B4-BE49-F238E27FC236}">
              <a16:creationId xmlns:a16="http://schemas.microsoft.com/office/drawing/2014/main" id="{58A568D3-BAB6-4161-ACFC-8AFA8887D10A}"/>
            </a:ext>
          </a:extLst>
        </xdr:cNvPr>
        <xdr:cNvSpPr/>
      </xdr:nvSpPr>
      <xdr:spPr>
        <a:xfrm rot="10800000">
          <a:off x="2141220" y="26212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16</xdr:row>
      <xdr:rowOff>0</xdr:rowOff>
    </xdr:from>
    <xdr:to>
      <xdr:col>5</xdr:col>
      <xdr:colOff>83820</xdr:colOff>
      <xdr:row>16</xdr:row>
      <xdr:rowOff>114300</xdr:rowOff>
    </xdr:to>
    <xdr:sp macro="" textlink="">
      <xdr:nvSpPr>
        <xdr:cNvPr id="151" name="Arrow: Down 150">
          <a:extLst>
            <a:ext uri="{FF2B5EF4-FFF2-40B4-BE49-F238E27FC236}">
              <a16:creationId xmlns:a16="http://schemas.microsoft.com/office/drawing/2014/main" id="{6FF4D052-B43E-4B76-9D1B-051B58709139}"/>
            </a:ext>
          </a:extLst>
        </xdr:cNvPr>
        <xdr:cNvSpPr/>
      </xdr:nvSpPr>
      <xdr:spPr>
        <a:xfrm rot="10800000">
          <a:off x="2141220" y="280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83820</xdr:colOff>
      <xdr:row>17</xdr:row>
      <xdr:rowOff>114300</xdr:rowOff>
    </xdr:to>
    <xdr:sp macro="" textlink="">
      <xdr:nvSpPr>
        <xdr:cNvPr id="153" name="Arrow: Down 152">
          <a:extLst>
            <a:ext uri="{FF2B5EF4-FFF2-40B4-BE49-F238E27FC236}">
              <a16:creationId xmlns:a16="http://schemas.microsoft.com/office/drawing/2014/main" id="{375E3986-8CAB-45EA-AEE4-A167BEA966EB}"/>
            </a:ext>
          </a:extLst>
        </xdr:cNvPr>
        <xdr:cNvSpPr/>
      </xdr:nvSpPr>
      <xdr:spPr>
        <a:xfrm rot="10800000">
          <a:off x="2141220" y="29870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18</xdr:row>
      <xdr:rowOff>0</xdr:rowOff>
    </xdr:from>
    <xdr:to>
      <xdr:col>5</xdr:col>
      <xdr:colOff>83820</xdr:colOff>
      <xdr:row>18</xdr:row>
      <xdr:rowOff>114300</xdr:rowOff>
    </xdr:to>
    <xdr:sp macro="" textlink="">
      <xdr:nvSpPr>
        <xdr:cNvPr id="155" name="Arrow: Down 154">
          <a:extLst>
            <a:ext uri="{FF2B5EF4-FFF2-40B4-BE49-F238E27FC236}">
              <a16:creationId xmlns:a16="http://schemas.microsoft.com/office/drawing/2014/main" id="{3ECDEF29-030A-434A-B6B1-71733CD56983}"/>
            </a:ext>
          </a:extLst>
        </xdr:cNvPr>
        <xdr:cNvSpPr/>
      </xdr:nvSpPr>
      <xdr:spPr>
        <a:xfrm rot="10800000">
          <a:off x="2141220" y="31699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19</xdr:row>
      <xdr:rowOff>0</xdr:rowOff>
    </xdr:from>
    <xdr:to>
      <xdr:col>5</xdr:col>
      <xdr:colOff>83820</xdr:colOff>
      <xdr:row>19</xdr:row>
      <xdr:rowOff>114300</xdr:rowOff>
    </xdr:to>
    <xdr:sp macro="" textlink="">
      <xdr:nvSpPr>
        <xdr:cNvPr id="157" name="Arrow: Down 156">
          <a:extLst>
            <a:ext uri="{FF2B5EF4-FFF2-40B4-BE49-F238E27FC236}">
              <a16:creationId xmlns:a16="http://schemas.microsoft.com/office/drawing/2014/main" id="{45EAE2E9-6C7C-401D-A46B-2B7B2797FB01}"/>
            </a:ext>
          </a:extLst>
        </xdr:cNvPr>
        <xdr:cNvSpPr/>
      </xdr:nvSpPr>
      <xdr:spPr>
        <a:xfrm rot="10800000">
          <a:off x="2141220" y="33528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20</xdr:row>
      <xdr:rowOff>0</xdr:rowOff>
    </xdr:from>
    <xdr:to>
      <xdr:col>5</xdr:col>
      <xdr:colOff>83820</xdr:colOff>
      <xdr:row>20</xdr:row>
      <xdr:rowOff>114300</xdr:rowOff>
    </xdr:to>
    <xdr:sp macro="" textlink="">
      <xdr:nvSpPr>
        <xdr:cNvPr id="158" name="Arrow: Down 157">
          <a:extLst>
            <a:ext uri="{FF2B5EF4-FFF2-40B4-BE49-F238E27FC236}">
              <a16:creationId xmlns:a16="http://schemas.microsoft.com/office/drawing/2014/main" id="{CD4F13FB-B1D8-4029-AF61-2EBEE6DD249F}"/>
            </a:ext>
          </a:extLst>
        </xdr:cNvPr>
        <xdr:cNvSpPr/>
      </xdr:nvSpPr>
      <xdr:spPr>
        <a:xfrm rot="10800000">
          <a:off x="2141220" y="3535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21</xdr:row>
      <xdr:rowOff>0</xdr:rowOff>
    </xdr:from>
    <xdr:to>
      <xdr:col>5</xdr:col>
      <xdr:colOff>83820</xdr:colOff>
      <xdr:row>21</xdr:row>
      <xdr:rowOff>114300</xdr:rowOff>
    </xdr:to>
    <xdr:sp macro="" textlink="">
      <xdr:nvSpPr>
        <xdr:cNvPr id="160" name="Arrow: Down 159">
          <a:extLst>
            <a:ext uri="{FF2B5EF4-FFF2-40B4-BE49-F238E27FC236}">
              <a16:creationId xmlns:a16="http://schemas.microsoft.com/office/drawing/2014/main" id="{E5380E20-CC0A-4E18-8231-AC9222801DD5}"/>
            </a:ext>
          </a:extLst>
        </xdr:cNvPr>
        <xdr:cNvSpPr/>
      </xdr:nvSpPr>
      <xdr:spPr>
        <a:xfrm rot="10800000">
          <a:off x="2141220" y="37185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22</xdr:row>
      <xdr:rowOff>0</xdr:rowOff>
    </xdr:from>
    <xdr:to>
      <xdr:col>5</xdr:col>
      <xdr:colOff>83820</xdr:colOff>
      <xdr:row>22</xdr:row>
      <xdr:rowOff>114300</xdr:rowOff>
    </xdr:to>
    <xdr:sp macro="" textlink="">
      <xdr:nvSpPr>
        <xdr:cNvPr id="161" name="Arrow: Down 160">
          <a:extLst>
            <a:ext uri="{FF2B5EF4-FFF2-40B4-BE49-F238E27FC236}">
              <a16:creationId xmlns:a16="http://schemas.microsoft.com/office/drawing/2014/main" id="{30DF2EFD-429D-4346-921B-4C2657ED342F}"/>
            </a:ext>
          </a:extLst>
        </xdr:cNvPr>
        <xdr:cNvSpPr/>
      </xdr:nvSpPr>
      <xdr:spPr>
        <a:xfrm rot="10800000">
          <a:off x="2141220" y="39014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23</xdr:row>
      <xdr:rowOff>0</xdr:rowOff>
    </xdr:from>
    <xdr:to>
      <xdr:col>5</xdr:col>
      <xdr:colOff>83820</xdr:colOff>
      <xdr:row>23</xdr:row>
      <xdr:rowOff>114300</xdr:rowOff>
    </xdr:to>
    <xdr:sp macro="" textlink="">
      <xdr:nvSpPr>
        <xdr:cNvPr id="162" name="Arrow: Down 161">
          <a:extLst>
            <a:ext uri="{FF2B5EF4-FFF2-40B4-BE49-F238E27FC236}">
              <a16:creationId xmlns:a16="http://schemas.microsoft.com/office/drawing/2014/main" id="{70879A06-A3F2-45A4-A0B4-ACC7FCF1C8A1}"/>
            </a:ext>
          </a:extLst>
        </xdr:cNvPr>
        <xdr:cNvSpPr/>
      </xdr:nvSpPr>
      <xdr:spPr>
        <a:xfrm rot="10800000">
          <a:off x="2141220" y="4084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</xdr:row>
      <xdr:rowOff>0</xdr:rowOff>
    </xdr:from>
    <xdr:to>
      <xdr:col>5</xdr:col>
      <xdr:colOff>83820</xdr:colOff>
      <xdr:row>10</xdr:row>
      <xdr:rowOff>114300</xdr:rowOff>
    </xdr:to>
    <xdr:sp macro="" textlink="">
      <xdr:nvSpPr>
        <xdr:cNvPr id="163" name="Arrow: Down 162">
          <a:extLst>
            <a:ext uri="{FF2B5EF4-FFF2-40B4-BE49-F238E27FC236}">
              <a16:creationId xmlns:a16="http://schemas.microsoft.com/office/drawing/2014/main" id="{414528EA-8D56-4C96-A9B7-FF9515EC834C}"/>
            </a:ext>
          </a:extLst>
        </xdr:cNvPr>
        <xdr:cNvSpPr/>
      </xdr:nvSpPr>
      <xdr:spPr>
        <a:xfrm>
          <a:off x="2141220" y="170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24</xdr:row>
      <xdr:rowOff>38100</xdr:rowOff>
    </xdr:from>
    <xdr:to>
      <xdr:col>35</xdr:col>
      <xdr:colOff>83820</xdr:colOff>
      <xdr:row>24</xdr:row>
      <xdr:rowOff>152400</xdr:rowOff>
    </xdr:to>
    <xdr:sp macro="" textlink="">
      <xdr:nvSpPr>
        <xdr:cNvPr id="83" name="Arrow: Down 82">
          <a:extLst>
            <a:ext uri="{FF2B5EF4-FFF2-40B4-BE49-F238E27FC236}">
              <a16:creationId xmlns:a16="http://schemas.microsoft.com/office/drawing/2014/main" id="{D2557C3A-CE73-4F6A-B612-687749AE5C61}"/>
            </a:ext>
          </a:extLst>
        </xdr:cNvPr>
        <xdr:cNvSpPr/>
      </xdr:nvSpPr>
      <xdr:spPr>
        <a:xfrm rot="10800000">
          <a:off x="8625840" y="4305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24</xdr:row>
      <xdr:rowOff>30480</xdr:rowOff>
    </xdr:from>
    <xdr:to>
      <xdr:col>29</xdr:col>
      <xdr:colOff>83820</xdr:colOff>
      <xdr:row>24</xdr:row>
      <xdr:rowOff>144780</xdr:rowOff>
    </xdr:to>
    <xdr:sp macro="" textlink="">
      <xdr:nvSpPr>
        <xdr:cNvPr id="85" name="Arrow: Down 84">
          <a:extLst>
            <a:ext uri="{FF2B5EF4-FFF2-40B4-BE49-F238E27FC236}">
              <a16:creationId xmlns:a16="http://schemas.microsoft.com/office/drawing/2014/main" id="{0F36F6EC-A7D5-4038-9B4A-9D8E751CB2BA}"/>
            </a:ext>
          </a:extLst>
        </xdr:cNvPr>
        <xdr:cNvSpPr/>
      </xdr:nvSpPr>
      <xdr:spPr>
        <a:xfrm flipH="1" flipV="1">
          <a:off x="7200900" y="4297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24</xdr:row>
      <xdr:rowOff>30480</xdr:rowOff>
    </xdr:from>
    <xdr:to>
      <xdr:col>11</xdr:col>
      <xdr:colOff>83820</xdr:colOff>
      <xdr:row>24</xdr:row>
      <xdr:rowOff>144780</xdr:rowOff>
    </xdr:to>
    <xdr:sp macro="" textlink="">
      <xdr:nvSpPr>
        <xdr:cNvPr id="94" name="Arrow: Down 93">
          <a:extLst>
            <a:ext uri="{FF2B5EF4-FFF2-40B4-BE49-F238E27FC236}">
              <a16:creationId xmlns:a16="http://schemas.microsoft.com/office/drawing/2014/main" id="{9CB164D4-690B-446B-98A3-DB8A9F4986EB}"/>
            </a:ext>
          </a:extLst>
        </xdr:cNvPr>
        <xdr:cNvSpPr/>
      </xdr:nvSpPr>
      <xdr:spPr>
        <a:xfrm>
          <a:off x="3695700" y="4297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23</xdr:row>
      <xdr:rowOff>0</xdr:rowOff>
    </xdr:from>
    <xdr:to>
      <xdr:col>58</xdr:col>
      <xdr:colOff>160020</xdr:colOff>
      <xdr:row>23</xdr:row>
      <xdr:rowOff>167640</xdr:rowOff>
    </xdr:to>
    <xdr:sp macro="" textlink="">
      <xdr:nvSpPr>
        <xdr:cNvPr id="99" name="Minus Sign 98">
          <a:extLst>
            <a:ext uri="{FF2B5EF4-FFF2-40B4-BE49-F238E27FC236}">
              <a16:creationId xmlns:a16="http://schemas.microsoft.com/office/drawing/2014/main" id="{0626B640-59CC-41A0-95FA-73438C3C0ABB}"/>
            </a:ext>
          </a:extLst>
        </xdr:cNvPr>
        <xdr:cNvSpPr/>
      </xdr:nvSpPr>
      <xdr:spPr>
        <a:xfrm>
          <a:off x="11597640" y="40843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24</xdr:row>
      <xdr:rowOff>0</xdr:rowOff>
    </xdr:from>
    <xdr:to>
      <xdr:col>5</xdr:col>
      <xdr:colOff>83820</xdr:colOff>
      <xdr:row>24</xdr:row>
      <xdr:rowOff>114300</xdr:rowOff>
    </xdr:to>
    <xdr:sp macro="" textlink="">
      <xdr:nvSpPr>
        <xdr:cNvPr id="133" name="Arrow: Down 132">
          <a:extLst>
            <a:ext uri="{FF2B5EF4-FFF2-40B4-BE49-F238E27FC236}">
              <a16:creationId xmlns:a16="http://schemas.microsoft.com/office/drawing/2014/main" id="{5A36C91A-CB69-4854-850E-50B8DBB561BA}"/>
            </a:ext>
          </a:extLst>
        </xdr:cNvPr>
        <xdr:cNvSpPr/>
      </xdr:nvSpPr>
      <xdr:spPr>
        <a:xfrm rot="10800000">
          <a:off x="2103120" y="4267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24</xdr:row>
      <xdr:rowOff>0</xdr:rowOff>
    </xdr:from>
    <xdr:to>
      <xdr:col>18</xdr:col>
      <xdr:colOff>83820</xdr:colOff>
      <xdr:row>24</xdr:row>
      <xdr:rowOff>114300</xdr:rowOff>
    </xdr:to>
    <xdr:sp macro="" textlink="">
      <xdr:nvSpPr>
        <xdr:cNvPr id="137" name="Arrow: Down 136">
          <a:extLst>
            <a:ext uri="{FF2B5EF4-FFF2-40B4-BE49-F238E27FC236}">
              <a16:creationId xmlns:a16="http://schemas.microsoft.com/office/drawing/2014/main" id="{C41BEE00-C18A-4E46-AF33-5D1515C0A42A}"/>
            </a:ext>
          </a:extLst>
        </xdr:cNvPr>
        <xdr:cNvSpPr/>
      </xdr:nvSpPr>
      <xdr:spPr>
        <a:xfrm rot="10800000">
          <a:off x="4686300" y="4267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25</xdr:row>
      <xdr:rowOff>38100</xdr:rowOff>
    </xdr:from>
    <xdr:to>
      <xdr:col>35</xdr:col>
      <xdr:colOff>83820</xdr:colOff>
      <xdr:row>25</xdr:row>
      <xdr:rowOff>152400</xdr:rowOff>
    </xdr:to>
    <xdr:sp macro="" textlink="">
      <xdr:nvSpPr>
        <xdr:cNvPr id="88" name="Arrow: Down 87">
          <a:extLst>
            <a:ext uri="{FF2B5EF4-FFF2-40B4-BE49-F238E27FC236}">
              <a16:creationId xmlns:a16="http://schemas.microsoft.com/office/drawing/2014/main" id="{2F29CCDF-FABE-4C8A-98FC-53ACF6FD3F46}"/>
            </a:ext>
          </a:extLst>
        </xdr:cNvPr>
        <xdr:cNvSpPr/>
      </xdr:nvSpPr>
      <xdr:spPr>
        <a:xfrm rot="10800000">
          <a:off x="8625840" y="4328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25</xdr:row>
      <xdr:rowOff>30480</xdr:rowOff>
    </xdr:from>
    <xdr:to>
      <xdr:col>29</xdr:col>
      <xdr:colOff>83820</xdr:colOff>
      <xdr:row>25</xdr:row>
      <xdr:rowOff>144780</xdr:rowOff>
    </xdr:to>
    <xdr:sp macro="" textlink="">
      <xdr:nvSpPr>
        <xdr:cNvPr id="91" name="Arrow: Down 90">
          <a:extLst>
            <a:ext uri="{FF2B5EF4-FFF2-40B4-BE49-F238E27FC236}">
              <a16:creationId xmlns:a16="http://schemas.microsoft.com/office/drawing/2014/main" id="{FB49E51C-EB06-4803-A7F5-DAE7B5EB87A6}"/>
            </a:ext>
          </a:extLst>
        </xdr:cNvPr>
        <xdr:cNvSpPr/>
      </xdr:nvSpPr>
      <xdr:spPr>
        <a:xfrm flipH="1" flipV="1">
          <a:off x="7200900" y="432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25</xdr:row>
      <xdr:rowOff>30480</xdr:rowOff>
    </xdr:from>
    <xdr:to>
      <xdr:col>11</xdr:col>
      <xdr:colOff>83820</xdr:colOff>
      <xdr:row>25</xdr:row>
      <xdr:rowOff>144780</xdr:rowOff>
    </xdr:to>
    <xdr:sp macro="" textlink="">
      <xdr:nvSpPr>
        <xdr:cNvPr id="92" name="Arrow: Down 91">
          <a:extLst>
            <a:ext uri="{FF2B5EF4-FFF2-40B4-BE49-F238E27FC236}">
              <a16:creationId xmlns:a16="http://schemas.microsoft.com/office/drawing/2014/main" id="{8295B780-6DEA-4501-B55A-2090C33CBA90}"/>
            </a:ext>
          </a:extLst>
        </xdr:cNvPr>
        <xdr:cNvSpPr/>
      </xdr:nvSpPr>
      <xdr:spPr>
        <a:xfrm>
          <a:off x="3695700" y="432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25</xdr:row>
      <xdr:rowOff>22860</xdr:rowOff>
    </xdr:from>
    <xdr:to>
      <xdr:col>5</xdr:col>
      <xdr:colOff>83820</xdr:colOff>
      <xdr:row>25</xdr:row>
      <xdr:rowOff>137160</xdr:rowOff>
    </xdr:to>
    <xdr:sp macro="" textlink="">
      <xdr:nvSpPr>
        <xdr:cNvPr id="101" name="Arrow: Down 100">
          <a:extLst>
            <a:ext uri="{FF2B5EF4-FFF2-40B4-BE49-F238E27FC236}">
              <a16:creationId xmlns:a16="http://schemas.microsoft.com/office/drawing/2014/main" id="{D68160C8-DBAE-4162-8ECC-513C22FA0371}"/>
            </a:ext>
          </a:extLst>
        </xdr:cNvPr>
        <xdr:cNvSpPr/>
      </xdr:nvSpPr>
      <xdr:spPr>
        <a:xfrm>
          <a:off x="2103120" y="4495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25</xdr:row>
      <xdr:rowOff>30480</xdr:rowOff>
    </xdr:from>
    <xdr:to>
      <xdr:col>18</xdr:col>
      <xdr:colOff>83820</xdr:colOff>
      <xdr:row>25</xdr:row>
      <xdr:rowOff>144780</xdr:rowOff>
    </xdr:to>
    <xdr:sp macro="" textlink="">
      <xdr:nvSpPr>
        <xdr:cNvPr id="103" name="Arrow: Down 102">
          <a:extLst>
            <a:ext uri="{FF2B5EF4-FFF2-40B4-BE49-F238E27FC236}">
              <a16:creationId xmlns:a16="http://schemas.microsoft.com/office/drawing/2014/main" id="{F3915D6D-8535-4A23-A943-24D06E807706}"/>
            </a:ext>
          </a:extLst>
        </xdr:cNvPr>
        <xdr:cNvSpPr/>
      </xdr:nvSpPr>
      <xdr:spPr>
        <a:xfrm>
          <a:off x="4686300" y="450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26</xdr:row>
      <xdr:rowOff>38100</xdr:rowOff>
    </xdr:from>
    <xdr:to>
      <xdr:col>35</xdr:col>
      <xdr:colOff>83820</xdr:colOff>
      <xdr:row>26</xdr:row>
      <xdr:rowOff>152400</xdr:rowOff>
    </xdr:to>
    <xdr:sp macro="" textlink="">
      <xdr:nvSpPr>
        <xdr:cNvPr id="110" name="Arrow: Down 109">
          <a:extLst>
            <a:ext uri="{FF2B5EF4-FFF2-40B4-BE49-F238E27FC236}">
              <a16:creationId xmlns:a16="http://schemas.microsoft.com/office/drawing/2014/main" id="{EB2F6F9E-AAAE-4A18-810B-0F76454BD56C}"/>
            </a:ext>
          </a:extLst>
        </xdr:cNvPr>
        <xdr:cNvSpPr/>
      </xdr:nvSpPr>
      <xdr:spPr>
        <a:xfrm rot="10800000">
          <a:off x="8709660" y="4511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26</xdr:row>
      <xdr:rowOff>0</xdr:rowOff>
    </xdr:from>
    <xdr:to>
      <xdr:col>11</xdr:col>
      <xdr:colOff>83820</xdr:colOff>
      <xdr:row>26</xdr:row>
      <xdr:rowOff>114300</xdr:rowOff>
    </xdr:to>
    <xdr:sp macro="" textlink="">
      <xdr:nvSpPr>
        <xdr:cNvPr id="105" name="Arrow: Down 104">
          <a:extLst>
            <a:ext uri="{FF2B5EF4-FFF2-40B4-BE49-F238E27FC236}">
              <a16:creationId xmlns:a16="http://schemas.microsoft.com/office/drawing/2014/main" id="{516A3FD9-4570-40DC-8468-77B358A91883}"/>
            </a:ext>
          </a:extLst>
        </xdr:cNvPr>
        <xdr:cNvSpPr/>
      </xdr:nvSpPr>
      <xdr:spPr>
        <a:xfrm rot="10800000">
          <a:off x="3779520" y="4655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26</xdr:row>
      <xdr:rowOff>53340</xdr:rowOff>
    </xdr:from>
    <xdr:to>
      <xdr:col>29</xdr:col>
      <xdr:colOff>83820</xdr:colOff>
      <xdr:row>26</xdr:row>
      <xdr:rowOff>167640</xdr:rowOff>
    </xdr:to>
    <xdr:sp macro="" textlink="">
      <xdr:nvSpPr>
        <xdr:cNvPr id="154" name="Arrow: Down 153">
          <a:extLst>
            <a:ext uri="{FF2B5EF4-FFF2-40B4-BE49-F238E27FC236}">
              <a16:creationId xmlns:a16="http://schemas.microsoft.com/office/drawing/2014/main" id="{BF61D7B6-368D-4CB6-92AC-7092F7D4D234}"/>
            </a:ext>
          </a:extLst>
        </xdr:cNvPr>
        <xdr:cNvSpPr/>
      </xdr:nvSpPr>
      <xdr:spPr>
        <a:xfrm>
          <a:off x="7284720" y="4709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24</xdr:row>
      <xdr:rowOff>0</xdr:rowOff>
    </xdr:from>
    <xdr:to>
      <xdr:col>58</xdr:col>
      <xdr:colOff>160020</xdr:colOff>
      <xdr:row>24</xdr:row>
      <xdr:rowOff>167640</xdr:rowOff>
    </xdr:to>
    <xdr:sp macro="" textlink="">
      <xdr:nvSpPr>
        <xdr:cNvPr id="164" name="Minus Sign 163">
          <a:extLst>
            <a:ext uri="{FF2B5EF4-FFF2-40B4-BE49-F238E27FC236}">
              <a16:creationId xmlns:a16="http://schemas.microsoft.com/office/drawing/2014/main" id="{858F6565-0741-46B9-ACD3-75C116DA28B8}"/>
            </a:ext>
          </a:extLst>
        </xdr:cNvPr>
        <xdr:cNvSpPr/>
      </xdr:nvSpPr>
      <xdr:spPr>
        <a:xfrm>
          <a:off x="13075920" y="42900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58</xdr:col>
      <xdr:colOff>0</xdr:colOff>
      <xdr:row>25</xdr:row>
      <xdr:rowOff>0</xdr:rowOff>
    </xdr:from>
    <xdr:to>
      <xdr:col>58</xdr:col>
      <xdr:colOff>160020</xdr:colOff>
      <xdr:row>25</xdr:row>
      <xdr:rowOff>167640</xdr:rowOff>
    </xdr:to>
    <xdr:sp macro="" textlink="">
      <xdr:nvSpPr>
        <xdr:cNvPr id="165" name="Minus Sign 164">
          <a:extLst>
            <a:ext uri="{FF2B5EF4-FFF2-40B4-BE49-F238E27FC236}">
              <a16:creationId xmlns:a16="http://schemas.microsoft.com/office/drawing/2014/main" id="{0CFB03FB-DBE1-4732-B43F-F73C0D6D8A77}"/>
            </a:ext>
          </a:extLst>
        </xdr:cNvPr>
        <xdr:cNvSpPr/>
      </xdr:nvSpPr>
      <xdr:spPr>
        <a:xfrm>
          <a:off x="13075920" y="44729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58</xdr:col>
      <xdr:colOff>0</xdr:colOff>
      <xdr:row>26</xdr:row>
      <xdr:rowOff>0</xdr:rowOff>
    </xdr:from>
    <xdr:to>
      <xdr:col>58</xdr:col>
      <xdr:colOff>160020</xdr:colOff>
      <xdr:row>26</xdr:row>
      <xdr:rowOff>167640</xdr:rowOff>
    </xdr:to>
    <xdr:sp macro="" textlink="">
      <xdr:nvSpPr>
        <xdr:cNvPr id="166" name="Minus Sign 165">
          <a:extLst>
            <a:ext uri="{FF2B5EF4-FFF2-40B4-BE49-F238E27FC236}">
              <a16:creationId xmlns:a16="http://schemas.microsoft.com/office/drawing/2014/main" id="{CCE3EE16-5471-469A-A785-1ECC6879B861}"/>
            </a:ext>
          </a:extLst>
        </xdr:cNvPr>
        <xdr:cNvSpPr/>
      </xdr:nvSpPr>
      <xdr:spPr>
        <a:xfrm>
          <a:off x="13075920" y="46558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26</xdr:row>
      <xdr:rowOff>0</xdr:rowOff>
    </xdr:from>
    <xdr:to>
      <xdr:col>5</xdr:col>
      <xdr:colOff>83820</xdr:colOff>
      <xdr:row>26</xdr:row>
      <xdr:rowOff>114300</xdr:rowOff>
    </xdr:to>
    <xdr:sp macro="" textlink="">
      <xdr:nvSpPr>
        <xdr:cNvPr id="167" name="Arrow: Down 166">
          <a:extLst>
            <a:ext uri="{FF2B5EF4-FFF2-40B4-BE49-F238E27FC236}">
              <a16:creationId xmlns:a16="http://schemas.microsoft.com/office/drawing/2014/main" id="{BBC02987-D798-44C1-9DAF-0EAD12110EC0}"/>
            </a:ext>
          </a:extLst>
        </xdr:cNvPr>
        <xdr:cNvSpPr/>
      </xdr:nvSpPr>
      <xdr:spPr>
        <a:xfrm rot="10800000">
          <a:off x="2186940" y="4655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27</xdr:row>
      <xdr:rowOff>38100</xdr:rowOff>
    </xdr:from>
    <xdr:to>
      <xdr:col>35</xdr:col>
      <xdr:colOff>83820</xdr:colOff>
      <xdr:row>27</xdr:row>
      <xdr:rowOff>152400</xdr:rowOff>
    </xdr:to>
    <xdr:sp macro="" textlink="">
      <xdr:nvSpPr>
        <xdr:cNvPr id="168" name="Arrow: Down 167">
          <a:extLst>
            <a:ext uri="{FF2B5EF4-FFF2-40B4-BE49-F238E27FC236}">
              <a16:creationId xmlns:a16="http://schemas.microsoft.com/office/drawing/2014/main" id="{36371F47-7337-4A14-BA5A-954956DDF3DA}"/>
            </a:ext>
          </a:extLst>
        </xdr:cNvPr>
        <xdr:cNvSpPr/>
      </xdr:nvSpPr>
      <xdr:spPr>
        <a:xfrm rot="10800000">
          <a:off x="8709660" y="4693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27</xdr:row>
      <xdr:rowOff>0</xdr:rowOff>
    </xdr:from>
    <xdr:to>
      <xdr:col>58</xdr:col>
      <xdr:colOff>160020</xdr:colOff>
      <xdr:row>27</xdr:row>
      <xdr:rowOff>167640</xdr:rowOff>
    </xdr:to>
    <xdr:sp macro="" textlink="">
      <xdr:nvSpPr>
        <xdr:cNvPr id="172" name="Minus Sign 171">
          <a:extLst>
            <a:ext uri="{FF2B5EF4-FFF2-40B4-BE49-F238E27FC236}">
              <a16:creationId xmlns:a16="http://schemas.microsoft.com/office/drawing/2014/main" id="{3C9CCF15-2152-4284-97E3-2CACC87D8B8B}"/>
            </a:ext>
          </a:extLst>
        </xdr:cNvPr>
        <xdr:cNvSpPr/>
      </xdr:nvSpPr>
      <xdr:spPr>
        <a:xfrm>
          <a:off x="13075920" y="46558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27</xdr:row>
      <xdr:rowOff>0</xdr:rowOff>
    </xdr:from>
    <xdr:to>
      <xdr:col>5</xdr:col>
      <xdr:colOff>83820</xdr:colOff>
      <xdr:row>27</xdr:row>
      <xdr:rowOff>114300</xdr:rowOff>
    </xdr:to>
    <xdr:sp macro="" textlink="">
      <xdr:nvSpPr>
        <xdr:cNvPr id="176" name="Arrow: Down 175">
          <a:extLst>
            <a:ext uri="{FF2B5EF4-FFF2-40B4-BE49-F238E27FC236}">
              <a16:creationId xmlns:a16="http://schemas.microsoft.com/office/drawing/2014/main" id="{C52257C0-BDFF-44AB-986C-6D9E145D3C32}"/>
            </a:ext>
          </a:extLst>
        </xdr:cNvPr>
        <xdr:cNvSpPr/>
      </xdr:nvSpPr>
      <xdr:spPr>
        <a:xfrm rot="10800000">
          <a:off x="2186940" y="4838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28</xdr:row>
      <xdr:rowOff>0</xdr:rowOff>
    </xdr:from>
    <xdr:to>
      <xdr:col>58</xdr:col>
      <xdr:colOff>160020</xdr:colOff>
      <xdr:row>28</xdr:row>
      <xdr:rowOff>167640</xdr:rowOff>
    </xdr:to>
    <xdr:sp macro="" textlink="">
      <xdr:nvSpPr>
        <xdr:cNvPr id="135" name="Minus Sign 134">
          <a:extLst>
            <a:ext uri="{FF2B5EF4-FFF2-40B4-BE49-F238E27FC236}">
              <a16:creationId xmlns:a16="http://schemas.microsoft.com/office/drawing/2014/main" id="{BF4FFEBE-76AC-47FD-971C-AA51843FBDC8}"/>
            </a:ext>
          </a:extLst>
        </xdr:cNvPr>
        <xdr:cNvSpPr/>
      </xdr:nvSpPr>
      <xdr:spPr>
        <a:xfrm>
          <a:off x="13075920" y="48387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99060</xdr:colOff>
      <xdr:row>28</xdr:row>
      <xdr:rowOff>22860</xdr:rowOff>
    </xdr:from>
    <xdr:to>
      <xdr:col>5</xdr:col>
      <xdr:colOff>76200</xdr:colOff>
      <xdr:row>28</xdr:row>
      <xdr:rowOff>137160</xdr:rowOff>
    </xdr:to>
    <xdr:sp macro="" textlink="">
      <xdr:nvSpPr>
        <xdr:cNvPr id="159" name="Arrow: Down 158">
          <a:extLst>
            <a:ext uri="{FF2B5EF4-FFF2-40B4-BE49-F238E27FC236}">
              <a16:creationId xmlns:a16="http://schemas.microsoft.com/office/drawing/2014/main" id="{10FF57F7-E68B-4459-9A14-587B9F40083C}"/>
            </a:ext>
          </a:extLst>
        </xdr:cNvPr>
        <xdr:cNvSpPr/>
      </xdr:nvSpPr>
      <xdr:spPr>
        <a:xfrm>
          <a:off x="2179320" y="5044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7620</xdr:colOff>
      <xdr:row>28</xdr:row>
      <xdr:rowOff>30480</xdr:rowOff>
    </xdr:from>
    <xdr:to>
      <xdr:col>11</xdr:col>
      <xdr:colOff>91440</xdr:colOff>
      <xdr:row>28</xdr:row>
      <xdr:rowOff>144780</xdr:rowOff>
    </xdr:to>
    <xdr:sp macro="" textlink="">
      <xdr:nvSpPr>
        <xdr:cNvPr id="170" name="Arrow: Down 169">
          <a:extLst>
            <a:ext uri="{FF2B5EF4-FFF2-40B4-BE49-F238E27FC236}">
              <a16:creationId xmlns:a16="http://schemas.microsoft.com/office/drawing/2014/main" id="{BB459932-C887-44B0-89E3-44589FB13B35}"/>
            </a:ext>
          </a:extLst>
        </xdr:cNvPr>
        <xdr:cNvSpPr/>
      </xdr:nvSpPr>
      <xdr:spPr>
        <a:xfrm>
          <a:off x="3787140" y="505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28</xdr:row>
      <xdr:rowOff>60960</xdr:rowOff>
    </xdr:from>
    <xdr:to>
      <xdr:col>35</xdr:col>
      <xdr:colOff>83820</xdr:colOff>
      <xdr:row>28</xdr:row>
      <xdr:rowOff>175260</xdr:rowOff>
    </xdr:to>
    <xdr:sp macro="" textlink="">
      <xdr:nvSpPr>
        <xdr:cNvPr id="174" name="Arrow: Down 173">
          <a:extLst>
            <a:ext uri="{FF2B5EF4-FFF2-40B4-BE49-F238E27FC236}">
              <a16:creationId xmlns:a16="http://schemas.microsoft.com/office/drawing/2014/main" id="{8C5D4251-F0AF-469A-B659-0822ED93175C}"/>
            </a:ext>
          </a:extLst>
        </xdr:cNvPr>
        <xdr:cNvSpPr/>
      </xdr:nvSpPr>
      <xdr:spPr>
        <a:xfrm>
          <a:off x="8709660" y="5082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29</xdr:row>
      <xdr:rowOff>0</xdr:rowOff>
    </xdr:from>
    <xdr:to>
      <xdr:col>58</xdr:col>
      <xdr:colOff>160020</xdr:colOff>
      <xdr:row>29</xdr:row>
      <xdr:rowOff>167640</xdr:rowOff>
    </xdr:to>
    <xdr:sp macro="" textlink="">
      <xdr:nvSpPr>
        <xdr:cNvPr id="178" name="Minus Sign 177">
          <a:extLst>
            <a:ext uri="{FF2B5EF4-FFF2-40B4-BE49-F238E27FC236}">
              <a16:creationId xmlns:a16="http://schemas.microsoft.com/office/drawing/2014/main" id="{ED27D3D1-C690-46AE-ACAE-2E1BBFC163BC}"/>
            </a:ext>
          </a:extLst>
        </xdr:cNvPr>
        <xdr:cNvSpPr/>
      </xdr:nvSpPr>
      <xdr:spPr>
        <a:xfrm>
          <a:off x="13075920" y="50215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29</xdr:row>
      <xdr:rowOff>30480</xdr:rowOff>
    </xdr:from>
    <xdr:to>
      <xdr:col>11</xdr:col>
      <xdr:colOff>91440</xdr:colOff>
      <xdr:row>29</xdr:row>
      <xdr:rowOff>144780</xdr:rowOff>
    </xdr:to>
    <xdr:sp macro="" textlink="">
      <xdr:nvSpPr>
        <xdr:cNvPr id="181" name="Arrow: Down 180">
          <a:extLst>
            <a:ext uri="{FF2B5EF4-FFF2-40B4-BE49-F238E27FC236}">
              <a16:creationId xmlns:a16="http://schemas.microsoft.com/office/drawing/2014/main" id="{480A28E8-C527-4372-ABE8-8F70A8B7B49F}"/>
            </a:ext>
          </a:extLst>
        </xdr:cNvPr>
        <xdr:cNvSpPr/>
      </xdr:nvSpPr>
      <xdr:spPr>
        <a:xfrm>
          <a:off x="3787140" y="505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28</xdr:row>
      <xdr:rowOff>0</xdr:rowOff>
    </xdr:from>
    <xdr:to>
      <xdr:col>29</xdr:col>
      <xdr:colOff>83820</xdr:colOff>
      <xdr:row>28</xdr:row>
      <xdr:rowOff>114300</xdr:rowOff>
    </xdr:to>
    <xdr:sp macro="" textlink="">
      <xdr:nvSpPr>
        <xdr:cNvPr id="187" name="Arrow: Down 186">
          <a:extLst>
            <a:ext uri="{FF2B5EF4-FFF2-40B4-BE49-F238E27FC236}">
              <a16:creationId xmlns:a16="http://schemas.microsoft.com/office/drawing/2014/main" id="{E8F1424D-D658-409C-9166-4D309F2521F9}"/>
            </a:ext>
          </a:extLst>
        </xdr:cNvPr>
        <xdr:cNvSpPr/>
      </xdr:nvSpPr>
      <xdr:spPr>
        <a:xfrm>
          <a:off x="7284720" y="5021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27</xdr:row>
      <xdr:rowOff>0</xdr:rowOff>
    </xdr:from>
    <xdr:to>
      <xdr:col>29</xdr:col>
      <xdr:colOff>83820</xdr:colOff>
      <xdr:row>27</xdr:row>
      <xdr:rowOff>114300</xdr:rowOff>
    </xdr:to>
    <xdr:sp macro="" textlink="">
      <xdr:nvSpPr>
        <xdr:cNvPr id="189" name="Arrow: Down 188">
          <a:extLst>
            <a:ext uri="{FF2B5EF4-FFF2-40B4-BE49-F238E27FC236}">
              <a16:creationId xmlns:a16="http://schemas.microsoft.com/office/drawing/2014/main" id="{FE4BCF33-E875-4D0C-B659-E58C940C6E30}"/>
            </a:ext>
          </a:extLst>
        </xdr:cNvPr>
        <xdr:cNvSpPr/>
      </xdr:nvSpPr>
      <xdr:spPr>
        <a:xfrm rot="10800000">
          <a:off x="7284720" y="4838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7620</xdr:colOff>
      <xdr:row>29</xdr:row>
      <xdr:rowOff>53340</xdr:rowOff>
    </xdr:from>
    <xdr:to>
      <xdr:col>35</xdr:col>
      <xdr:colOff>91440</xdr:colOff>
      <xdr:row>29</xdr:row>
      <xdr:rowOff>167640</xdr:rowOff>
    </xdr:to>
    <xdr:sp macro="" textlink="">
      <xdr:nvSpPr>
        <xdr:cNvPr id="190" name="Arrow: Down 189">
          <a:extLst>
            <a:ext uri="{FF2B5EF4-FFF2-40B4-BE49-F238E27FC236}">
              <a16:creationId xmlns:a16="http://schemas.microsoft.com/office/drawing/2014/main" id="{3BD9BFB7-35BB-4194-BDD8-F6F81E64AB86}"/>
            </a:ext>
          </a:extLst>
        </xdr:cNvPr>
        <xdr:cNvSpPr/>
      </xdr:nvSpPr>
      <xdr:spPr>
        <a:xfrm rot="10800000">
          <a:off x="8717280" y="5257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29</xdr:row>
      <xdr:rowOff>0</xdr:rowOff>
    </xdr:from>
    <xdr:to>
      <xdr:col>5</xdr:col>
      <xdr:colOff>83820</xdr:colOff>
      <xdr:row>29</xdr:row>
      <xdr:rowOff>114300</xdr:rowOff>
    </xdr:to>
    <xdr:sp macro="" textlink="">
      <xdr:nvSpPr>
        <xdr:cNvPr id="191" name="Arrow: Down 190">
          <a:extLst>
            <a:ext uri="{FF2B5EF4-FFF2-40B4-BE49-F238E27FC236}">
              <a16:creationId xmlns:a16="http://schemas.microsoft.com/office/drawing/2014/main" id="{4FFF532A-96C1-4555-A5FC-765B2457BF5B}"/>
            </a:ext>
          </a:extLst>
        </xdr:cNvPr>
        <xdr:cNvSpPr/>
      </xdr:nvSpPr>
      <xdr:spPr>
        <a:xfrm rot="10800000">
          <a:off x="2186940" y="5204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27</xdr:row>
      <xdr:rowOff>0</xdr:rowOff>
    </xdr:from>
    <xdr:to>
      <xdr:col>11</xdr:col>
      <xdr:colOff>83820</xdr:colOff>
      <xdr:row>27</xdr:row>
      <xdr:rowOff>114300</xdr:rowOff>
    </xdr:to>
    <xdr:sp macro="" textlink="">
      <xdr:nvSpPr>
        <xdr:cNvPr id="192" name="Arrow: Down 191">
          <a:extLst>
            <a:ext uri="{FF2B5EF4-FFF2-40B4-BE49-F238E27FC236}">
              <a16:creationId xmlns:a16="http://schemas.microsoft.com/office/drawing/2014/main" id="{9FF780AD-DADF-4856-A729-CE0BED68D2ED}"/>
            </a:ext>
          </a:extLst>
        </xdr:cNvPr>
        <xdr:cNvSpPr/>
      </xdr:nvSpPr>
      <xdr:spPr>
        <a:xfrm>
          <a:off x="3779520" y="4838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30</xdr:row>
      <xdr:rowOff>0</xdr:rowOff>
    </xdr:from>
    <xdr:to>
      <xdr:col>58</xdr:col>
      <xdr:colOff>160020</xdr:colOff>
      <xdr:row>30</xdr:row>
      <xdr:rowOff>167640</xdr:rowOff>
    </xdr:to>
    <xdr:sp macro="" textlink="">
      <xdr:nvSpPr>
        <xdr:cNvPr id="199" name="Minus Sign 198">
          <a:extLst>
            <a:ext uri="{FF2B5EF4-FFF2-40B4-BE49-F238E27FC236}">
              <a16:creationId xmlns:a16="http://schemas.microsoft.com/office/drawing/2014/main" id="{F102A01D-A6AC-4717-9F5C-C1ECB746A077}"/>
            </a:ext>
          </a:extLst>
        </xdr:cNvPr>
        <xdr:cNvSpPr/>
      </xdr:nvSpPr>
      <xdr:spPr>
        <a:xfrm>
          <a:off x="13075920" y="52044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30</xdr:row>
      <xdr:rowOff>30480</xdr:rowOff>
    </xdr:from>
    <xdr:to>
      <xdr:col>11</xdr:col>
      <xdr:colOff>91440</xdr:colOff>
      <xdr:row>30</xdr:row>
      <xdr:rowOff>144780</xdr:rowOff>
    </xdr:to>
    <xdr:sp macro="" textlink="">
      <xdr:nvSpPr>
        <xdr:cNvPr id="200" name="Arrow: Down 199">
          <a:extLst>
            <a:ext uri="{FF2B5EF4-FFF2-40B4-BE49-F238E27FC236}">
              <a16:creationId xmlns:a16="http://schemas.microsoft.com/office/drawing/2014/main" id="{8299D4EB-2507-4C3E-AAC9-E5053D55265E}"/>
            </a:ext>
          </a:extLst>
        </xdr:cNvPr>
        <xdr:cNvSpPr/>
      </xdr:nvSpPr>
      <xdr:spPr>
        <a:xfrm>
          <a:off x="3787140" y="5234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30</xdr:row>
      <xdr:rowOff>0</xdr:rowOff>
    </xdr:from>
    <xdr:to>
      <xdr:col>5</xdr:col>
      <xdr:colOff>83820</xdr:colOff>
      <xdr:row>30</xdr:row>
      <xdr:rowOff>114300</xdr:rowOff>
    </xdr:to>
    <xdr:sp macro="" textlink="">
      <xdr:nvSpPr>
        <xdr:cNvPr id="205" name="Arrow: Down 204">
          <a:extLst>
            <a:ext uri="{FF2B5EF4-FFF2-40B4-BE49-F238E27FC236}">
              <a16:creationId xmlns:a16="http://schemas.microsoft.com/office/drawing/2014/main" id="{08623522-750B-4471-B011-97EB1DDB3869}"/>
            </a:ext>
          </a:extLst>
        </xdr:cNvPr>
        <xdr:cNvSpPr/>
      </xdr:nvSpPr>
      <xdr:spPr>
        <a:xfrm rot="10800000">
          <a:off x="2186940" y="5387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60960</xdr:colOff>
      <xdr:row>30</xdr:row>
      <xdr:rowOff>30480</xdr:rowOff>
    </xdr:from>
    <xdr:to>
      <xdr:col>29</xdr:col>
      <xdr:colOff>76200</xdr:colOff>
      <xdr:row>30</xdr:row>
      <xdr:rowOff>144780</xdr:rowOff>
    </xdr:to>
    <xdr:sp macro="" textlink="">
      <xdr:nvSpPr>
        <xdr:cNvPr id="207" name="Arrow: Down 206">
          <a:extLst>
            <a:ext uri="{FF2B5EF4-FFF2-40B4-BE49-F238E27FC236}">
              <a16:creationId xmlns:a16="http://schemas.microsoft.com/office/drawing/2014/main" id="{D530CBC3-891B-4D49-BAEF-F85431E49C31}"/>
            </a:ext>
          </a:extLst>
        </xdr:cNvPr>
        <xdr:cNvSpPr/>
      </xdr:nvSpPr>
      <xdr:spPr>
        <a:xfrm>
          <a:off x="7345680" y="5417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30</xdr:row>
      <xdr:rowOff>53340</xdr:rowOff>
    </xdr:from>
    <xdr:to>
      <xdr:col>35</xdr:col>
      <xdr:colOff>83820</xdr:colOff>
      <xdr:row>30</xdr:row>
      <xdr:rowOff>167640</xdr:rowOff>
    </xdr:to>
    <xdr:sp macro="" textlink="">
      <xdr:nvSpPr>
        <xdr:cNvPr id="209" name="Arrow: Down 208">
          <a:extLst>
            <a:ext uri="{FF2B5EF4-FFF2-40B4-BE49-F238E27FC236}">
              <a16:creationId xmlns:a16="http://schemas.microsoft.com/office/drawing/2014/main" id="{E1310EBB-9CDC-4F98-9DFE-43054E7ED13C}"/>
            </a:ext>
          </a:extLst>
        </xdr:cNvPr>
        <xdr:cNvSpPr/>
      </xdr:nvSpPr>
      <xdr:spPr>
        <a:xfrm>
          <a:off x="8778240" y="5440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31</xdr:row>
      <xdr:rowOff>0</xdr:rowOff>
    </xdr:from>
    <xdr:to>
      <xdr:col>58</xdr:col>
      <xdr:colOff>160020</xdr:colOff>
      <xdr:row>31</xdr:row>
      <xdr:rowOff>167640</xdr:rowOff>
    </xdr:to>
    <xdr:sp macro="" textlink="">
      <xdr:nvSpPr>
        <xdr:cNvPr id="131" name="Minus Sign 130">
          <a:extLst>
            <a:ext uri="{FF2B5EF4-FFF2-40B4-BE49-F238E27FC236}">
              <a16:creationId xmlns:a16="http://schemas.microsoft.com/office/drawing/2014/main" id="{FEB166E2-4496-467D-9109-8790C65FC7CB}"/>
            </a:ext>
          </a:extLst>
        </xdr:cNvPr>
        <xdr:cNvSpPr/>
      </xdr:nvSpPr>
      <xdr:spPr>
        <a:xfrm>
          <a:off x="13205460" y="53873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31</xdr:row>
      <xdr:rowOff>30480</xdr:rowOff>
    </xdr:from>
    <xdr:to>
      <xdr:col>11</xdr:col>
      <xdr:colOff>91440</xdr:colOff>
      <xdr:row>31</xdr:row>
      <xdr:rowOff>144780</xdr:rowOff>
    </xdr:to>
    <xdr:sp macro="" textlink="">
      <xdr:nvSpPr>
        <xdr:cNvPr id="136" name="Arrow: Down 135">
          <a:extLst>
            <a:ext uri="{FF2B5EF4-FFF2-40B4-BE49-F238E27FC236}">
              <a16:creationId xmlns:a16="http://schemas.microsoft.com/office/drawing/2014/main" id="{62E17F5E-68D6-46F4-B687-E3A88B22CD2F}"/>
            </a:ext>
          </a:extLst>
        </xdr:cNvPr>
        <xdr:cNvSpPr/>
      </xdr:nvSpPr>
      <xdr:spPr>
        <a:xfrm>
          <a:off x="3855720" y="5417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29</xdr:row>
      <xdr:rowOff>0</xdr:rowOff>
    </xdr:from>
    <xdr:to>
      <xdr:col>29</xdr:col>
      <xdr:colOff>83820</xdr:colOff>
      <xdr:row>29</xdr:row>
      <xdr:rowOff>114300</xdr:rowOff>
    </xdr:to>
    <xdr:sp macro="" textlink="">
      <xdr:nvSpPr>
        <xdr:cNvPr id="169" name="Arrow: Down 168">
          <a:extLst>
            <a:ext uri="{FF2B5EF4-FFF2-40B4-BE49-F238E27FC236}">
              <a16:creationId xmlns:a16="http://schemas.microsoft.com/office/drawing/2014/main" id="{08C125A3-7E64-4183-8467-3479C7F68492}"/>
            </a:ext>
          </a:extLst>
        </xdr:cNvPr>
        <xdr:cNvSpPr/>
      </xdr:nvSpPr>
      <xdr:spPr>
        <a:xfrm flipH="1" flipV="1">
          <a:off x="7414260" y="5204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31</xdr:row>
      <xdr:rowOff>0</xdr:rowOff>
    </xdr:from>
    <xdr:to>
      <xdr:col>29</xdr:col>
      <xdr:colOff>83820</xdr:colOff>
      <xdr:row>31</xdr:row>
      <xdr:rowOff>114300</xdr:rowOff>
    </xdr:to>
    <xdr:sp macro="" textlink="">
      <xdr:nvSpPr>
        <xdr:cNvPr id="173" name="Arrow: Down 172">
          <a:extLst>
            <a:ext uri="{FF2B5EF4-FFF2-40B4-BE49-F238E27FC236}">
              <a16:creationId xmlns:a16="http://schemas.microsoft.com/office/drawing/2014/main" id="{283D51DB-5949-41CE-A3D2-DBBA10217AE8}"/>
            </a:ext>
          </a:extLst>
        </xdr:cNvPr>
        <xdr:cNvSpPr/>
      </xdr:nvSpPr>
      <xdr:spPr>
        <a:xfrm flipH="1" flipV="1">
          <a:off x="741426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31</xdr:row>
      <xdr:rowOff>0</xdr:rowOff>
    </xdr:from>
    <xdr:to>
      <xdr:col>35</xdr:col>
      <xdr:colOff>83820</xdr:colOff>
      <xdr:row>31</xdr:row>
      <xdr:rowOff>114300</xdr:rowOff>
    </xdr:to>
    <xdr:sp macro="" textlink="">
      <xdr:nvSpPr>
        <xdr:cNvPr id="177" name="Arrow: Down 176">
          <a:extLst>
            <a:ext uri="{FF2B5EF4-FFF2-40B4-BE49-F238E27FC236}">
              <a16:creationId xmlns:a16="http://schemas.microsoft.com/office/drawing/2014/main" id="{D42F89A4-0BF2-4FD4-AE37-1A97281D3E13}"/>
            </a:ext>
          </a:extLst>
        </xdr:cNvPr>
        <xdr:cNvSpPr/>
      </xdr:nvSpPr>
      <xdr:spPr>
        <a:xfrm rot="10800000">
          <a:off x="883920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31</xdr:row>
      <xdr:rowOff>0</xdr:rowOff>
    </xdr:from>
    <xdr:to>
      <xdr:col>5</xdr:col>
      <xdr:colOff>83820</xdr:colOff>
      <xdr:row>31</xdr:row>
      <xdr:rowOff>114300</xdr:rowOff>
    </xdr:to>
    <xdr:sp macro="" textlink="">
      <xdr:nvSpPr>
        <xdr:cNvPr id="180" name="Arrow: Down 179">
          <a:extLst>
            <a:ext uri="{FF2B5EF4-FFF2-40B4-BE49-F238E27FC236}">
              <a16:creationId xmlns:a16="http://schemas.microsoft.com/office/drawing/2014/main" id="{0045FA79-30D9-44C5-9392-8A0117DF52C8}"/>
            </a:ext>
          </a:extLst>
        </xdr:cNvPr>
        <xdr:cNvSpPr/>
      </xdr:nvSpPr>
      <xdr:spPr>
        <a:xfrm>
          <a:off x="218694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31</xdr:row>
      <xdr:rowOff>0</xdr:rowOff>
    </xdr:from>
    <xdr:to>
      <xdr:col>18</xdr:col>
      <xdr:colOff>83820</xdr:colOff>
      <xdr:row>31</xdr:row>
      <xdr:rowOff>114300</xdr:rowOff>
    </xdr:to>
    <xdr:sp macro="" textlink="">
      <xdr:nvSpPr>
        <xdr:cNvPr id="184" name="Arrow: Down 183">
          <a:extLst>
            <a:ext uri="{FF2B5EF4-FFF2-40B4-BE49-F238E27FC236}">
              <a16:creationId xmlns:a16="http://schemas.microsoft.com/office/drawing/2014/main" id="{9D42BA44-39AC-4163-98ED-C77D2FF4BB2A}"/>
            </a:ext>
          </a:extLst>
        </xdr:cNvPr>
        <xdr:cNvSpPr/>
      </xdr:nvSpPr>
      <xdr:spPr>
        <a:xfrm>
          <a:off x="483870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29</xdr:row>
      <xdr:rowOff>0</xdr:rowOff>
    </xdr:from>
    <xdr:to>
      <xdr:col>18</xdr:col>
      <xdr:colOff>83820</xdr:colOff>
      <xdr:row>29</xdr:row>
      <xdr:rowOff>114300</xdr:rowOff>
    </xdr:to>
    <xdr:sp macro="" textlink="">
      <xdr:nvSpPr>
        <xdr:cNvPr id="194" name="Arrow: Down 193">
          <a:extLst>
            <a:ext uri="{FF2B5EF4-FFF2-40B4-BE49-F238E27FC236}">
              <a16:creationId xmlns:a16="http://schemas.microsoft.com/office/drawing/2014/main" id="{71298247-DDC6-46EE-A766-125486407F56}"/>
            </a:ext>
          </a:extLst>
        </xdr:cNvPr>
        <xdr:cNvSpPr/>
      </xdr:nvSpPr>
      <xdr:spPr>
        <a:xfrm>
          <a:off x="4838700" y="5204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27</xdr:row>
      <xdr:rowOff>0</xdr:rowOff>
    </xdr:from>
    <xdr:to>
      <xdr:col>18</xdr:col>
      <xdr:colOff>83820</xdr:colOff>
      <xdr:row>27</xdr:row>
      <xdr:rowOff>114300</xdr:rowOff>
    </xdr:to>
    <xdr:sp macro="" textlink="">
      <xdr:nvSpPr>
        <xdr:cNvPr id="195" name="Arrow: Down 194">
          <a:extLst>
            <a:ext uri="{FF2B5EF4-FFF2-40B4-BE49-F238E27FC236}">
              <a16:creationId xmlns:a16="http://schemas.microsoft.com/office/drawing/2014/main" id="{797461CE-4183-454B-AE52-2B86F5305F18}"/>
            </a:ext>
          </a:extLst>
        </xdr:cNvPr>
        <xdr:cNvSpPr/>
      </xdr:nvSpPr>
      <xdr:spPr>
        <a:xfrm rot="10800000">
          <a:off x="4838700" y="4838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26</xdr:row>
      <xdr:rowOff>0</xdr:rowOff>
    </xdr:from>
    <xdr:to>
      <xdr:col>18</xdr:col>
      <xdr:colOff>83820</xdr:colOff>
      <xdr:row>26</xdr:row>
      <xdr:rowOff>114300</xdr:rowOff>
    </xdr:to>
    <xdr:sp macro="" textlink="">
      <xdr:nvSpPr>
        <xdr:cNvPr id="197" name="Arrow: Down 196">
          <a:extLst>
            <a:ext uri="{FF2B5EF4-FFF2-40B4-BE49-F238E27FC236}">
              <a16:creationId xmlns:a16="http://schemas.microsoft.com/office/drawing/2014/main" id="{07A2326D-23AD-446C-B211-0628D32D8F60}"/>
            </a:ext>
          </a:extLst>
        </xdr:cNvPr>
        <xdr:cNvSpPr/>
      </xdr:nvSpPr>
      <xdr:spPr>
        <a:xfrm rot="10800000">
          <a:off x="4838700" y="4655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30</xdr:row>
      <xdr:rowOff>0</xdr:rowOff>
    </xdr:from>
    <xdr:to>
      <xdr:col>18</xdr:col>
      <xdr:colOff>83820</xdr:colOff>
      <xdr:row>30</xdr:row>
      <xdr:rowOff>114300</xdr:rowOff>
    </xdr:to>
    <xdr:sp macro="" textlink="">
      <xdr:nvSpPr>
        <xdr:cNvPr id="198" name="Arrow: Down 197">
          <a:extLst>
            <a:ext uri="{FF2B5EF4-FFF2-40B4-BE49-F238E27FC236}">
              <a16:creationId xmlns:a16="http://schemas.microsoft.com/office/drawing/2014/main" id="{DC7452E3-A0A0-4A32-BF58-395CE8177BAA}"/>
            </a:ext>
          </a:extLst>
        </xdr:cNvPr>
        <xdr:cNvSpPr/>
      </xdr:nvSpPr>
      <xdr:spPr>
        <a:xfrm rot="10800000">
          <a:off x="4838700" y="5387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28</xdr:row>
      <xdr:rowOff>0</xdr:rowOff>
    </xdr:from>
    <xdr:to>
      <xdr:col>18</xdr:col>
      <xdr:colOff>83820</xdr:colOff>
      <xdr:row>28</xdr:row>
      <xdr:rowOff>114300</xdr:rowOff>
    </xdr:to>
    <xdr:sp macro="" textlink="">
      <xdr:nvSpPr>
        <xdr:cNvPr id="201" name="Arrow: Down 200">
          <a:extLst>
            <a:ext uri="{FF2B5EF4-FFF2-40B4-BE49-F238E27FC236}">
              <a16:creationId xmlns:a16="http://schemas.microsoft.com/office/drawing/2014/main" id="{664C8544-4B20-4BF9-89E9-79D911BC978F}"/>
            </a:ext>
          </a:extLst>
        </xdr:cNvPr>
        <xdr:cNvSpPr/>
      </xdr:nvSpPr>
      <xdr:spPr>
        <a:xfrm>
          <a:off x="4838700" y="5021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32</xdr:row>
      <xdr:rowOff>0</xdr:rowOff>
    </xdr:from>
    <xdr:to>
      <xdr:col>58</xdr:col>
      <xdr:colOff>160020</xdr:colOff>
      <xdr:row>32</xdr:row>
      <xdr:rowOff>167640</xdr:rowOff>
    </xdr:to>
    <xdr:sp macro="" textlink="">
      <xdr:nvSpPr>
        <xdr:cNvPr id="202" name="Minus Sign 201">
          <a:extLst>
            <a:ext uri="{FF2B5EF4-FFF2-40B4-BE49-F238E27FC236}">
              <a16:creationId xmlns:a16="http://schemas.microsoft.com/office/drawing/2014/main" id="{7736F988-78AD-4A65-8463-4219F2B1A60D}"/>
            </a:ext>
          </a:extLst>
        </xdr:cNvPr>
        <xdr:cNvSpPr/>
      </xdr:nvSpPr>
      <xdr:spPr>
        <a:xfrm>
          <a:off x="13235940" y="55702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32</xdr:row>
      <xdr:rowOff>30480</xdr:rowOff>
    </xdr:from>
    <xdr:to>
      <xdr:col>11</xdr:col>
      <xdr:colOff>91440</xdr:colOff>
      <xdr:row>32</xdr:row>
      <xdr:rowOff>144780</xdr:rowOff>
    </xdr:to>
    <xdr:sp macro="" textlink="">
      <xdr:nvSpPr>
        <xdr:cNvPr id="203" name="Arrow: Down 202">
          <a:extLst>
            <a:ext uri="{FF2B5EF4-FFF2-40B4-BE49-F238E27FC236}">
              <a16:creationId xmlns:a16="http://schemas.microsoft.com/office/drawing/2014/main" id="{66260BC3-46AF-4438-BB62-C1FEC6707476}"/>
            </a:ext>
          </a:extLst>
        </xdr:cNvPr>
        <xdr:cNvSpPr/>
      </xdr:nvSpPr>
      <xdr:spPr>
        <a:xfrm>
          <a:off x="3855720" y="5600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32</xdr:row>
      <xdr:rowOff>0</xdr:rowOff>
    </xdr:from>
    <xdr:to>
      <xdr:col>5</xdr:col>
      <xdr:colOff>83820</xdr:colOff>
      <xdr:row>32</xdr:row>
      <xdr:rowOff>114300</xdr:rowOff>
    </xdr:to>
    <xdr:sp macro="" textlink="">
      <xdr:nvSpPr>
        <xdr:cNvPr id="218" name="Arrow: Down 217">
          <a:extLst>
            <a:ext uri="{FF2B5EF4-FFF2-40B4-BE49-F238E27FC236}">
              <a16:creationId xmlns:a16="http://schemas.microsoft.com/office/drawing/2014/main" id="{B10E4104-469C-4684-91B5-F8A41C4CFC8D}"/>
            </a:ext>
          </a:extLst>
        </xdr:cNvPr>
        <xdr:cNvSpPr/>
      </xdr:nvSpPr>
      <xdr:spPr>
        <a:xfrm>
          <a:off x="218694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32</xdr:row>
      <xdr:rowOff>0</xdr:rowOff>
    </xdr:from>
    <xdr:to>
      <xdr:col>18</xdr:col>
      <xdr:colOff>83820</xdr:colOff>
      <xdr:row>32</xdr:row>
      <xdr:rowOff>114300</xdr:rowOff>
    </xdr:to>
    <xdr:sp macro="" textlink="">
      <xdr:nvSpPr>
        <xdr:cNvPr id="219" name="Arrow: Down 218">
          <a:extLst>
            <a:ext uri="{FF2B5EF4-FFF2-40B4-BE49-F238E27FC236}">
              <a16:creationId xmlns:a16="http://schemas.microsoft.com/office/drawing/2014/main" id="{FF0657ED-43F0-4202-984B-8D26AEBCA84A}"/>
            </a:ext>
          </a:extLst>
        </xdr:cNvPr>
        <xdr:cNvSpPr/>
      </xdr:nvSpPr>
      <xdr:spPr>
        <a:xfrm>
          <a:off x="483870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32</xdr:row>
      <xdr:rowOff>0</xdr:rowOff>
    </xdr:from>
    <xdr:to>
      <xdr:col>29</xdr:col>
      <xdr:colOff>83820</xdr:colOff>
      <xdr:row>32</xdr:row>
      <xdr:rowOff>114300</xdr:rowOff>
    </xdr:to>
    <xdr:sp macro="" textlink="">
      <xdr:nvSpPr>
        <xdr:cNvPr id="220" name="Arrow: Down 219">
          <a:extLst>
            <a:ext uri="{FF2B5EF4-FFF2-40B4-BE49-F238E27FC236}">
              <a16:creationId xmlns:a16="http://schemas.microsoft.com/office/drawing/2014/main" id="{103A9476-0E9D-404D-A0F4-613157B4F4D0}"/>
            </a:ext>
          </a:extLst>
        </xdr:cNvPr>
        <xdr:cNvSpPr/>
      </xdr:nvSpPr>
      <xdr:spPr>
        <a:xfrm>
          <a:off x="7444740" y="57531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32</xdr:row>
      <xdr:rowOff>0</xdr:rowOff>
    </xdr:from>
    <xdr:to>
      <xdr:col>35</xdr:col>
      <xdr:colOff>83820</xdr:colOff>
      <xdr:row>32</xdr:row>
      <xdr:rowOff>114300</xdr:rowOff>
    </xdr:to>
    <xdr:sp macro="" textlink="">
      <xdr:nvSpPr>
        <xdr:cNvPr id="222" name="Arrow: Down 221">
          <a:extLst>
            <a:ext uri="{FF2B5EF4-FFF2-40B4-BE49-F238E27FC236}">
              <a16:creationId xmlns:a16="http://schemas.microsoft.com/office/drawing/2014/main" id="{AF1B6C6A-42E5-4680-B6DD-ADCD6B7DD9F3}"/>
            </a:ext>
          </a:extLst>
        </xdr:cNvPr>
        <xdr:cNvSpPr/>
      </xdr:nvSpPr>
      <xdr:spPr>
        <a:xfrm rot="10800000">
          <a:off x="886968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33</xdr:row>
      <xdr:rowOff>0</xdr:rowOff>
    </xdr:from>
    <xdr:to>
      <xdr:col>58</xdr:col>
      <xdr:colOff>160020</xdr:colOff>
      <xdr:row>33</xdr:row>
      <xdr:rowOff>167640</xdr:rowOff>
    </xdr:to>
    <xdr:sp macro="" textlink="">
      <xdr:nvSpPr>
        <xdr:cNvPr id="225" name="Minus Sign 224">
          <a:extLst>
            <a:ext uri="{FF2B5EF4-FFF2-40B4-BE49-F238E27FC236}">
              <a16:creationId xmlns:a16="http://schemas.microsoft.com/office/drawing/2014/main" id="{462306C8-06FB-4617-87D0-A4B4A9D6090F}"/>
            </a:ext>
          </a:extLst>
        </xdr:cNvPr>
        <xdr:cNvSpPr/>
      </xdr:nvSpPr>
      <xdr:spPr>
        <a:xfrm>
          <a:off x="13335000" y="57531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33</xdr:row>
      <xdr:rowOff>30480</xdr:rowOff>
    </xdr:from>
    <xdr:to>
      <xdr:col>11</xdr:col>
      <xdr:colOff>91440</xdr:colOff>
      <xdr:row>33</xdr:row>
      <xdr:rowOff>144780</xdr:rowOff>
    </xdr:to>
    <xdr:sp macro="" textlink="">
      <xdr:nvSpPr>
        <xdr:cNvPr id="226" name="Arrow: Down 225">
          <a:extLst>
            <a:ext uri="{FF2B5EF4-FFF2-40B4-BE49-F238E27FC236}">
              <a16:creationId xmlns:a16="http://schemas.microsoft.com/office/drawing/2014/main" id="{308EBA59-28D3-46C0-81FE-C6353521FCF3}"/>
            </a:ext>
          </a:extLst>
        </xdr:cNvPr>
        <xdr:cNvSpPr/>
      </xdr:nvSpPr>
      <xdr:spPr>
        <a:xfrm>
          <a:off x="3855720" y="5783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33</xdr:row>
      <xdr:rowOff>0</xdr:rowOff>
    </xdr:from>
    <xdr:to>
      <xdr:col>35</xdr:col>
      <xdr:colOff>83820</xdr:colOff>
      <xdr:row>33</xdr:row>
      <xdr:rowOff>114300</xdr:rowOff>
    </xdr:to>
    <xdr:sp macro="" textlink="">
      <xdr:nvSpPr>
        <xdr:cNvPr id="230" name="Arrow: Down 229">
          <a:extLst>
            <a:ext uri="{FF2B5EF4-FFF2-40B4-BE49-F238E27FC236}">
              <a16:creationId xmlns:a16="http://schemas.microsoft.com/office/drawing/2014/main" id="{3FD2DDE0-8035-40AE-ADC6-B7C3874C6FB8}"/>
            </a:ext>
          </a:extLst>
        </xdr:cNvPr>
        <xdr:cNvSpPr/>
      </xdr:nvSpPr>
      <xdr:spPr>
        <a:xfrm rot="10800000">
          <a:off x="886968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33</xdr:row>
      <xdr:rowOff>0</xdr:rowOff>
    </xdr:from>
    <xdr:to>
      <xdr:col>29</xdr:col>
      <xdr:colOff>83820</xdr:colOff>
      <xdr:row>33</xdr:row>
      <xdr:rowOff>114300</xdr:rowOff>
    </xdr:to>
    <xdr:sp macro="" textlink="">
      <xdr:nvSpPr>
        <xdr:cNvPr id="232" name="Arrow: Down 231">
          <a:extLst>
            <a:ext uri="{FF2B5EF4-FFF2-40B4-BE49-F238E27FC236}">
              <a16:creationId xmlns:a16="http://schemas.microsoft.com/office/drawing/2014/main" id="{817EBEF8-6854-4B78-9139-AC792EA0316F}"/>
            </a:ext>
          </a:extLst>
        </xdr:cNvPr>
        <xdr:cNvSpPr/>
      </xdr:nvSpPr>
      <xdr:spPr>
        <a:xfrm rot="10800000">
          <a:off x="744474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33</xdr:row>
      <xdr:rowOff>0</xdr:rowOff>
    </xdr:from>
    <xdr:to>
      <xdr:col>5</xdr:col>
      <xdr:colOff>83820</xdr:colOff>
      <xdr:row>33</xdr:row>
      <xdr:rowOff>114300</xdr:rowOff>
    </xdr:to>
    <xdr:sp macro="" textlink="">
      <xdr:nvSpPr>
        <xdr:cNvPr id="233" name="Arrow: Down 232">
          <a:extLst>
            <a:ext uri="{FF2B5EF4-FFF2-40B4-BE49-F238E27FC236}">
              <a16:creationId xmlns:a16="http://schemas.microsoft.com/office/drawing/2014/main" id="{048DDE2C-099B-46FB-AB04-C1B6647FA133}"/>
            </a:ext>
          </a:extLst>
        </xdr:cNvPr>
        <xdr:cNvSpPr/>
      </xdr:nvSpPr>
      <xdr:spPr>
        <a:xfrm>
          <a:off x="218694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33</xdr:row>
      <xdr:rowOff>0</xdr:rowOff>
    </xdr:from>
    <xdr:to>
      <xdr:col>18</xdr:col>
      <xdr:colOff>83820</xdr:colOff>
      <xdr:row>33</xdr:row>
      <xdr:rowOff>114300</xdr:rowOff>
    </xdr:to>
    <xdr:sp macro="" textlink="">
      <xdr:nvSpPr>
        <xdr:cNvPr id="234" name="Arrow: Down 233">
          <a:extLst>
            <a:ext uri="{FF2B5EF4-FFF2-40B4-BE49-F238E27FC236}">
              <a16:creationId xmlns:a16="http://schemas.microsoft.com/office/drawing/2014/main" id="{7186EF3C-3DCE-47B3-8E75-2D937DD7C951}"/>
            </a:ext>
          </a:extLst>
        </xdr:cNvPr>
        <xdr:cNvSpPr/>
      </xdr:nvSpPr>
      <xdr:spPr>
        <a:xfrm rot="10800000">
          <a:off x="4838700" y="5935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34</xdr:row>
      <xdr:rowOff>0</xdr:rowOff>
    </xdr:from>
    <xdr:to>
      <xdr:col>58</xdr:col>
      <xdr:colOff>160020</xdr:colOff>
      <xdr:row>34</xdr:row>
      <xdr:rowOff>167640</xdr:rowOff>
    </xdr:to>
    <xdr:sp macro="" textlink="">
      <xdr:nvSpPr>
        <xdr:cNvPr id="148" name="Minus Sign 147">
          <a:extLst>
            <a:ext uri="{FF2B5EF4-FFF2-40B4-BE49-F238E27FC236}">
              <a16:creationId xmlns:a16="http://schemas.microsoft.com/office/drawing/2014/main" id="{74FEDDBB-C5D1-4718-B048-6DEB9A639200}"/>
            </a:ext>
          </a:extLst>
        </xdr:cNvPr>
        <xdr:cNvSpPr/>
      </xdr:nvSpPr>
      <xdr:spPr>
        <a:xfrm>
          <a:off x="13335000" y="59359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35</xdr:col>
      <xdr:colOff>0</xdr:colOff>
      <xdr:row>34</xdr:row>
      <xdr:rowOff>0</xdr:rowOff>
    </xdr:from>
    <xdr:to>
      <xdr:col>35</xdr:col>
      <xdr:colOff>83820</xdr:colOff>
      <xdr:row>34</xdr:row>
      <xdr:rowOff>114300</xdr:rowOff>
    </xdr:to>
    <xdr:sp macro="" textlink="">
      <xdr:nvSpPr>
        <xdr:cNvPr id="156" name="Arrow: Down 155">
          <a:extLst>
            <a:ext uri="{FF2B5EF4-FFF2-40B4-BE49-F238E27FC236}">
              <a16:creationId xmlns:a16="http://schemas.microsoft.com/office/drawing/2014/main" id="{E4264FCF-EE0A-4D11-A94F-E320727FDCED}"/>
            </a:ext>
          </a:extLst>
        </xdr:cNvPr>
        <xdr:cNvSpPr/>
      </xdr:nvSpPr>
      <xdr:spPr>
        <a:xfrm rot="10800000">
          <a:off x="886968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34</xdr:row>
      <xdr:rowOff>0</xdr:rowOff>
    </xdr:from>
    <xdr:to>
      <xdr:col>18</xdr:col>
      <xdr:colOff>83820</xdr:colOff>
      <xdr:row>34</xdr:row>
      <xdr:rowOff>114300</xdr:rowOff>
    </xdr:to>
    <xdr:sp macro="" textlink="">
      <xdr:nvSpPr>
        <xdr:cNvPr id="183" name="Arrow: Down 182">
          <a:extLst>
            <a:ext uri="{FF2B5EF4-FFF2-40B4-BE49-F238E27FC236}">
              <a16:creationId xmlns:a16="http://schemas.microsoft.com/office/drawing/2014/main" id="{2FDD57D6-3743-45F8-B796-8C856F981E05}"/>
            </a:ext>
          </a:extLst>
        </xdr:cNvPr>
        <xdr:cNvSpPr/>
      </xdr:nvSpPr>
      <xdr:spPr>
        <a:xfrm rot="10800000">
          <a:off x="4838700" y="6118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34</xdr:row>
      <xdr:rowOff>0</xdr:rowOff>
    </xdr:from>
    <xdr:to>
      <xdr:col>29</xdr:col>
      <xdr:colOff>83820</xdr:colOff>
      <xdr:row>34</xdr:row>
      <xdr:rowOff>114300</xdr:rowOff>
    </xdr:to>
    <xdr:sp macro="" textlink="">
      <xdr:nvSpPr>
        <xdr:cNvPr id="188" name="Arrow: Down 187">
          <a:extLst>
            <a:ext uri="{FF2B5EF4-FFF2-40B4-BE49-F238E27FC236}">
              <a16:creationId xmlns:a16="http://schemas.microsoft.com/office/drawing/2014/main" id="{6D1C2CFA-568D-4D74-86C4-D87679015F9B}"/>
            </a:ext>
          </a:extLst>
        </xdr:cNvPr>
        <xdr:cNvSpPr/>
      </xdr:nvSpPr>
      <xdr:spPr>
        <a:xfrm>
          <a:off x="7444740" y="6118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35</xdr:row>
      <xdr:rowOff>0</xdr:rowOff>
    </xdr:from>
    <xdr:to>
      <xdr:col>58</xdr:col>
      <xdr:colOff>160020</xdr:colOff>
      <xdr:row>35</xdr:row>
      <xdr:rowOff>167640</xdr:rowOff>
    </xdr:to>
    <xdr:sp macro="" textlink="">
      <xdr:nvSpPr>
        <xdr:cNvPr id="196" name="Minus Sign 195">
          <a:extLst>
            <a:ext uri="{FF2B5EF4-FFF2-40B4-BE49-F238E27FC236}">
              <a16:creationId xmlns:a16="http://schemas.microsoft.com/office/drawing/2014/main" id="{6E1EAD94-730E-4535-B37E-168D07C32B77}"/>
            </a:ext>
          </a:extLst>
        </xdr:cNvPr>
        <xdr:cNvSpPr/>
      </xdr:nvSpPr>
      <xdr:spPr>
        <a:xfrm>
          <a:off x="13335000" y="61188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35</xdr:col>
      <xdr:colOff>0</xdr:colOff>
      <xdr:row>35</xdr:row>
      <xdr:rowOff>0</xdr:rowOff>
    </xdr:from>
    <xdr:to>
      <xdr:col>35</xdr:col>
      <xdr:colOff>83820</xdr:colOff>
      <xdr:row>35</xdr:row>
      <xdr:rowOff>114300</xdr:rowOff>
    </xdr:to>
    <xdr:sp macro="" textlink="">
      <xdr:nvSpPr>
        <xdr:cNvPr id="216" name="Arrow: Down 215">
          <a:extLst>
            <a:ext uri="{FF2B5EF4-FFF2-40B4-BE49-F238E27FC236}">
              <a16:creationId xmlns:a16="http://schemas.microsoft.com/office/drawing/2014/main" id="{2F8BF9A5-68BD-4718-97B7-FB496D36B39B}"/>
            </a:ext>
          </a:extLst>
        </xdr:cNvPr>
        <xdr:cNvSpPr/>
      </xdr:nvSpPr>
      <xdr:spPr>
        <a:xfrm rot="10800000">
          <a:off x="8869680" y="6301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35</xdr:row>
      <xdr:rowOff>0</xdr:rowOff>
    </xdr:from>
    <xdr:to>
      <xdr:col>29</xdr:col>
      <xdr:colOff>83820</xdr:colOff>
      <xdr:row>35</xdr:row>
      <xdr:rowOff>114300</xdr:rowOff>
    </xdr:to>
    <xdr:sp macro="" textlink="">
      <xdr:nvSpPr>
        <xdr:cNvPr id="223" name="Arrow: Down 222">
          <a:extLst>
            <a:ext uri="{FF2B5EF4-FFF2-40B4-BE49-F238E27FC236}">
              <a16:creationId xmlns:a16="http://schemas.microsoft.com/office/drawing/2014/main" id="{16A76103-0320-4F6C-A314-EB10AF500308}"/>
            </a:ext>
          </a:extLst>
        </xdr:cNvPr>
        <xdr:cNvSpPr/>
      </xdr:nvSpPr>
      <xdr:spPr>
        <a:xfrm rot="10800000">
          <a:off x="7444740" y="6301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35</xdr:row>
      <xdr:rowOff>0</xdr:rowOff>
    </xdr:from>
    <xdr:to>
      <xdr:col>5</xdr:col>
      <xdr:colOff>83820</xdr:colOff>
      <xdr:row>35</xdr:row>
      <xdr:rowOff>114300</xdr:rowOff>
    </xdr:to>
    <xdr:sp macro="" textlink="">
      <xdr:nvSpPr>
        <xdr:cNvPr id="228" name="Arrow: Down 227">
          <a:extLst>
            <a:ext uri="{FF2B5EF4-FFF2-40B4-BE49-F238E27FC236}">
              <a16:creationId xmlns:a16="http://schemas.microsoft.com/office/drawing/2014/main" id="{C4FAD18E-240C-430D-971E-1F93A0625D84}"/>
            </a:ext>
          </a:extLst>
        </xdr:cNvPr>
        <xdr:cNvSpPr/>
      </xdr:nvSpPr>
      <xdr:spPr>
        <a:xfrm rot="10800000">
          <a:off x="2186940" y="6301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35</xdr:row>
      <xdr:rowOff>0</xdr:rowOff>
    </xdr:from>
    <xdr:to>
      <xdr:col>11</xdr:col>
      <xdr:colOff>83820</xdr:colOff>
      <xdr:row>35</xdr:row>
      <xdr:rowOff>114300</xdr:rowOff>
    </xdr:to>
    <xdr:sp macro="" textlink="">
      <xdr:nvSpPr>
        <xdr:cNvPr id="235" name="Arrow: Down 234">
          <a:extLst>
            <a:ext uri="{FF2B5EF4-FFF2-40B4-BE49-F238E27FC236}">
              <a16:creationId xmlns:a16="http://schemas.microsoft.com/office/drawing/2014/main" id="{341B6C2C-0994-4F91-A172-2BD088FEBBB6}"/>
            </a:ext>
          </a:extLst>
        </xdr:cNvPr>
        <xdr:cNvSpPr/>
      </xdr:nvSpPr>
      <xdr:spPr>
        <a:xfrm rot="10800000">
          <a:off x="3848100" y="6301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35</xdr:row>
      <xdr:rowOff>0</xdr:rowOff>
    </xdr:from>
    <xdr:to>
      <xdr:col>18</xdr:col>
      <xdr:colOff>83820</xdr:colOff>
      <xdr:row>35</xdr:row>
      <xdr:rowOff>114300</xdr:rowOff>
    </xdr:to>
    <xdr:sp macro="" textlink="">
      <xdr:nvSpPr>
        <xdr:cNvPr id="237" name="Arrow: Down 236">
          <a:extLst>
            <a:ext uri="{FF2B5EF4-FFF2-40B4-BE49-F238E27FC236}">
              <a16:creationId xmlns:a16="http://schemas.microsoft.com/office/drawing/2014/main" id="{8C65FADD-9FA0-4E8C-B8A0-7913AB3C3007}"/>
            </a:ext>
          </a:extLst>
        </xdr:cNvPr>
        <xdr:cNvSpPr/>
      </xdr:nvSpPr>
      <xdr:spPr>
        <a:xfrm rot="10800000">
          <a:off x="4838700" y="6301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36</xdr:row>
      <xdr:rowOff>0</xdr:rowOff>
    </xdr:from>
    <xdr:to>
      <xdr:col>58</xdr:col>
      <xdr:colOff>160020</xdr:colOff>
      <xdr:row>36</xdr:row>
      <xdr:rowOff>167640</xdr:rowOff>
    </xdr:to>
    <xdr:sp macro="" textlink="">
      <xdr:nvSpPr>
        <xdr:cNvPr id="240" name="Minus Sign 239">
          <a:extLst>
            <a:ext uri="{FF2B5EF4-FFF2-40B4-BE49-F238E27FC236}">
              <a16:creationId xmlns:a16="http://schemas.microsoft.com/office/drawing/2014/main" id="{417DDB4D-8DC2-428F-AF27-303088DFAAC2}"/>
            </a:ext>
          </a:extLst>
        </xdr:cNvPr>
        <xdr:cNvSpPr/>
      </xdr:nvSpPr>
      <xdr:spPr>
        <a:xfrm>
          <a:off x="13335000" y="63017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35</xdr:col>
      <xdr:colOff>0</xdr:colOff>
      <xdr:row>36</xdr:row>
      <xdr:rowOff>0</xdr:rowOff>
    </xdr:from>
    <xdr:to>
      <xdr:col>35</xdr:col>
      <xdr:colOff>83820</xdr:colOff>
      <xdr:row>36</xdr:row>
      <xdr:rowOff>114300</xdr:rowOff>
    </xdr:to>
    <xdr:sp macro="" textlink="">
      <xdr:nvSpPr>
        <xdr:cNvPr id="241" name="Arrow: Down 240">
          <a:extLst>
            <a:ext uri="{FF2B5EF4-FFF2-40B4-BE49-F238E27FC236}">
              <a16:creationId xmlns:a16="http://schemas.microsoft.com/office/drawing/2014/main" id="{DEE90412-35CE-4E23-B05F-4D66A6CC24EF}"/>
            </a:ext>
          </a:extLst>
        </xdr:cNvPr>
        <xdr:cNvSpPr/>
      </xdr:nvSpPr>
      <xdr:spPr>
        <a:xfrm rot="10800000">
          <a:off x="8869680" y="6301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36</xdr:row>
      <xdr:rowOff>0</xdr:rowOff>
    </xdr:from>
    <xdr:to>
      <xdr:col>5</xdr:col>
      <xdr:colOff>83820</xdr:colOff>
      <xdr:row>36</xdr:row>
      <xdr:rowOff>114300</xdr:rowOff>
    </xdr:to>
    <xdr:sp macro="" textlink="">
      <xdr:nvSpPr>
        <xdr:cNvPr id="175" name="Arrow: Down 174">
          <a:extLst>
            <a:ext uri="{FF2B5EF4-FFF2-40B4-BE49-F238E27FC236}">
              <a16:creationId xmlns:a16="http://schemas.microsoft.com/office/drawing/2014/main" id="{18EBDCD8-5856-497F-A90E-F925A0217F86}"/>
            </a:ext>
          </a:extLst>
        </xdr:cNvPr>
        <xdr:cNvSpPr/>
      </xdr:nvSpPr>
      <xdr:spPr>
        <a:xfrm>
          <a:off x="2186940" y="6484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36</xdr:row>
      <xdr:rowOff>0</xdr:rowOff>
    </xdr:from>
    <xdr:to>
      <xdr:col>11</xdr:col>
      <xdr:colOff>83820</xdr:colOff>
      <xdr:row>36</xdr:row>
      <xdr:rowOff>114300</xdr:rowOff>
    </xdr:to>
    <xdr:sp macro="" textlink="">
      <xdr:nvSpPr>
        <xdr:cNvPr id="179" name="Arrow: Down 178">
          <a:extLst>
            <a:ext uri="{FF2B5EF4-FFF2-40B4-BE49-F238E27FC236}">
              <a16:creationId xmlns:a16="http://schemas.microsoft.com/office/drawing/2014/main" id="{B19046F8-9BBF-41CC-A9B1-4C1F13505643}"/>
            </a:ext>
          </a:extLst>
        </xdr:cNvPr>
        <xdr:cNvSpPr/>
      </xdr:nvSpPr>
      <xdr:spPr>
        <a:xfrm>
          <a:off x="3848100" y="6484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36</xdr:row>
      <xdr:rowOff>0</xdr:rowOff>
    </xdr:from>
    <xdr:to>
      <xdr:col>18</xdr:col>
      <xdr:colOff>83820</xdr:colOff>
      <xdr:row>36</xdr:row>
      <xdr:rowOff>114300</xdr:rowOff>
    </xdr:to>
    <xdr:sp macro="" textlink="">
      <xdr:nvSpPr>
        <xdr:cNvPr id="182" name="Arrow: Down 181">
          <a:extLst>
            <a:ext uri="{FF2B5EF4-FFF2-40B4-BE49-F238E27FC236}">
              <a16:creationId xmlns:a16="http://schemas.microsoft.com/office/drawing/2014/main" id="{A072564E-D2B6-4BD7-8994-175B951F2C83}"/>
            </a:ext>
          </a:extLst>
        </xdr:cNvPr>
        <xdr:cNvSpPr/>
      </xdr:nvSpPr>
      <xdr:spPr>
        <a:xfrm>
          <a:off x="4838700" y="6484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36</xdr:row>
      <xdr:rowOff>0</xdr:rowOff>
    </xdr:from>
    <xdr:to>
      <xdr:col>29</xdr:col>
      <xdr:colOff>83820</xdr:colOff>
      <xdr:row>36</xdr:row>
      <xdr:rowOff>114300</xdr:rowOff>
    </xdr:to>
    <xdr:sp macro="" textlink="">
      <xdr:nvSpPr>
        <xdr:cNvPr id="206" name="Arrow: Down 205">
          <a:extLst>
            <a:ext uri="{FF2B5EF4-FFF2-40B4-BE49-F238E27FC236}">
              <a16:creationId xmlns:a16="http://schemas.microsoft.com/office/drawing/2014/main" id="{79AD4D23-EEEF-4C35-B42C-EF7E846720F0}"/>
            </a:ext>
          </a:extLst>
        </xdr:cNvPr>
        <xdr:cNvSpPr/>
      </xdr:nvSpPr>
      <xdr:spPr>
        <a:xfrm>
          <a:off x="7444740" y="6484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34</xdr:row>
      <xdr:rowOff>0</xdr:rowOff>
    </xdr:from>
    <xdr:to>
      <xdr:col>11</xdr:col>
      <xdr:colOff>160020</xdr:colOff>
      <xdr:row>34</xdr:row>
      <xdr:rowOff>167640</xdr:rowOff>
    </xdr:to>
    <xdr:sp macro="" textlink="">
      <xdr:nvSpPr>
        <xdr:cNvPr id="208" name="Minus Sign 207">
          <a:extLst>
            <a:ext uri="{FF2B5EF4-FFF2-40B4-BE49-F238E27FC236}">
              <a16:creationId xmlns:a16="http://schemas.microsoft.com/office/drawing/2014/main" id="{975D6041-5E0C-4913-A9E8-7CC7B341E1F0}"/>
            </a:ext>
          </a:extLst>
        </xdr:cNvPr>
        <xdr:cNvSpPr/>
      </xdr:nvSpPr>
      <xdr:spPr>
        <a:xfrm>
          <a:off x="3848100" y="61188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34</xdr:row>
      <xdr:rowOff>0</xdr:rowOff>
    </xdr:from>
    <xdr:to>
      <xdr:col>6</xdr:col>
      <xdr:colOff>7620</xdr:colOff>
      <xdr:row>34</xdr:row>
      <xdr:rowOff>167640</xdr:rowOff>
    </xdr:to>
    <xdr:sp macro="" textlink="">
      <xdr:nvSpPr>
        <xdr:cNvPr id="211" name="Minus Sign 210">
          <a:extLst>
            <a:ext uri="{FF2B5EF4-FFF2-40B4-BE49-F238E27FC236}">
              <a16:creationId xmlns:a16="http://schemas.microsoft.com/office/drawing/2014/main" id="{B9A0BF3B-9692-4FCD-BAD4-7E8864136B1A}"/>
            </a:ext>
          </a:extLst>
        </xdr:cNvPr>
        <xdr:cNvSpPr/>
      </xdr:nvSpPr>
      <xdr:spPr>
        <a:xfrm>
          <a:off x="2186940" y="61188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58</xdr:col>
      <xdr:colOff>0</xdr:colOff>
      <xdr:row>37</xdr:row>
      <xdr:rowOff>0</xdr:rowOff>
    </xdr:from>
    <xdr:to>
      <xdr:col>58</xdr:col>
      <xdr:colOff>160020</xdr:colOff>
      <xdr:row>37</xdr:row>
      <xdr:rowOff>167640</xdr:rowOff>
    </xdr:to>
    <xdr:sp macro="" textlink="">
      <xdr:nvSpPr>
        <xdr:cNvPr id="171" name="Minus Sign 170">
          <a:extLst>
            <a:ext uri="{FF2B5EF4-FFF2-40B4-BE49-F238E27FC236}">
              <a16:creationId xmlns:a16="http://schemas.microsoft.com/office/drawing/2014/main" id="{BAD6A5B0-E279-4DDB-8F24-773D5565E9E0}"/>
            </a:ext>
          </a:extLst>
        </xdr:cNvPr>
        <xdr:cNvSpPr/>
      </xdr:nvSpPr>
      <xdr:spPr>
        <a:xfrm>
          <a:off x="13335000" y="64846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18</xdr:col>
      <xdr:colOff>0</xdr:colOff>
      <xdr:row>37</xdr:row>
      <xdr:rowOff>0</xdr:rowOff>
    </xdr:from>
    <xdr:to>
      <xdr:col>18</xdr:col>
      <xdr:colOff>83820</xdr:colOff>
      <xdr:row>37</xdr:row>
      <xdr:rowOff>114300</xdr:rowOff>
    </xdr:to>
    <xdr:sp macro="" textlink="">
      <xdr:nvSpPr>
        <xdr:cNvPr id="214" name="Arrow: Down 213">
          <a:extLst>
            <a:ext uri="{FF2B5EF4-FFF2-40B4-BE49-F238E27FC236}">
              <a16:creationId xmlns:a16="http://schemas.microsoft.com/office/drawing/2014/main" id="{8FCA606F-A1C7-41A0-B16A-F1772AEF1565}"/>
            </a:ext>
          </a:extLst>
        </xdr:cNvPr>
        <xdr:cNvSpPr/>
      </xdr:nvSpPr>
      <xdr:spPr>
        <a:xfrm rot="10800000">
          <a:off x="489966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37</xdr:row>
      <xdr:rowOff>0</xdr:rowOff>
    </xdr:from>
    <xdr:to>
      <xdr:col>5</xdr:col>
      <xdr:colOff>83820</xdr:colOff>
      <xdr:row>37</xdr:row>
      <xdr:rowOff>114300</xdr:rowOff>
    </xdr:to>
    <xdr:sp macro="" textlink="">
      <xdr:nvSpPr>
        <xdr:cNvPr id="227" name="Arrow: Down 226">
          <a:extLst>
            <a:ext uri="{FF2B5EF4-FFF2-40B4-BE49-F238E27FC236}">
              <a16:creationId xmlns:a16="http://schemas.microsoft.com/office/drawing/2014/main" id="{8419937E-9849-4684-B6C6-013759D4E94C}"/>
            </a:ext>
          </a:extLst>
        </xdr:cNvPr>
        <xdr:cNvSpPr/>
      </xdr:nvSpPr>
      <xdr:spPr>
        <a:xfrm rot="10800000">
          <a:off x="224790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37</xdr:row>
      <xdr:rowOff>0</xdr:rowOff>
    </xdr:from>
    <xdr:to>
      <xdr:col>11</xdr:col>
      <xdr:colOff>83820</xdr:colOff>
      <xdr:row>37</xdr:row>
      <xdr:rowOff>114300</xdr:rowOff>
    </xdr:to>
    <xdr:sp macro="" textlink="">
      <xdr:nvSpPr>
        <xdr:cNvPr id="193" name="Arrow: Down 192">
          <a:extLst>
            <a:ext uri="{FF2B5EF4-FFF2-40B4-BE49-F238E27FC236}">
              <a16:creationId xmlns:a16="http://schemas.microsoft.com/office/drawing/2014/main" id="{0D15C824-7193-46CB-82CF-0C2F0C896DAE}"/>
            </a:ext>
          </a:extLst>
        </xdr:cNvPr>
        <xdr:cNvSpPr/>
      </xdr:nvSpPr>
      <xdr:spPr>
        <a:xfrm rot="10800000">
          <a:off x="390906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37</xdr:row>
      <xdr:rowOff>0</xdr:rowOff>
    </xdr:from>
    <xdr:to>
      <xdr:col>29</xdr:col>
      <xdr:colOff>83820</xdr:colOff>
      <xdr:row>37</xdr:row>
      <xdr:rowOff>114300</xdr:rowOff>
    </xdr:to>
    <xdr:sp macro="" textlink="">
      <xdr:nvSpPr>
        <xdr:cNvPr id="212" name="Arrow: Down 211">
          <a:extLst>
            <a:ext uri="{FF2B5EF4-FFF2-40B4-BE49-F238E27FC236}">
              <a16:creationId xmlns:a16="http://schemas.microsoft.com/office/drawing/2014/main" id="{D6F8FBEE-FDA7-4DBF-A180-C1BDB505841D}"/>
            </a:ext>
          </a:extLst>
        </xdr:cNvPr>
        <xdr:cNvSpPr/>
      </xdr:nvSpPr>
      <xdr:spPr>
        <a:xfrm>
          <a:off x="750570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37</xdr:row>
      <xdr:rowOff>0</xdr:rowOff>
    </xdr:from>
    <xdr:to>
      <xdr:col>35</xdr:col>
      <xdr:colOff>83820</xdr:colOff>
      <xdr:row>37</xdr:row>
      <xdr:rowOff>114300</xdr:rowOff>
    </xdr:to>
    <xdr:sp macro="" textlink="">
      <xdr:nvSpPr>
        <xdr:cNvPr id="221" name="Arrow: Down 220">
          <a:extLst>
            <a:ext uri="{FF2B5EF4-FFF2-40B4-BE49-F238E27FC236}">
              <a16:creationId xmlns:a16="http://schemas.microsoft.com/office/drawing/2014/main" id="{7D1DCC3F-28B3-473B-8C84-CA8C297DA5E9}"/>
            </a:ext>
          </a:extLst>
        </xdr:cNvPr>
        <xdr:cNvSpPr/>
      </xdr:nvSpPr>
      <xdr:spPr>
        <a:xfrm>
          <a:off x="893064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38</xdr:row>
      <xdr:rowOff>0</xdr:rowOff>
    </xdr:from>
    <xdr:to>
      <xdr:col>58</xdr:col>
      <xdr:colOff>160020</xdr:colOff>
      <xdr:row>38</xdr:row>
      <xdr:rowOff>167640</xdr:rowOff>
    </xdr:to>
    <xdr:sp macro="" textlink="">
      <xdr:nvSpPr>
        <xdr:cNvPr id="236" name="Minus Sign 235">
          <a:extLst>
            <a:ext uri="{FF2B5EF4-FFF2-40B4-BE49-F238E27FC236}">
              <a16:creationId xmlns:a16="http://schemas.microsoft.com/office/drawing/2014/main" id="{54D22347-1E67-45C4-93F6-E63DC10E2A69}"/>
            </a:ext>
          </a:extLst>
        </xdr:cNvPr>
        <xdr:cNvSpPr/>
      </xdr:nvSpPr>
      <xdr:spPr>
        <a:xfrm>
          <a:off x="13395960" y="66675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29</xdr:col>
      <xdr:colOff>0</xdr:colOff>
      <xdr:row>38</xdr:row>
      <xdr:rowOff>0</xdr:rowOff>
    </xdr:from>
    <xdr:to>
      <xdr:col>29</xdr:col>
      <xdr:colOff>83820</xdr:colOff>
      <xdr:row>38</xdr:row>
      <xdr:rowOff>114300</xdr:rowOff>
    </xdr:to>
    <xdr:sp macro="" textlink="">
      <xdr:nvSpPr>
        <xdr:cNvPr id="247" name="Arrow: Down 246">
          <a:extLst>
            <a:ext uri="{FF2B5EF4-FFF2-40B4-BE49-F238E27FC236}">
              <a16:creationId xmlns:a16="http://schemas.microsoft.com/office/drawing/2014/main" id="{B6EFC34A-6360-4591-841D-FD7E2E69D763}"/>
            </a:ext>
          </a:extLst>
        </xdr:cNvPr>
        <xdr:cNvSpPr/>
      </xdr:nvSpPr>
      <xdr:spPr>
        <a:xfrm rot="10800000">
          <a:off x="750570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38</xdr:row>
      <xdr:rowOff>0</xdr:rowOff>
    </xdr:from>
    <xdr:to>
      <xdr:col>35</xdr:col>
      <xdr:colOff>83820</xdr:colOff>
      <xdr:row>38</xdr:row>
      <xdr:rowOff>114300</xdr:rowOff>
    </xdr:to>
    <xdr:sp macro="" textlink="">
      <xdr:nvSpPr>
        <xdr:cNvPr id="249" name="Arrow: Down 248">
          <a:extLst>
            <a:ext uri="{FF2B5EF4-FFF2-40B4-BE49-F238E27FC236}">
              <a16:creationId xmlns:a16="http://schemas.microsoft.com/office/drawing/2014/main" id="{5059BA3C-A970-4E9B-8B2A-2F72AFA74108}"/>
            </a:ext>
          </a:extLst>
        </xdr:cNvPr>
        <xdr:cNvSpPr/>
      </xdr:nvSpPr>
      <xdr:spPr>
        <a:xfrm rot="10800000">
          <a:off x="893064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38</xdr:row>
      <xdr:rowOff>0</xdr:rowOff>
    </xdr:from>
    <xdr:to>
      <xdr:col>5</xdr:col>
      <xdr:colOff>83820</xdr:colOff>
      <xdr:row>38</xdr:row>
      <xdr:rowOff>114300</xdr:rowOff>
    </xdr:to>
    <xdr:sp macro="" textlink="">
      <xdr:nvSpPr>
        <xdr:cNvPr id="250" name="Arrow: Down 249">
          <a:extLst>
            <a:ext uri="{FF2B5EF4-FFF2-40B4-BE49-F238E27FC236}">
              <a16:creationId xmlns:a16="http://schemas.microsoft.com/office/drawing/2014/main" id="{9AFFADA0-F31E-4B87-8FEE-1213B7C3596B}"/>
            </a:ext>
          </a:extLst>
        </xdr:cNvPr>
        <xdr:cNvSpPr/>
      </xdr:nvSpPr>
      <xdr:spPr>
        <a:xfrm>
          <a:off x="224790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38</xdr:row>
      <xdr:rowOff>0</xdr:rowOff>
    </xdr:from>
    <xdr:to>
      <xdr:col>11</xdr:col>
      <xdr:colOff>83820</xdr:colOff>
      <xdr:row>38</xdr:row>
      <xdr:rowOff>114300</xdr:rowOff>
    </xdr:to>
    <xdr:sp macro="" textlink="">
      <xdr:nvSpPr>
        <xdr:cNvPr id="251" name="Arrow: Down 250">
          <a:extLst>
            <a:ext uri="{FF2B5EF4-FFF2-40B4-BE49-F238E27FC236}">
              <a16:creationId xmlns:a16="http://schemas.microsoft.com/office/drawing/2014/main" id="{4FB7A3D6-585F-4B22-B813-3F4D6D7461D4}"/>
            </a:ext>
          </a:extLst>
        </xdr:cNvPr>
        <xdr:cNvSpPr/>
      </xdr:nvSpPr>
      <xdr:spPr>
        <a:xfrm>
          <a:off x="3619500" y="7048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38</xdr:row>
      <xdr:rowOff>0</xdr:rowOff>
    </xdr:from>
    <xdr:to>
      <xdr:col>18</xdr:col>
      <xdr:colOff>83820</xdr:colOff>
      <xdr:row>38</xdr:row>
      <xdr:rowOff>114300</xdr:rowOff>
    </xdr:to>
    <xdr:sp macro="" textlink="">
      <xdr:nvSpPr>
        <xdr:cNvPr id="253" name="Arrow: Down 252">
          <a:extLst>
            <a:ext uri="{FF2B5EF4-FFF2-40B4-BE49-F238E27FC236}">
              <a16:creationId xmlns:a16="http://schemas.microsoft.com/office/drawing/2014/main" id="{FF365FAA-15FE-4E0E-BC12-425C6EBBDA8A}"/>
            </a:ext>
          </a:extLst>
        </xdr:cNvPr>
        <xdr:cNvSpPr/>
      </xdr:nvSpPr>
      <xdr:spPr>
        <a:xfrm>
          <a:off x="489966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39</xdr:row>
      <xdr:rowOff>0</xdr:rowOff>
    </xdr:from>
    <xdr:to>
      <xdr:col>5</xdr:col>
      <xdr:colOff>83820</xdr:colOff>
      <xdr:row>39</xdr:row>
      <xdr:rowOff>114300</xdr:rowOff>
    </xdr:to>
    <xdr:sp macro="" textlink="">
      <xdr:nvSpPr>
        <xdr:cNvPr id="210" name="Arrow: Down 209">
          <a:extLst>
            <a:ext uri="{FF2B5EF4-FFF2-40B4-BE49-F238E27FC236}">
              <a16:creationId xmlns:a16="http://schemas.microsoft.com/office/drawing/2014/main" id="{8EEC9054-7789-440E-9B21-F5AB8441284A}"/>
            </a:ext>
          </a:extLst>
        </xdr:cNvPr>
        <xdr:cNvSpPr/>
      </xdr:nvSpPr>
      <xdr:spPr>
        <a:xfrm>
          <a:off x="224790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39</xdr:row>
      <xdr:rowOff>0</xdr:rowOff>
    </xdr:from>
    <xdr:to>
      <xdr:col>11</xdr:col>
      <xdr:colOff>83820</xdr:colOff>
      <xdr:row>39</xdr:row>
      <xdr:rowOff>114300</xdr:rowOff>
    </xdr:to>
    <xdr:sp macro="" textlink="">
      <xdr:nvSpPr>
        <xdr:cNvPr id="238" name="Arrow: Down 237">
          <a:extLst>
            <a:ext uri="{FF2B5EF4-FFF2-40B4-BE49-F238E27FC236}">
              <a16:creationId xmlns:a16="http://schemas.microsoft.com/office/drawing/2014/main" id="{4E2BBBFA-48DD-40D9-B14F-224D8E4EF2A8}"/>
            </a:ext>
          </a:extLst>
        </xdr:cNvPr>
        <xdr:cNvSpPr/>
      </xdr:nvSpPr>
      <xdr:spPr>
        <a:xfrm>
          <a:off x="390906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39</xdr:row>
      <xdr:rowOff>0</xdr:rowOff>
    </xdr:from>
    <xdr:to>
      <xdr:col>18</xdr:col>
      <xdr:colOff>83820</xdr:colOff>
      <xdr:row>39</xdr:row>
      <xdr:rowOff>114300</xdr:rowOff>
    </xdr:to>
    <xdr:sp macro="" textlink="">
      <xdr:nvSpPr>
        <xdr:cNvPr id="243" name="Arrow: Down 242">
          <a:extLst>
            <a:ext uri="{FF2B5EF4-FFF2-40B4-BE49-F238E27FC236}">
              <a16:creationId xmlns:a16="http://schemas.microsoft.com/office/drawing/2014/main" id="{0E2217D3-2F36-4FD4-A089-E62E2C172F77}"/>
            </a:ext>
          </a:extLst>
        </xdr:cNvPr>
        <xdr:cNvSpPr/>
      </xdr:nvSpPr>
      <xdr:spPr>
        <a:xfrm>
          <a:off x="489966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39</xdr:row>
      <xdr:rowOff>0</xdr:rowOff>
    </xdr:from>
    <xdr:to>
      <xdr:col>35</xdr:col>
      <xdr:colOff>83820</xdr:colOff>
      <xdr:row>39</xdr:row>
      <xdr:rowOff>114300</xdr:rowOff>
    </xdr:to>
    <xdr:sp macro="" textlink="">
      <xdr:nvSpPr>
        <xdr:cNvPr id="244" name="Arrow: Down 243">
          <a:extLst>
            <a:ext uri="{FF2B5EF4-FFF2-40B4-BE49-F238E27FC236}">
              <a16:creationId xmlns:a16="http://schemas.microsoft.com/office/drawing/2014/main" id="{5F79ED48-C4D2-4906-ADC3-E193122EEE1F}"/>
            </a:ext>
          </a:extLst>
        </xdr:cNvPr>
        <xdr:cNvSpPr/>
      </xdr:nvSpPr>
      <xdr:spPr>
        <a:xfrm rot="10800000">
          <a:off x="882396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39</xdr:row>
      <xdr:rowOff>0</xdr:rowOff>
    </xdr:from>
    <xdr:to>
      <xdr:col>29</xdr:col>
      <xdr:colOff>83820</xdr:colOff>
      <xdr:row>39</xdr:row>
      <xdr:rowOff>114300</xdr:rowOff>
    </xdr:to>
    <xdr:sp macro="" textlink="">
      <xdr:nvSpPr>
        <xdr:cNvPr id="245" name="Arrow: Down 244">
          <a:extLst>
            <a:ext uri="{FF2B5EF4-FFF2-40B4-BE49-F238E27FC236}">
              <a16:creationId xmlns:a16="http://schemas.microsoft.com/office/drawing/2014/main" id="{8EB9F22F-AABF-4E4D-9CAB-79DAD388DCE1}"/>
            </a:ext>
          </a:extLst>
        </xdr:cNvPr>
        <xdr:cNvSpPr/>
      </xdr:nvSpPr>
      <xdr:spPr>
        <a:xfrm>
          <a:off x="7399020" y="7033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40</xdr:row>
      <xdr:rowOff>0</xdr:rowOff>
    </xdr:from>
    <xdr:to>
      <xdr:col>29</xdr:col>
      <xdr:colOff>83820</xdr:colOff>
      <xdr:row>40</xdr:row>
      <xdr:rowOff>114300</xdr:rowOff>
    </xdr:to>
    <xdr:sp macro="" textlink="">
      <xdr:nvSpPr>
        <xdr:cNvPr id="265" name="Arrow: Down 264">
          <a:extLst>
            <a:ext uri="{FF2B5EF4-FFF2-40B4-BE49-F238E27FC236}">
              <a16:creationId xmlns:a16="http://schemas.microsoft.com/office/drawing/2014/main" id="{959F0B12-2301-4F77-BB75-1B1CBDEF1C1F}"/>
            </a:ext>
          </a:extLst>
        </xdr:cNvPr>
        <xdr:cNvSpPr/>
      </xdr:nvSpPr>
      <xdr:spPr>
        <a:xfrm>
          <a:off x="7399020" y="7033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40</xdr:row>
      <xdr:rowOff>0</xdr:rowOff>
    </xdr:from>
    <xdr:to>
      <xdr:col>5</xdr:col>
      <xdr:colOff>83820</xdr:colOff>
      <xdr:row>40</xdr:row>
      <xdr:rowOff>114300</xdr:rowOff>
    </xdr:to>
    <xdr:sp macro="" textlink="">
      <xdr:nvSpPr>
        <xdr:cNvPr id="242" name="Arrow: Down 241">
          <a:extLst>
            <a:ext uri="{FF2B5EF4-FFF2-40B4-BE49-F238E27FC236}">
              <a16:creationId xmlns:a16="http://schemas.microsoft.com/office/drawing/2014/main" id="{15D4A620-C589-4385-97C9-8A411A1AE32C}"/>
            </a:ext>
          </a:extLst>
        </xdr:cNvPr>
        <xdr:cNvSpPr/>
      </xdr:nvSpPr>
      <xdr:spPr>
        <a:xfrm rot="10800000">
          <a:off x="224790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40</xdr:row>
      <xdr:rowOff>0</xdr:rowOff>
    </xdr:from>
    <xdr:to>
      <xdr:col>11</xdr:col>
      <xdr:colOff>83820</xdr:colOff>
      <xdr:row>40</xdr:row>
      <xdr:rowOff>114300</xdr:rowOff>
    </xdr:to>
    <xdr:sp macro="" textlink="">
      <xdr:nvSpPr>
        <xdr:cNvPr id="255" name="Arrow: Down 254">
          <a:extLst>
            <a:ext uri="{FF2B5EF4-FFF2-40B4-BE49-F238E27FC236}">
              <a16:creationId xmlns:a16="http://schemas.microsoft.com/office/drawing/2014/main" id="{6B370548-AEEE-402E-9200-9003972EC58B}"/>
            </a:ext>
          </a:extLst>
        </xdr:cNvPr>
        <xdr:cNvSpPr/>
      </xdr:nvSpPr>
      <xdr:spPr>
        <a:xfrm rot="10800000">
          <a:off x="39090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40</xdr:row>
      <xdr:rowOff>0</xdr:rowOff>
    </xdr:from>
    <xdr:to>
      <xdr:col>18</xdr:col>
      <xdr:colOff>83820</xdr:colOff>
      <xdr:row>40</xdr:row>
      <xdr:rowOff>114300</xdr:rowOff>
    </xdr:to>
    <xdr:sp macro="" textlink="">
      <xdr:nvSpPr>
        <xdr:cNvPr id="256" name="Arrow: Down 255">
          <a:extLst>
            <a:ext uri="{FF2B5EF4-FFF2-40B4-BE49-F238E27FC236}">
              <a16:creationId xmlns:a16="http://schemas.microsoft.com/office/drawing/2014/main" id="{D731DD5A-23FD-4AF6-B64C-C00883B27DB2}"/>
            </a:ext>
          </a:extLst>
        </xdr:cNvPr>
        <xdr:cNvSpPr/>
      </xdr:nvSpPr>
      <xdr:spPr>
        <a:xfrm rot="10800000">
          <a:off x="48996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40</xdr:row>
      <xdr:rowOff>0</xdr:rowOff>
    </xdr:from>
    <xdr:to>
      <xdr:col>35</xdr:col>
      <xdr:colOff>83820</xdr:colOff>
      <xdr:row>40</xdr:row>
      <xdr:rowOff>114300</xdr:rowOff>
    </xdr:to>
    <xdr:sp macro="" textlink="">
      <xdr:nvSpPr>
        <xdr:cNvPr id="258" name="Arrow: Down 257">
          <a:extLst>
            <a:ext uri="{FF2B5EF4-FFF2-40B4-BE49-F238E27FC236}">
              <a16:creationId xmlns:a16="http://schemas.microsoft.com/office/drawing/2014/main" id="{A8C1CA61-644A-44CE-93E0-9E9651BAE85B}"/>
            </a:ext>
          </a:extLst>
        </xdr:cNvPr>
        <xdr:cNvSpPr/>
      </xdr:nvSpPr>
      <xdr:spPr>
        <a:xfrm rot="10800000">
          <a:off x="88239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41</xdr:row>
      <xdr:rowOff>0</xdr:rowOff>
    </xdr:from>
    <xdr:to>
      <xdr:col>18</xdr:col>
      <xdr:colOff>83820</xdr:colOff>
      <xdr:row>41</xdr:row>
      <xdr:rowOff>114300</xdr:rowOff>
    </xdr:to>
    <xdr:sp macro="" textlink="">
      <xdr:nvSpPr>
        <xdr:cNvPr id="263" name="Arrow: Down 262">
          <a:extLst>
            <a:ext uri="{FF2B5EF4-FFF2-40B4-BE49-F238E27FC236}">
              <a16:creationId xmlns:a16="http://schemas.microsoft.com/office/drawing/2014/main" id="{ADA9FDEA-D046-4093-B2BC-E7BF51A61F7B}"/>
            </a:ext>
          </a:extLst>
        </xdr:cNvPr>
        <xdr:cNvSpPr/>
      </xdr:nvSpPr>
      <xdr:spPr>
        <a:xfrm rot="10800000">
          <a:off x="48996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41</xdr:row>
      <xdr:rowOff>0</xdr:rowOff>
    </xdr:from>
    <xdr:to>
      <xdr:col>29</xdr:col>
      <xdr:colOff>83820</xdr:colOff>
      <xdr:row>41</xdr:row>
      <xdr:rowOff>114300</xdr:rowOff>
    </xdr:to>
    <xdr:sp macro="" textlink="">
      <xdr:nvSpPr>
        <xdr:cNvPr id="267" name="Arrow: Down 266">
          <a:extLst>
            <a:ext uri="{FF2B5EF4-FFF2-40B4-BE49-F238E27FC236}">
              <a16:creationId xmlns:a16="http://schemas.microsoft.com/office/drawing/2014/main" id="{D63F1CDC-98CB-4BBA-8FDF-98531E74E7EE}"/>
            </a:ext>
          </a:extLst>
        </xdr:cNvPr>
        <xdr:cNvSpPr/>
      </xdr:nvSpPr>
      <xdr:spPr>
        <a:xfrm rot="10800000">
          <a:off x="746760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41</xdr:row>
      <xdr:rowOff>0</xdr:rowOff>
    </xdr:from>
    <xdr:to>
      <xdr:col>35</xdr:col>
      <xdr:colOff>83820</xdr:colOff>
      <xdr:row>41</xdr:row>
      <xdr:rowOff>114300</xdr:rowOff>
    </xdr:to>
    <xdr:sp macro="" textlink="">
      <xdr:nvSpPr>
        <xdr:cNvPr id="269" name="Arrow: Down 268">
          <a:extLst>
            <a:ext uri="{FF2B5EF4-FFF2-40B4-BE49-F238E27FC236}">
              <a16:creationId xmlns:a16="http://schemas.microsoft.com/office/drawing/2014/main" id="{03572722-8AD9-45BF-8B67-9221264B2981}"/>
            </a:ext>
          </a:extLst>
        </xdr:cNvPr>
        <xdr:cNvSpPr/>
      </xdr:nvSpPr>
      <xdr:spPr>
        <a:xfrm rot="10800000">
          <a:off x="889254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41</xdr:row>
      <xdr:rowOff>0</xdr:rowOff>
    </xdr:from>
    <xdr:to>
      <xdr:col>5</xdr:col>
      <xdr:colOff>83820</xdr:colOff>
      <xdr:row>41</xdr:row>
      <xdr:rowOff>114300</xdr:rowOff>
    </xdr:to>
    <xdr:sp macro="" textlink="">
      <xdr:nvSpPr>
        <xdr:cNvPr id="270" name="Arrow: Down 269">
          <a:extLst>
            <a:ext uri="{FF2B5EF4-FFF2-40B4-BE49-F238E27FC236}">
              <a16:creationId xmlns:a16="http://schemas.microsoft.com/office/drawing/2014/main" id="{57BE51C7-9DF1-45A6-9E96-0E995EA7A760}"/>
            </a:ext>
          </a:extLst>
        </xdr:cNvPr>
        <xdr:cNvSpPr/>
      </xdr:nvSpPr>
      <xdr:spPr>
        <a:xfrm>
          <a:off x="224790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41</xdr:row>
      <xdr:rowOff>0</xdr:rowOff>
    </xdr:from>
    <xdr:to>
      <xdr:col>11</xdr:col>
      <xdr:colOff>83820</xdr:colOff>
      <xdr:row>41</xdr:row>
      <xdr:rowOff>114300</xdr:rowOff>
    </xdr:to>
    <xdr:sp macro="" textlink="">
      <xdr:nvSpPr>
        <xdr:cNvPr id="271" name="Arrow: Down 270">
          <a:extLst>
            <a:ext uri="{FF2B5EF4-FFF2-40B4-BE49-F238E27FC236}">
              <a16:creationId xmlns:a16="http://schemas.microsoft.com/office/drawing/2014/main" id="{2120DDFD-5FDD-4B62-8E54-6D5D6E28BE7D}"/>
            </a:ext>
          </a:extLst>
        </xdr:cNvPr>
        <xdr:cNvSpPr/>
      </xdr:nvSpPr>
      <xdr:spPr>
        <a:xfrm>
          <a:off x="390906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18</xdr:col>
      <xdr:colOff>0</xdr:colOff>
      <xdr:row>42</xdr:row>
      <xdr:rowOff>0</xdr:rowOff>
    </xdr:from>
    <xdr:to>
      <xdr:col>18</xdr:col>
      <xdr:colOff>83820</xdr:colOff>
      <xdr:row>42</xdr:row>
      <xdr:rowOff>114300</xdr:rowOff>
    </xdr:to>
    <xdr:sp macro="" textlink="">
      <xdr:nvSpPr>
        <xdr:cNvPr id="261" name="Arrow: Down 260">
          <a:extLst>
            <a:ext uri="{FF2B5EF4-FFF2-40B4-BE49-F238E27FC236}">
              <a16:creationId xmlns:a16="http://schemas.microsoft.com/office/drawing/2014/main" id="{6DCCEC5F-17F0-4824-8392-B0B811C8193B}"/>
            </a:ext>
          </a:extLst>
        </xdr:cNvPr>
        <xdr:cNvSpPr/>
      </xdr:nvSpPr>
      <xdr:spPr>
        <a:xfrm rot="10800000">
          <a:off x="4899660" y="7399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42</xdr:row>
      <xdr:rowOff>0</xdr:rowOff>
    </xdr:from>
    <xdr:to>
      <xdr:col>11</xdr:col>
      <xdr:colOff>83820</xdr:colOff>
      <xdr:row>42</xdr:row>
      <xdr:rowOff>114300</xdr:rowOff>
    </xdr:to>
    <xdr:sp macro="" textlink="">
      <xdr:nvSpPr>
        <xdr:cNvPr id="276" name="Arrow: Down 275">
          <a:extLst>
            <a:ext uri="{FF2B5EF4-FFF2-40B4-BE49-F238E27FC236}">
              <a16:creationId xmlns:a16="http://schemas.microsoft.com/office/drawing/2014/main" id="{BCABF7D0-CC48-4CAB-BF40-B41AC200359D}"/>
            </a:ext>
          </a:extLst>
        </xdr:cNvPr>
        <xdr:cNvSpPr/>
      </xdr:nvSpPr>
      <xdr:spPr>
        <a:xfrm rot="10800000">
          <a:off x="390906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42</xdr:row>
      <xdr:rowOff>0</xdr:rowOff>
    </xdr:from>
    <xdr:to>
      <xdr:col>5</xdr:col>
      <xdr:colOff>83820</xdr:colOff>
      <xdr:row>42</xdr:row>
      <xdr:rowOff>114300</xdr:rowOff>
    </xdr:to>
    <xdr:sp macro="" textlink="">
      <xdr:nvSpPr>
        <xdr:cNvPr id="277" name="Arrow: Down 276">
          <a:extLst>
            <a:ext uri="{FF2B5EF4-FFF2-40B4-BE49-F238E27FC236}">
              <a16:creationId xmlns:a16="http://schemas.microsoft.com/office/drawing/2014/main" id="{91E96F01-A6C2-422A-9E68-015383DA280C}"/>
            </a:ext>
          </a:extLst>
        </xdr:cNvPr>
        <xdr:cNvSpPr/>
      </xdr:nvSpPr>
      <xdr:spPr>
        <a:xfrm rot="10800000">
          <a:off x="224790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42</xdr:row>
      <xdr:rowOff>0</xdr:rowOff>
    </xdr:from>
    <xdr:to>
      <xdr:col>29</xdr:col>
      <xdr:colOff>83820</xdr:colOff>
      <xdr:row>42</xdr:row>
      <xdr:rowOff>114300</xdr:rowOff>
    </xdr:to>
    <xdr:sp macro="" textlink="">
      <xdr:nvSpPr>
        <xdr:cNvPr id="279" name="Arrow: Down 278">
          <a:extLst>
            <a:ext uri="{FF2B5EF4-FFF2-40B4-BE49-F238E27FC236}">
              <a16:creationId xmlns:a16="http://schemas.microsoft.com/office/drawing/2014/main" id="{0714F045-CCF6-4708-9AB8-8383ABAE5F49}"/>
            </a:ext>
          </a:extLst>
        </xdr:cNvPr>
        <xdr:cNvSpPr/>
      </xdr:nvSpPr>
      <xdr:spPr>
        <a:xfrm>
          <a:off x="746760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42</xdr:row>
      <xdr:rowOff>0</xdr:rowOff>
    </xdr:from>
    <xdr:to>
      <xdr:col>35</xdr:col>
      <xdr:colOff>83820</xdr:colOff>
      <xdr:row>42</xdr:row>
      <xdr:rowOff>114300</xdr:rowOff>
    </xdr:to>
    <xdr:sp macro="" textlink="">
      <xdr:nvSpPr>
        <xdr:cNvPr id="281" name="Arrow: Down 280">
          <a:extLst>
            <a:ext uri="{FF2B5EF4-FFF2-40B4-BE49-F238E27FC236}">
              <a16:creationId xmlns:a16="http://schemas.microsoft.com/office/drawing/2014/main" id="{4304F15F-CF76-4FE0-B7E8-884A2AD18A23}"/>
            </a:ext>
          </a:extLst>
        </xdr:cNvPr>
        <xdr:cNvSpPr/>
      </xdr:nvSpPr>
      <xdr:spPr>
        <a:xfrm>
          <a:off x="889254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43</xdr:row>
      <xdr:rowOff>0</xdr:rowOff>
    </xdr:from>
    <xdr:to>
      <xdr:col>5</xdr:col>
      <xdr:colOff>83820</xdr:colOff>
      <xdr:row>43</xdr:row>
      <xdr:rowOff>114300</xdr:rowOff>
    </xdr:to>
    <xdr:sp macro="" textlink="">
      <xdr:nvSpPr>
        <xdr:cNvPr id="264" name="Arrow: Down 263">
          <a:extLst>
            <a:ext uri="{FF2B5EF4-FFF2-40B4-BE49-F238E27FC236}">
              <a16:creationId xmlns:a16="http://schemas.microsoft.com/office/drawing/2014/main" id="{734B12D3-8A87-4DA8-9E11-A067D12B7405}"/>
            </a:ext>
          </a:extLst>
        </xdr:cNvPr>
        <xdr:cNvSpPr/>
      </xdr:nvSpPr>
      <xdr:spPr>
        <a:xfrm rot="10800000">
          <a:off x="2247900" y="7764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43</xdr:row>
      <xdr:rowOff>0</xdr:rowOff>
    </xdr:from>
    <xdr:to>
      <xdr:col>18</xdr:col>
      <xdr:colOff>83820</xdr:colOff>
      <xdr:row>43</xdr:row>
      <xdr:rowOff>114300</xdr:rowOff>
    </xdr:to>
    <xdr:sp macro="" textlink="">
      <xdr:nvSpPr>
        <xdr:cNvPr id="266" name="Arrow: Down 265">
          <a:extLst>
            <a:ext uri="{FF2B5EF4-FFF2-40B4-BE49-F238E27FC236}">
              <a16:creationId xmlns:a16="http://schemas.microsoft.com/office/drawing/2014/main" id="{185113B1-A2D5-470A-B646-D498B0C08442}"/>
            </a:ext>
          </a:extLst>
        </xdr:cNvPr>
        <xdr:cNvSpPr/>
      </xdr:nvSpPr>
      <xdr:spPr>
        <a:xfrm>
          <a:off x="489966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43</xdr:row>
      <xdr:rowOff>0</xdr:rowOff>
    </xdr:from>
    <xdr:to>
      <xdr:col>29</xdr:col>
      <xdr:colOff>83820</xdr:colOff>
      <xdr:row>43</xdr:row>
      <xdr:rowOff>114300</xdr:rowOff>
    </xdr:to>
    <xdr:sp macro="" textlink="">
      <xdr:nvSpPr>
        <xdr:cNvPr id="268" name="Arrow: Down 267">
          <a:extLst>
            <a:ext uri="{FF2B5EF4-FFF2-40B4-BE49-F238E27FC236}">
              <a16:creationId xmlns:a16="http://schemas.microsoft.com/office/drawing/2014/main" id="{AE97CC91-2047-4D6E-BF59-07A27C43D0B8}"/>
            </a:ext>
          </a:extLst>
        </xdr:cNvPr>
        <xdr:cNvSpPr/>
      </xdr:nvSpPr>
      <xdr:spPr>
        <a:xfrm rot="10800000">
          <a:off x="746760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43</xdr:row>
      <xdr:rowOff>0</xdr:rowOff>
    </xdr:from>
    <xdr:to>
      <xdr:col>58</xdr:col>
      <xdr:colOff>83820</xdr:colOff>
      <xdr:row>43</xdr:row>
      <xdr:rowOff>114300</xdr:rowOff>
    </xdr:to>
    <xdr:sp macro="" textlink="">
      <xdr:nvSpPr>
        <xdr:cNvPr id="278" name="Arrow: Down 277">
          <a:extLst>
            <a:ext uri="{FF2B5EF4-FFF2-40B4-BE49-F238E27FC236}">
              <a16:creationId xmlns:a16="http://schemas.microsoft.com/office/drawing/2014/main" id="{6D4D6C09-BE41-48A7-B625-9731DA3A1934}"/>
            </a:ext>
          </a:extLst>
        </xdr:cNvPr>
        <xdr:cNvSpPr/>
      </xdr:nvSpPr>
      <xdr:spPr>
        <a:xfrm>
          <a:off x="1335786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39</xdr:row>
      <xdr:rowOff>0</xdr:rowOff>
    </xdr:from>
    <xdr:to>
      <xdr:col>58</xdr:col>
      <xdr:colOff>83820</xdr:colOff>
      <xdr:row>39</xdr:row>
      <xdr:rowOff>114300</xdr:rowOff>
    </xdr:to>
    <xdr:sp macro="" textlink="">
      <xdr:nvSpPr>
        <xdr:cNvPr id="280" name="Arrow: Down 279">
          <a:extLst>
            <a:ext uri="{FF2B5EF4-FFF2-40B4-BE49-F238E27FC236}">
              <a16:creationId xmlns:a16="http://schemas.microsoft.com/office/drawing/2014/main" id="{4CDE07F3-F7E4-4425-9587-E103457792DA}"/>
            </a:ext>
          </a:extLst>
        </xdr:cNvPr>
        <xdr:cNvSpPr/>
      </xdr:nvSpPr>
      <xdr:spPr>
        <a:xfrm>
          <a:off x="13357860" y="7033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40</xdr:row>
      <xdr:rowOff>0</xdr:rowOff>
    </xdr:from>
    <xdr:to>
      <xdr:col>58</xdr:col>
      <xdr:colOff>83820</xdr:colOff>
      <xdr:row>40</xdr:row>
      <xdr:rowOff>114300</xdr:rowOff>
    </xdr:to>
    <xdr:sp macro="" textlink="">
      <xdr:nvSpPr>
        <xdr:cNvPr id="282" name="Arrow: Down 281">
          <a:extLst>
            <a:ext uri="{FF2B5EF4-FFF2-40B4-BE49-F238E27FC236}">
              <a16:creationId xmlns:a16="http://schemas.microsoft.com/office/drawing/2014/main" id="{0DEC6F9F-C499-47AD-8146-FB48C304C7AA}"/>
            </a:ext>
          </a:extLst>
        </xdr:cNvPr>
        <xdr:cNvSpPr/>
      </xdr:nvSpPr>
      <xdr:spPr>
        <a:xfrm>
          <a:off x="133578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41</xdr:row>
      <xdr:rowOff>0</xdr:rowOff>
    </xdr:from>
    <xdr:to>
      <xdr:col>58</xdr:col>
      <xdr:colOff>83820</xdr:colOff>
      <xdr:row>41</xdr:row>
      <xdr:rowOff>114300</xdr:rowOff>
    </xdr:to>
    <xdr:sp macro="" textlink="">
      <xdr:nvSpPr>
        <xdr:cNvPr id="283" name="Arrow: Down 282">
          <a:extLst>
            <a:ext uri="{FF2B5EF4-FFF2-40B4-BE49-F238E27FC236}">
              <a16:creationId xmlns:a16="http://schemas.microsoft.com/office/drawing/2014/main" id="{9A9FBD0B-9AD6-49FA-B442-520EA440A109}"/>
            </a:ext>
          </a:extLst>
        </xdr:cNvPr>
        <xdr:cNvSpPr/>
      </xdr:nvSpPr>
      <xdr:spPr>
        <a:xfrm>
          <a:off x="13357860" y="7399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42</xdr:row>
      <xdr:rowOff>0</xdr:rowOff>
    </xdr:from>
    <xdr:to>
      <xdr:col>58</xdr:col>
      <xdr:colOff>83820</xdr:colOff>
      <xdr:row>42</xdr:row>
      <xdr:rowOff>114300</xdr:rowOff>
    </xdr:to>
    <xdr:sp macro="" textlink="">
      <xdr:nvSpPr>
        <xdr:cNvPr id="284" name="Arrow: Down 283">
          <a:extLst>
            <a:ext uri="{FF2B5EF4-FFF2-40B4-BE49-F238E27FC236}">
              <a16:creationId xmlns:a16="http://schemas.microsoft.com/office/drawing/2014/main" id="{ED98011F-4A16-4092-9664-C117F3B8CF0B}"/>
            </a:ext>
          </a:extLst>
        </xdr:cNvPr>
        <xdr:cNvSpPr/>
      </xdr:nvSpPr>
      <xdr:spPr>
        <a:xfrm>
          <a:off x="1335786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43</xdr:row>
      <xdr:rowOff>0</xdr:rowOff>
    </xdr:from>
    <xdr:to>
      <xdr:col>35</xdr:col>
      <xdr:colOff>83820</xdr:colOff>
      <xdr:row>43</xdr:row>
      <xdr:rowOff>114300</xdr:rowOff>
    </xdr:to>
    <xdr:sp macro="" textlink="">
      <xdr:nvSpPr>
        <xdr:cNvPr id="285" name="Arrow: Down 284">
          <a:extLst>
            <a:ext uri="{FF2B5EF4-FFF2-40B4-BE49-F238E27FC236}">
              <a16:creationId xmlns:a16="http://schemas.microsoft.com/office/drawing/2014/main" id="{5FA50DA8-8CEE-4CE9-BD0A-EB6429C0EB9B}"/>
            </a:ext>
          </a:extLst>
        </xdr:cNvPr>
        <xdr:cNvSpPr/>
      </xdr:nvSpPr>
      <xdr:spPr>
        <a:xfrm>
          <a:off x="8892540" y="7764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50</xdr:col>
      <xdr:colOff>0</xdr:colOff>
      <xdr:row>40</xdr:row>
      <xdr:rowOff>0</xdr:rowOff>
    </xdr:from>
    <xdr:to>
      <xdr:col>50</xdr:col>
      <xdr:colOff>83820</xdr:colOff>
      <xdr:row>40</xdr:row>
      <xdr:rowOff>114300</xdr:rowOff>
    </xdr:to>
    <xdr:sp macro="" textlink="">
      <xdr:nvSpPr>
        <xdr:cNvPr id="288" name="Arrow: Down 287">
          <a:extLst>
            <a:ext uri="{FF2B5EF4-FFF2-40B4-BE49-F238E27FC236}">
              <a16:creationId xmlns:a16="http://schemas.microsoft.com/office/drawing/2014/main" id="{47F9EC10-9D97-438A-97A8-9CD052E2F789}"/>
            </a:ext>
          </a:extLst>
        </xdr:cNvPr>
        <xdr:cNvSpPr/>
      </xdr:nvSpPr>
      <xdr:spPr>
        <a:xfrm>
          <a:off x="12694920" y="7216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50</xdr:col>
      <xdr:colOff>0</xdr:colOff>
      <xdr:row>41</xdr:row>
      <xdr:rowOff>0</xdr:rowOff>
    </xdr:from>
    <xdr:to>
      <xdr:col>50</xdr:col>
      <xdr:colOff>83820</xdr:colOff>
      <xdr:row>41</xdr:row>
      <xdr:rowOff>114300</xdr:rowOff>
    </xdr:to>
    <xdr:sp macro="" textlink="">
      <xdr:nvSpPr>
        <xdr:cNvPr id="297" name="Arrow: Down 296">
          <a:extLst>
            <a:ext uri="{FF2B5EF4-FFF2-40B4-BE49-F238E27FC236}">
              <a16:creationId xmlns:a16="http://schemas.microsoft.com/office/drawing/2014/main" id="{6C63FE0D-EAE6-4C11-B3FD-B95321411FDB}"/>
            </a:ext>
          </a:extLst>
        </xdr:cNvPr>
        <xdr:cNvSpPr/>
      </xdr:nvSpPr>
      <xdr:spPr>
        <a:xfrm>
          <a:off x="1269492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50</xdr:col>
      <xdr:colOff>0</xdr:colOff>
      <xdr:row>42</xdr:row>
      <xdr:rowOff>0</xdr:rowOff>
    </xdr:from>
    <xdr:to>
      <xdr:col>50</xdr:col>
      <xdr:colOff>83820</xdr:colOff>
      <xdr:row>42</xdr:row>
      <xdr:rowOff>114300</xdr:rowOff>
    </xdr:to>
    <xdr:sp macro="" textlink="">
      <xdr:nvSpPr>
        <xdr:cNvPr id="298" name="Arrow: Down 297">
          <a:extLst>
            <a:ext uri="{FF2B5EF4-FFF2-40B4-BE49-F238E27FC236}">
              <a16:creationId xmlns:a16="http://schemas.microsoft.com/office/drawing/2014/main" id="{09D6C758-D482-4E27-B83B-7B96AF71768B}"/>
            </a:ext>
          </a:extLst>
        </xdr:cNvPr>
        <xdr:cNvSpPr/>
      </xdr:nvSpPr>
      <xdr:spPr>
        <a:xfrm rot="10800000">
          <a:off x="1269492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50</xdr:col>
      <xdr:colOff>0</xdr:colOff>
      <xdr:row>43</xdr:row>
      <xdr:rowOff>0</xdr:rowOff>
    </xdr:from>
    <xdr:to>
      <xdr:col>50</xdr:col>
      <xdr:colOff>83820</xdr:colOff>
      <xdr:row>43</xdr:row>
      <xdr:rowOff>114300</xdr:rowOff>
    </xdr:to>
    <xdr:sp macro="" textlink="">
      <xdr:nvSpPr>
        <xdr:cNvPr id="300" name="Arrow: Down 299">
          <a:extLst>
            <a:ext uri="{FF2B5EF4-FFF2-40B4-BE49-F238E27FC236}">
              <a16:creationId xmlns:a16="http://schemas.microsoft.com/office/drawing/2014/main" id="{4A02B7DF-D483-4D66-A637-227BCE294FD3}"/>
            </a:ext>
          </a:extLst>
        </xdr:cNvPr>
        <xdr:cNvSpPr/>
      </xdr:nvSpPr>
      <xdr:spPr>
        <a:xfrm>
          <a:off x="1269492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50</xdr:col>
      <xdr:colOff>0</xdr:colOff>
      <xdr:row>39</xdr:row>
      <xdr:rowOff>0</xdr:rowOff>
    </xdr:from>
    <xdr:to>
      <xdr:col>50</xdr:col>
      <xdr:colOff>160020</xdr:colOff>
      <xdr:row>39</xdr:row>
      <xdr:rowOff>167640</xdr:rowOff>
    </xdr:to>
    <xdr:sp macro="" textlink="">
      <xdr:nvSpPr>
        <xdr:cNvPr id="301" name="Minus Sign 300">
          <a:extLst>
            <a:ext uri="{FF2B5EF4-FFF2-40B4-BE49-F238E27FC236}">
              <a16:creationId xmlns:a16="http://schemas.microsoft.com/office/drawing/2014/main" id="{476BED49-1EBA-4470-9B71-C935536651B0}"/>
            </a:ext>
          </a:extLst>
        </xdr:cNvPr>
        <xdr:cNvSpPr/>
      </xdr:nvSpPr>
      <xdr:spPr>
        <a:xfrm>
          <a:off x="12694920" y="70332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0</xdr:colOff>
      <xdr:row>43</xdr:row>
      <xdr:rowOff>0</xdr:rowOff>
    </xdr:from>
    <xdr:to>
      <xdr:col>11</xdr:col>
      <xdr:colOff>160020</xdr:colOff>
      <xdr:row>43</xdr:row>
      <xdr:rowOff>167640</xdr:rowOff>
    </xdr:to>
    <xdr:sp macro="" textlink="">
      <xdr:nvSpPr>
        <xdr:cNvPr id="303" name="Minus Sign 302">
          <a:extLst>
            <a:ext uri="{FF2B5EF4-FFF2-40B4-BE49-F238E27FC236}">
              <a16:creationId xmlns:a16="http://schemas.microsoft.com/office/drawing/2014/main" id="{52AA7AA5-835C-4EB2-9068-6AC79010151B}"/>
            </a:ext>
          </a:extLst>
        </xdr:cNvPr>
        <xdr:cNvSpPr/>
      </xdr:nvSpPr>
      <xdr:spPr>
        <a:xfrm>
          <a:off x="3909060" y="77647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29</xdr:col>
      <xdr:colOff>0</xdr:colOff>
      <xdr:row>44</xdr:row>
      <xdr:rowOff>0</xdr:rowOff>
    </xdr:from>
    <xdr:to>
      <xdr:col>29</xdr:col>
      <xdr:colOff>83820</xdr:colOff>
      <xdr:row>44</xdr:row>
      <xdr:rowOff>114300</xdr:rowOff>
    </xdr:to>
    <xdr:sp macro="" textlink="">
      <xdr:nvSpPr>
        <xdr:cNvPr id="315" name="Arrow: Down 314">
          <a:extLst>
            <a:ext uri="{FF2B5EF4-FFF2-40B4-BE49-F238E27FC236}">
              <a16:creationId xmlns:a16="http://schemas.microsoft.com/office/drawing/2014/main" id="{9A123AF8-29C1-4102-9480-D26D2F63CA1B}"/>
            </a:ext>
          </a:extLst>
        </xdr:cNvPr>
        <xdr:cNvSpPr/>
      </xdr:nvSpPr>
      <xdr:spPr>
        <a:xfrm rot="10800000">
          <a:off x="746760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44</xdr:row>
      <xdr:rowOff>0</xdr:rowOff>
    </xdr:from>
    <xdr:to>
      <xdr:col>35</xdr:col>
      <xdr:colOff>83820</xdr:colOff>
      <xdr:row>44</xdr:row>
      <xdr:rowOff>114300</xdr:rowOff>
    </xdr:to>
    <xdr:sp macro="" textlink="">
      <xdr:nvSpPr>
        <xdr:cNvPr id="321" name="Arrow: Down 320">
          <a:extLst>
            <a:ext uri="{FF2B5EF4-FFF2-40B4-BE49-F238E27FC236}">
              <a16:creationId xmlns:a16="http://schemas.microsoft.com/office/drawing/2014/main" id="{31161BCB-25CD-4D64-B6B5-1DCC83DD28F2}"/>
            </a:ext>
          </a:extLst>
        </xdr:cNvPr>
        <xdr:cNvSpPr/>
      </xdr:nvSpPr>
      <xdr:spPr>
        <a:xfrm rot="10800000">
          <a:off x="889254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50</xdr:col>
      <xdr:colOff>0</xdr:colOff>
      <xdr:row>44</xdr:row>
      <xdr:rowOff>0</xdr:rowOff>
    </xdr:from>
    <xdr:to>
      <xdr:col>50</xdr:col>
      <xdr:colOff>83820</xdr:colOff>
      <xdr:row>44</xdr:row>
      <xdr:rowOff>114300</xdr:rowOff>
    </xdr:to>
    <xdr:sp macro="" textlink="">
      <xdr:nvSpPr>
        <xdr:cNvPr id="324" name="Arrow: Down 323">
          <a:extLst>
            <a:ext uri="{FF2B5EF4-FFF2-40B4-BE49-F238E27FC236}">
              <a16:creationId xmlns:a16="http://schemas.microsoft.com/office/drawing/2014/main" id="{44D8E979-E51F-48DC-ABC2-F8BB2B4AD455}"/>
            </a:ext>
          </a:extLst>
        </xdr:cNvPr>
        <xdr:cNvSpPr/>
      </xdr:nvSpPr>
      <xdr:spPr>
        <a:xfrm rot="10800000">
          <a:off x="12694920" y="7947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44</xdr:row>
      <xdr:rowOff>0</xdr:rowOff>
    </xdr:from>
    <xdr:to>
      <xdr:col>58</xdr:col>
      <xdr:colOff>83820</xdr:colOff>
      <xdr:row>44</xdr:row>
      <xdr:rowOff>114300</xdr:rowOff>
    </xdr:to>
    <xdr:sp macro="" textlink="">
      <xdr:nvSpPr>
        <xdr:cNvPr id="325" name="Arrow: Down 324">
          <a:extLst>
            <a:ext uri="{FF2B5EF4-FFF2-40B4-BE49-F238E27FC236}">
              <a16:creationId xmlns:a16="http://schemas.microsoft.com/office/drawing/2014/main" id="{52AD9449-08EF-48E2-9D6F-4DDEFE7A4AFF}"/>
            </a:ext>
          </a:extLst>
        </xdr:cNvPr>
        <xdr:cNvSpPr/>
      </xdr:nvSpPr>
      <xdr:spPr>
        <a:xfrm>
          <a:off x="1429512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44</xdr:row>
      <xdr:rowOff>0</xdr:rowOff>
    </xdr:from>
    <xdr:to>
      <xdr:col>5</xdr:col>
      <xdr:colOff>83820</xdr:colOff>
      <xdr:row>44</xdr:row>
      <xdr:rowOff>114300</xdr:rowOff>
    </xdr:to>
    <xdr:sp macro="" textlink="">
      <xdr:nvSpPr>
        <xdr:cNvPr id="327" name="Arrow: Down 326">
          <a:extLst>
            <a:ext uri="{FF2B5EF4-FFF2-40B4-BE49-F238E27FC236}">
              <a16:creationId xmlns:a16="http://schemas.microsoft.com/office/drawing/2014/main" id="{90157CB6-17A1-4C7E-BE97-B2AAEA9A88CA}"/>
            </a:ext>
          </a:extLst>
        </xdr:cNvPr>
        <xdr:cNvSpPr/>
      </xdr:nvSpPr>
      <xdr:spPr>
        <a:xfrm rot="10800000">
          <a:off x="2247900" y="7947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44</xdr:row>
      <xdr:rowOff>0</xdr:rowOff>
    </xdr:from>
    <xdr:to>
      <xdr:col>11</xdr:col>
      <xdr:colOff>83820</xdr:colOff>
      <xdr:row>44</xdr:row>
      <xdr:rowOff>114300</xdr:rowOff>
    </xdr:to>
    <xdr:sp macro="" textlink="">
      <xdr:nvSpPr>
        <xdr:cNvPr id="328" name="Arrow: Down 327">
          <a:extLst>
            <a:ext uri="{FF2B5EF4-FFF2-40B4-BE49-F238E27FC236}">
              <a16:creationId xmlns:a16="http://schemas.microsoft.com/office/drawing/2014/main" id="{94BC1936-50CF-4B04-BB6F-53CDE90A1913}"/>
            </a:ext>
          </a:extLst>
        </xdr:cNvPr>
        <xdr:cNvSpPr/>
      </xdr:nvSpPr>
      <xdr:spPr>
        <a:xfrm rot="10800000">
          <a:off x="3909060" y="7947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44</xdr:row>
      <xdr:rowOff>0</xdr:rowOff>
    </xdr:from>
    <xdr:to>
      <xdr:col>18</xdr:col>
      <xdr:colOff>83820</xdr:colOff>
      <xdr:row>44</xdr:row>
      <xdr:rowOff>114300</xdr:rowOff>
    </xdr:to>
    <xdr:sp macro="" textlink="">
      <xdr:nvSpPr>
        <xdr:cNvPr id="329" name="Arrow: Down 328">
          <a:extLst>
            <a:ext uri="{FF2B5EF4-FFF2-40B4-BE49-F238E27FC236}">
              <a16:creationId xmlns:a16="http://schemas.microsoft.com/office/drawing/2014/main" id="{CB536BAD-0275-482B-A25D-B1AE0714FAD2}"/>
            </a:ext>
          </a:extLst>
        </xdr:cNvPr>
        <xdr:cNvSpPr/>
      </xdr:nvSpPr>
      <xdr:spPr>
        <a:xfrm>
          <a:off x="489966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45</xdr:row>
      <xdr:rowOff>0</xdr:rowOff>
    </xdr:from>
    <xdr:to>
      <xdr:col>35</xdr:col>
      <xdr:colOff>83820</xdr:colOff>
      <xdr:row>45</xdr:row>
      <xdr:rowOff>114300</xdr:rowOff>
    </xdr:to>
    <xdr:sp macro="" textlink="">
      <xdr:nvSpPr>
        <xdr:cNvPr id="332" name="Arrow: Down 331">
          <a:extLst>
            <a:ext uri="{FF2B5EF4-FFF2-40B4-BE49-F238E27FC236}">
              <a16:creationId xmlns:a16="http://schemas.microsoft.com/office/drawing/2014/main" id="{5ACDB84E-659B-4B0B-AB95-1E4FC804F4DE}"/>
            </a:ext>
          </a:extLst>
        </xdr:cNvPr>
        <xdr:cNvSpPr/>
      </xdr:nvSpPr>
      <xdr:spPr>
        <a:xfrm rot="10800000">
          <a:off x="897636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45</xdr:row>
      <xdr:rowOff>0</xdr:rowOff>
    </xdr:from>
    <xdr:to>
      <xdr:col>11</xdr:col>
      <xdr:colOff>83820</xdr:colOff>
      <xdr:row>45</xdr:row>
      <xdr:rowOff>114300</xdr:rowOff>
    </xdr:to>
    <xdr:sp macro="" textlink="">
      <xdr:nvSpPr>
        <xdr:cNvPr id="339" name="Arrow: Down 338">
          <a:extLst>
            <a:ext uri="{FF2B5EF4-FFF2-40B4-BE49-F238E27FC236}">
              <a16:creationId xmlns:a16="http://schemas.microsoft.com/office/drawing/2014/main" id="{C659AA08-88FC-493C-9C6E-A680076F9155}"/>
            </a:ext>
          </a:extLst>
        </xdr:cNvPr>
        <xdr:cNvSpPr/>
      </xdr:nvSpPr>
      <xdr:spPr>
        <a:xfrm>
          <a:off x="390906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45</xdr:row>
      <xdr:rowOff>0</xdr:rowOff>
    </xdr:from>
    <xdr:to>
      <xdr:col>5</xdr:col>
      <xdr:colOff>83820</xdr:colOff>
      <xdr:row>45</xdr:row>
      <xdr:rowOff>114300</xdr:rowOff>
    </xdr:to>
    <xdr:sp macro="" textlink="">
      <xdr:nvSpPr>
        <xdr:cNvPr id="340" name="Arrow: Down 339">
          <a:extLst>
            <a:ext uri="{FF2B5EF4-FFF2-40B4-BE49-F238E27FC236}">
              <a16:creationId xmlns:a16="http://schemas.microsoft.com/office/drawing/2014/main" id="{8CB5A35C-3B24-40E0-A58F-43AECCB5FD51}"/>
            </a:ext>
          </a:extLst>
        </xdr:cNvPr>
        <xdr:cNvSpPr/>
      </xdr:nvSpPr>
      <xdr:spPr>
        <a:xfrm>
          <a:off x="224790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18</xdr:col>
      <xdr:colOff>0</xdr:colOff>
      <xdr:row>45</xdr:row>
      <xdr:rowOff>0</xdr:rowOff>
    </xdr:from>
    <xdr:to>
      <xdr:col>18</xdr:col>
      <xdr:colOff>83820</xdr:colOff>
      <xdr:row>45</xdr:row>
      <xdr:rowOff>114300</xdr:rowOff>
    </xdr:to>
    <xdr:sp macro="" textlink="">
      <xdr:nvSpPr>
        <xdr:cNvPr id="341" name="Arrow: Down 340">
          <a:extLst>
            <a:ext uri="{FF2B5EF4-FFF2-40B4-BE49-F238E27FC236}">
              <a16:creationId xmlns:a16="http://schemas.microsoft.com/office/drawing/2014/main" id="{7E0256CF-3537-4CE5-93E5-69F9F3ABF3F5}"/>
            </a:ext>
          </a:extLst>
        </xdr:cNvPr>
        <xdr:cNvSpPr/>
      </xdr:nvSpPr>
      <xdr:spPr>
        <a:xfrm rot="10800000">
          <a:off x="489966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50</xdr:col>
      <xdr:colOff>0</xdr:colOff>
      <xdr:row>45</xdr:row>
      <xdr:rowOff>0</xdr:rowOff>
    </xdr:from>
    <xdr:to>
      <xdr:col>50</xdr:col>
      <xdr:colOff>83820</xdr:colOff>
      <xdr:row>45</xdr:row>
      <xdr:rowOff>114300</xdr:rowOff>
    </xdr:to>
    <xdr:sp macro="" textlink="">
      <xdr:nvSpPr>
        <xdr:cNvPr id="343" name="Arrow: Down 342">
          <a:extLst>
            <a:ext uri="{FF2B5EF4-FFF2-40B4-BE49-F238E27FC236}">
              <a16:creationId xmlns:a16="http://schemas.microsoft.com/office/drawing/2014/main" id="{C9DC1E07-5809-4FB1-B5FB-E0BFBF927407}"/>
            </a:ext>
          </a:extLst>
        </xdr:cNvPr>
        <xdr:cNvSpPr/>
      </xdr:nvSpPr>
      <xdr:spPr>
        <a:xfrm rot="10800000">
          <a:off x="1277874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45</xdr:row>
      <xdr:rowOff>0</xdr:rowOff>
    </xdr:from>
    <xdr:to>
      <xdr:col>58</xdr:col>
      <xdr:colOff>160020</xdr:colOff>
      <xdr:row>45</xdr:row>
      <xdr:rowOff>167640</xdr:rowOff>
    </xdr:to>
    <xdr:sp macro="" textlink="">
      <xdr:nvSpPr>
        <xdr:cNvPr id="344" name="Minus Sign 343">
          <a:extLst>
            <a:ext uri="{FF2B5EF4-FFF2-40B4-BE49-F238E27FC236}">
              <a16:creationId xmlns:a16="http://schemas.microsoft.com/office/drawing/2014/main" id="{F71A9B29-DF98-4A0D-B8DF-0B25736B0081}"/>
            </a:ext>
          </a:extLst>
        </xdr:cNvPr>
        <xdr:cNvSpPr/>
      </xdr:nvSpPr>
      <xdr:spPr>
        <a:xfrm>
          <a:off x="14378940" y="81305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29</xdr:col>
      <xdr:colOff>0</xdr:colOff>
      <xdr:row>45</xdr:row>
      <xdr:rowOff>0</xdr:rowOff>
    </xdr:from>
    <xdr:to>
      <xdr:col>29</xdr:col>
      <xdr:colOff>83820</xdr:colOff>
      <xdr:row>45</xdr:row>
      <xdr:rowOff>114300</xdr:rowOff>
    </xdr:to>
    <xdr:sp macro="" textlink="">
      <xdr:nvSpPr>
        <xdr:cNvPr id="346" name="Arrow: Down 345">
          <a:extLst>
            <a:ext uri="{FF2B5EF4-FFF2-40B4-BE49-F238E27FC236}">
              <a16:creationId xmlns:a16="http://schemas.microsoft.com/office/drawing/2014/main" id="{936775B8-BF7B-4F4E-BB6B-BCDDCFF51721}"/>
            </a:ext>
          </a:extLst>
        </xdr:cNvPr>
        <xdr:cNvSpPr/>
      </xdr:nvSpPr>
      <xdr:spPr>
        <a:xfrm>
          <a:off x="746760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46</xdr:row>
      <xdr:rowOff>0</xdr:rowOff>
    </xdr:from>
    <xdr:to>
      <xdr:col>11</xdr:col>
      <xdr:colOff>83820</xdr:colOff>
      <xdr:row>46</xdr:row>
      <xdr:rowOff>114300</xdr:rowOff>
    </xdr:to>
    <xdr:sp macro="" textlink="">
      <xdr:nvSpPr>
        <xdr:cNvPr id="357" name="Arrow: Down 356">
          <a:extLst>
            <a:ext uri="{FF2B5EF4-FFF2-40B4-BE49-F238E27FC236}">
              <a16:creationId xmlns:a16="http://schemas.microsoft.com/office/drawing/2014/main" id="{1F7AC640-42EA-4049-802D-EE01D3930EA7}"/>
            </a:ext>
          </a:extLst>
        </xdr:cNvPr>
        <xdr:cNvSpPr/>
      </xdr:nvSpPr>
      <xdr:spPr>
        <a:xfrm>
          <a:off x="364236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46</xdr:row>
      <xdr:rowOff>0</xdr:rowOff>
    </xdr:from>
    <xdr:to>
      <xdr:col>5</xdr:col>
      <xdr:colOff>83820</xdr:colOff>
      <xdr:row>46</xdr:row>
      <xdr:rowOff>114300</xdr:rowOff>
    </xdr:to>
    <xdr:sp macro="" textlink="">
      <xdr:nvSpPr>
        <xdr:cNvPr id="358" name="Arrow: Down 357">
          <a:extLst>
            <a:ext uri="{FF2B5EF4-FFF2-40B4-BE49-F238E27FC236}">
              <a16:creationId xmlns:a16="http://schemas.microsoft.com/office/drawing/2014/main" id="{F4042769-6FFE-41D2-8E13-D1A7B73F3AC9}"/>
            </a:ext>
          </a:extLst>
        </xdr:cNvPr>
        <xdr:cNvSpPr/>
      </xdr:nvSpPr>
      <xdr:spPr>
        <a:xfrm>
          <a:off x="201168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58</xdr:col>
      <xdr:colOff>0</xdr:colOff>
      <xdr:row>46</xdr:row>
      <xdr:rowOff>0</xdr:rowOff>
    </xdr:from>
    <xdr:to>
      <xdr:col>58</xdr:col>
      <xdr:colOff>160020</xdr:colOff>
      <xdr:row>46</xdr:row>
      <xdr:rowOff>167640</xdr:rowOff>
    </xdr:to>
    <xdr:sp macro="" textlink="">
      <xdr:nvSpPr>
        <xdr:cNvPr id="361" name="Minus Sign 360">
          <a:extLst>
            <a:ext uri="{FF2B5EF4-FFF2-40B4-BE49-F238E27FC236}">
              <a16:creationId xmlns:a16="http://schemas.microsoft.com/office/drawing/2014/main" id="{236439A6-4726-444C-A663-CA5D8F68475A}"/>
            </a:ext>
          </a:extLst>
        </xdr:cNvPr>
        <xdr:cNvSpPr/>
      </xdr:nvSpPr>
      <xdr:spPr>
        <a:xfrm>
          <a:off x="13426440" y="81305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18</xdr:col>
      <xdr:colOff>0</xdr:colOff>
      <xdr:row>46</xdr:row>
      <xdr:rowOff>0</xdr:rowOff>
    </xdr:from>
    <xdr:to>
      <xdr:col>18</xdr:col>
      <xdr:colOff>83820</xdr:colOff>
      <xdr:row>46</xdr:row>
      <xdr:rowOff>114300</xdr:rowOff>
    </xdr:to>
    <xdr:sp macro="" textlink="">
      <xdr:nvSpPr>
        <xdr:cNvPr id="248" name="Arrow: Down 247">
          <a:extLst>
            <a:ext uri="{FF2B5EF4-FFF2-40B4-BE49-F238E27FC236}">
              <a16:creationId xmlns:a16="http://schemas.microsoft.com/office/drawing/2014/main" id="{0F096A08-A479-4A49-ADAC-A96DD83AC478}"/>
            </a:ext>
          </a:extLst>
        </xdr:cNvPr>
        <xdr:cNvSpPr/>
      </xdr:nvSpPr>
      <xdr:spPr>
        <a:xfrm>
          <a:off x="470916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50</xdr:col>
      <xdr:colOff>0</xdr:colOff>
      <xdr:row>46</xdr:row>
      <xdr:rowOff>0</xdr:rowOff>
    </xdr:from>
    <xdr:to>
      <xdr:col>50</xdr:col>
      <xdr:colOff>83820</xdr:colOff>
      <xdr:row>46</xdr:row>
      <xdr:rowOff>114300</xdr:rowOff>
    </xdr:to>
    <xdr:sp macro="" textlink="">
      <xdr:nvSpPr>
        <xdr:cNvPr id="254" name="Arrow: Down 253">
          <a:extLst>
            <a:ext uri="{FF2B5EF4-FFF2-40B4-BE49-F238E27FC236}">
              <a16:creationId xmlns:a16="http://schemas.microsoft.com/office/drawing/2014/main" id="{3110B73A-5328-4BFB-8923-81038505B7A7}"/>
            </a:ext>
          </a:extLst>
        </xdr:cNvPr>
        <xdr:cNvSpPr/>
      </xdr:nvSpPr>
      <xdr:spPr>
        <a:xfrm rot="10800000">
          <a:off x="12039600" y="8313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46</xdr:row>
      <xdr:rowOff>0</xdr:rowOff>
    </xdr:from>
    <xdr:to>
      <xdr:col>35</xdr:col>
      <xdr:colOff>83820</xdr:colOff>
      <xdr:row>46</xdr:row>
      <xdr:rowOff>114300</xdr:rowOff>
    </xdr:to>
    <xdr:sp macro="" textlink="">
      <xdr:nvSpPr>
        <xdr:cNvPr id="274" name="Arrow: Down 273">
          <a:extLst>
            <a:ext uri="{FF2B5EF4-FFF2-40B4-BE49-F238E27FC236}">
              <a16:creationId xmlns:a16="http://schemas.microsoft.com/office/drawing/2014/main" id="{7591F24B-49B2-4FE7-8BD3-3E646FCF5BBB}"/>
            </a:ext>
          </a:extLst>
        </xdr:cNvPr>
        <xdr:cNvSpPr/>
      </xdr:nvSpPr>
      <xdr:spPr>
        <a:xfrm>
          <a:off x="8481060" y="8313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46</xdr:row>
      <xdr:rowOff>0</xdr:rowOff>
    </xdr:from>
    <xdr:to>
      <xdr:col>29</xdr:col>
      <xdr:colOff>83820</xdr:colOff>
      <xdr:row>46</xdr:row>
      <xdr:rowOff>114300</xdr:rowOff>
    </xdr:to>
    <xdr:sp macro="" textlink="">
      <xdr:nvSpPr>
        <xdr:cNvPr id="286" name="Arrow: Down 285">
          <a:extLst>
            <a:ext uri="{FF2B5EF4-FFF2-40B4-BE49-F238E27FC236}">
              <a16:creationId xmlns:a16="http://schemas.microsoft.com/office/drawing/2014/main" id="{F8E81272-BA20-44C0-A531-6521773633E5}"/>
            </a:ext>
          </a:extLst>
        </xdr:cNvPr>
        <xdr:cNvSpPr/>
      </xdr:nvSpPr>
      <xdr:spPr>
        <a:xfrm>
          <a:off x="6972300" y="8313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47</xdr:row>
      <xdr:rowOff>0</xdr:rowOff>
    </xdr:from>
    <xdr:to>
      <xdr:col>11</xdr:col>
      <xdr:colOff>83820</xdr:colOff>
      <xdr:row>47</xdr:row>
      <xdr:rowOff>114300</xdr:rowOff>
    </xdr:to>
    <xdr:sp macro="" textlink="">
      <xdr:nvSpPr>
        <xdr:cNvPr id="287" name="Arrow: Down 286">
          <a:extLst>
            <a:ext uri="{FF2B5EF4-FFF2-40B4-BE49-F238E27FC236}">
              <a16:creationId xmlns:a16="http://schemas.microsoft.com/office/drawing/2014/main" id="{4BA760F7-643A-487B-B0B9-237AF1FB7B52}"/>
            </a:ext>
          </a:extLst>
        </xdr:cNvPr>
        <xdr:cNvSpPr/>
      </xdr:nvSpPr>
      <xdr:spPr>
        <a:xfrm>
          <a:off x="375666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47</xdr:row>
      <xdr:rowOff>0</xdr:rowOff>
    </xdr:from>
    <xdr:to>
      <xdr:col>5</xdr:col>
      <xdr:colOff>83820</xdr:colOff>
      <xdr:row>47</xdr:row>
      <xdr:rowOff>114300</xdr:rowOff>
    </xdr:to>
    <xdr:sp macro="" textlink="">
      <xdr:nvSpPr>
        <xdr:cNvPr id="289" name="Arrow: Down 288">
          <a:extLst>
            <a:ext uri="{FF2B5EF4-FFF2-40B4-BE49-F238E27FC236}">
              <a16:creationId xmlns:a16="http://schemas.microsoft.com/office/drawing/2014/main" id="{F5F199CC-EDE0-4B4D-91C2-A6CE1CE13B1D}"/>
            </a:ext>
          </a:extLst>
        </xdr:cNvPr>
        <xdr:cNvSpPr/>
      </xdr:nvSpPr>
      <xdr:spPr>
        <a:xfrm>
          <a:off x="204978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29</xdr:col>
      <xdr:colOff>0</xdr:colOff>
      <xdr:row>47</xdr:row>
      <xdr:rowOff>0</xdr:rowOff>
    </xdr:from>
    <xdr:to>
      <xdr:col>29</xdr:col>
      <xdr:colOff>83820</xdr:colOff>
      <xdr:row>47</xdr:row>
      <xdr:rowOff>114300</xdr:rowOff>
    </xdr:to>
    <xdr:sp macro="" textlink="">
      <xdr:nvSpPr>
        <xdr:cNvPr id="299" name="Arrow: Down 298">
          <a:extLst>
            <a:ext uri="{FF2B5EF4-FFF2-40B4-BE49-F238E27FC236}">
              <a16:creationId xmlns:a16="http://schemas.microsoft.com/office/drawing/2014/main" id="{85C6E46C-D3A9-41D5-8D84-EE1CEAD0100D}"/>
            </a:ext>
          </a:extLst>
        </xdr:cNvPr>
        <xdr:cNvSpPr/>
      </xdr:nvSpPr>
      <xdr:spPr>
        <a:xfrm rot="10800000">
          <a:off x="706374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47</xdr:row>
      <xdr:rowOff>0</xdr:rowOff>
    </xdr:from>
    <xdr:to>
      <xdr:col>35</xdr:col>
      <xdr:colOff>83820</xdr:colOff>
      <xdr:row>47</xdr:row>
      <xdr:rowOff>114300</xdr:rowOff>
    </xdr:to>
    <xdr:sp macro="" textlink="">
      <xdr:nvSpPr>
        <xdr:cNvPr id="304" name="Arrow: Down 303">
          <a:extLst>
            <a:ext uri="{FF2B5EF4-FFF2-40B4-BE49-F238E27FC236}">
              <a16:creationId xmlns:a16="http://schemas.microsoft.com/office/drawing/2014/main" id="{8E032D83-1051-4750-9672-8DC24E5E05E6}"/>
            </a:ext>
          </a:extLst>
        </xdr:cNvPr>
        <xdr:cNvSpPr/>
      </xdr:nvSpPr>
      <xdr:spPr>
        <a:xfrm rot="10800000">
          <a:off x="857250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50</xdr:col>
      <xdr:colOff>0</xdr:colOff>
      <xdr:row>47</xdr:row>
      <xdr:rowOff>0</xdr:rowOff>
    </xdr:from>
    <xdr:to>
      <xdr:col>50</xdr:col>
      <xdr:colOff>83820</xdr:colOff>
      <xdr:row>47</xdr:row>
      <xdr:rowOff>114300</xdr:rowOff>
    </xdr:to>
    <xdr:sp macro="" textlink="">
      <xdr:nvSpPr>
        <xdr:cNvPr id="305" name="Arrow: Down 304">
          <a:extLst>
            <a:ext uri="{FF2B5EF4-FFF2-40B4-BE49-F238E27FC236}">
              <a16:creationId xmlns:a16="http://schemas.microsoft.com/office/drawing/2014/main" id="{73FC4566-12F4-4B05-8139-DF7FD9EC760B}"/>
            </a:ext>
          </a:extLst>
        </xdr:cNvPr>
        <xdr:cNvSpPr/>
      </xdr:nvSpPr>
      <xdr:spPr>
        <a:xfrm>
          <a:off x="1213104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47</xdr:row>
      <xdr:rowOff>0</xdr:rowOff>
    </xdr:from>
    <xdr:to>
      <xdr:col>58</xdr:col>
      <xdr:colOff>83820</xdr:colOff>
      <xdr:row>47</xdr:row>
      <xdr:rowOff>114300</xdr:rowOff>
    </xdr:to>
    <xdr:sp macro="" textlink="">
      <xdr:nvSpPr>
        <xdr:cNvPr id="306" name="Arrow: Down 305">
          <a:extLst>
            <a:ext uri="{FF2B5EF4-FFF2-40B4-BE49-F238E27FC236}">
              <a16:creationId xmlns:a16="http://schemas.microsoft.com/office/drawing/2014/main" id="{742BBEA0-0760-4439-A41A-B278951225AA}"/>
            </a:ext>
          </a:extLst>
        </xdr:cNvPr>
        <xdr:cNvSpPr/>
      </xdr:nvSpPr>
      <xdr:spPr>
        <a:xfrm>
          <a:off x="1359408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47</xdr:row>
      <xdr:rowOff>0</xdr:rowOff>
    </xdr:from>
    <xdr:to>
      <xdr:col>18</xdr:col>
      <xdr:colOff>83820</xdr:colOff>
      <xdr:row>47</xdr:row>
      <xdr:rowOff>114300</xdr:rowOff>
    </xdr:to>
    <xdr:sp macro="" textlink="">
      <xdr:nvSpPr>
        <xdr:cNvPr id="308" name="Arrow: Down 307">
          <a:extLst>
            <a:ext uri="{FF2B5EF4-FFF2-40B4-BE49-F238E27FC236}">
              <a16:creationId xmlns:a16="http://schemas.microsoft.com/office/drawing/2014/main" id="{B4779F71-B992-4F0F-99FB-5458E4E72460}"/>
            </a:ext>
          </a:extLst>
        </xdr:cNvPr>
        <xdr:cNvSpPr/>
      </xdr:nvSpPr>
      <xdr:spPr>
        <a:xfrm rot="10800000">
          <a:off x="4800600" y="8496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48</xdr:row>
      <xdr:rowOff>0</xdr:rowOff>
    </xdr:from>
    <xdr:to>
      <xdr:col>18</xdr:col>
      <xdr:colOff>83820</xdr:colOff>
      <xdr:row>48</xdr:row>
      <xdr:rowOff>114300</xdr:rowOff>
    </xdr:to>
    <xdr:sp macro="" textlink="">
      <xdr:nvSpPr>
        <xdr:cNvPr id="317" name="Arrow: Down 316">
          <a:extLst>
            <a:ext uri="{FF2B5EF4-FFF2-40B4-BE49-F238E27FC236}">
              <a16:creationId xmlns:a16="http://schemas.microsoft.com/office/drawing/2014/main" id="{D3E96B45-25BA-40E4-8583-D220D57171B3}"/>
            </a:ext>
          </a:extLst>
        </xdr:cNvPr>
        <xdr:cNvSpPr/>
      </xdr:nvSpPr>
      <xdr:spPr>
        <a:xfrm rot="10800000">
          <a:off x="4800600" y="8496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48</xdr:row>
      <xdr:rowOff>0</xdr:rowOff>
    </xdr:from>
    <xdr:to>
      <xdr:col>5</xdr:col>
      <xdr:colOff>83820</xdr:colOff>
      <xdr:row>48</xdr:row>
      <xdr:rowOff>114300</xdr:rowOff>
    </xdr:to>
    <xdr:sp macro="" textlink="">
      <xdr:nvSpPr>
        <xdr:cNvPr id="292" name="Arrow: Down 291">
          <a:extLst>
            <a:ext uri="{FF2B5EF4-FFF2-40B4-BE49-F238E27FC236}">
              <a16:creationId xmlns:a16="http://schemas.microsoft.com/office/drawing/2014/main" id="{5F441EC3-E193-4089-AB14-933F714F6ADB}"/>
            </a:ext>
          </a:extLst>
        </xdr:cNvPr>
        <xdr:cNvSpPr/>
      </xdr:nvSpPr>
      <xdr:spPr>
        <a:xfrm rot="10800000">
          <a:off x="2103120" y="8679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48</xdr:row>
      <xdr:rowOff>0</xdr:rowOff>
    </xdr:from>
    <xdr:to>
      <xdr:col>11</xdr:col>
      <xdr:colOff>83820</xdr:colOff>
      <xdr:row>48</xdr:row>
      <xdr:rowOff>114300</xdr:rowOff>
    </xdr:to>
    <xdr:sp macro="" textlink="">
      <xdr:nvSpPr>
        <xdr:cNvPr id="293" name="Arrow: Down 292">
          <a:extLst>
            <a:ext uri="{FF2B5EF4-FFF2-40B4-BE49-F238E27FC236}">
              <a16:creationId xmlns:a16="http://schemas.microsoft.com/office/drawing/2014/main" id="{74E774A1-D356-4698-B273-FD6FB054A9B9}"/>
            </a:ext>
          </a:extLst>
        </xdr:cNvPr>
        <xdr:cNvSpPr/>
      </xdr:nvSpPr>
      <xdr:spPr>
        <a:xfrm rot="10800000">
          <a:off x="3810000" y="8679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48</xdr:row>
      <xdr:rowOff>0</xdr:rowOff>
    </xdr:from>
    <xdr:to>
      <xdr:col>29</xdr:col>
      <xdr:colOff>83820</xdr:colOff>
      <xdr:row>48</xdr:row>
      <xdr:rowOff>114300</xdr:rowOff>
    </xdr:to>
    <xdr:sp macro="" textlink="">
      <xdr:nvSpPr>
        <xdr:cNvPr id="302" name="Arrow: Down 301">
          <a:extLst>
            <a:ext uri="{FF2B5EF4-FFF2-40B4-BE49-F238E27FC236}">
              <a16:creationId xmlns:a16="http://schemas.microsoft.com/office/drawing/2014/main" id="{1057E32F-1D30-494C-BB20-C07D885A8F2E}"/>
            </a:ext>
          </a:extLst>
        </xdr:cNvPr>
        <xdr:cNvSpPr/>
      </xdr:nvSpPr>
      <xdr:spPr>
        <a:xfrm>
          <a:off x="7063740" y="8679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48</xdr:row>
      <xdr:rowOff>0</xdr:rowOff>
    </xdr:from>
    <xdr:to>
      <xdr:col>35</xdr:col>
      <xdr:colOff>83820</xdr:colOff>
      <xdr:row>48</xdr:row>
      <xdr:rowOff>114300</xdr:rowOff>
    </xdr:to>
    <xdr:sp macro="" textlink="">
      <xdr:nvSpPr>
        <xdr:cNvPr id="318" name="Arrow: Down 317">
          <a:extLst>
            <a:ext uri="{FF2B5EF4-FFF2-40B4-BE49-F238E27FC236}">
              <a16:creationId xmlns:a16="http://schemas.microsoft.com/office/drawing/2014/main" id="{9FBB4625-A08D-4794-8973-214BF4A352C9}"/>
            </a:ext>
          </a:extLst>
        </xdr:cNvPr>
        <xdr:cNvSpPr/>
      </xdr:nvSpPr>
      <xdr:spPr>
        <a:xfrm>
          <a:off x="8572500" y="8679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48</xdr:row>
      <xdr:rowOff>0</xdr:rowOff>
    </xdr:from>
    <xdr:to>
      <xdr:col>58</xdr:col>
      <xdr:colOff>160020</xdr:colOff>
      <xdr:row>48</xdr:row>
      <xdr:rowOff>167640</xdr:rowOff>
    </xdr:to>
    <xdr:sp macro="" textlink="">
      <xdr:nvSpPr>
        <xdr:cNvPr id="320" name="Minus Sign 319">
          <a:extLst>
            <a:ext uri="{FF2B5EF4-FFF2-40B4-BE49-F238E27FC236}">
              <a16:creationId xmlns:a16="http://schemas.microsoft.com/office/drawing/2014/main" id="{814DCEC0-AB76-40D0-8E92-777B96FAC0A4}"/>
            </a:ext>
          </a:extLst>
        </xdr:cNvPr>
        <xdr:cNvSpPr/>
      </xdr:nvSpPr>
      <xdr:spPr>
        <a:xfrm>
          <a:off x="13609320" y="86791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50</xdr:col>
      <xdr:colOff>0</xdr:colOff>
      <xdr:row>49</xdr:row>
      <xdr:rowOff>0</xdr:rowOff>
    </xdr:from>
    <xdr:to>
      <xdr:col>50</xdr:col>
      <xdr:colOff>83820</xdr:colOff>
      <xdr:row>49</xdr:row>
      <xdr:rowOff>114300</xdr:rowOff>
    </xdr:to>
    <xdr:sp macro="" textlink="">
      <xdr:nvSpPr>
        <xdr:cNvPr id="290" name="Arrow: Down 289">
          <a:extLst>
            <a:ext uri="{FF2B5EF4-FFF2-40B4-BE49-F238E27FC236}">
              <a16:creationId xmlns:a16="http://schemas.microsoft.com/office/drawing/2014/main" id="{FD9EC191-EA86-4DDA-AAD5-F090BCFF1C2A}"/>
            </a:ext>
          </a:extLst>
        </xdr:cNvPr>
        <xdr:cNvSpPr/>
      </xdr:nvSpPr>
      <xdr:spPr>
        <a:xfrm>
          <a:off x="1213104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49</xdr:row>
      <xdr:rowOff>0</xdr:rowOff>
    </xdr:from>
    <xdr:to>
      <xdr:col>18</xdr:col>
      <xdr:colOff>83820</xdr:colOff>
      <xdr:row>49</xdr:row>
      <xdr:rowOff>114300</xdr:rowOff>
    </xdr:to>
    <xdr:sp macro="" textlink="">
      <xdr:nvSpPr>
        <xdr:cNvPr id="313" name="Arrow: Down 312">
          <a:extLst>
            <a:ext uri="{FF2B5EF4-FFF2-40B4-BE49-F238E27FC236}">
              <a16:creationId xmlns:a16="http://schemas.microsoft.com/office/drawing/2014/main" id="{72E5B2E6-A77B-408E-AA1E-E6C946C3B7D7}"/>
            </a:ext>
          </a:extLst>
        </xdr:cNvPr>
        <xdr:cNvSpPr/>
      </xdr:nvSpPr>
      <xdr:spPr>
        <a:xfrm>
          <a:off x="4853940" y="9060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49</xdr:row>
      <xdr:rowOff>0</xdr:rowOff>
    </xdr:from>
    <xdr:to>
      <xdr:col>58</xdr:col>
      <xdr:colOff>83820</xdr:colOff>
      <xdr:row>49</xdr:row>
      <xdr:rowOff>114300</xdr:rowOff>
    </xdr:to>
    <xdr:sp macro="" textlink="">
      <xdr:nvSpPr>
        <xdr:cNvPr id="336" name="Arrow: Down 335">
          <a:extLst>
            <a:ext uri="{FF2B5EF4-FFF2-40B4-BE49-F238E27FC236}">
              <a16:creationId xmlns:a16="http://schemas.microsoft.com/office/drawing/2014/main" id="{1F29F4C9-0910-4C26-8D10-601837B2AEAB}"/>
            </a:ext>
          </a:extLst>
        </xdr:cNvPr>
        <xdr:cNvSpPr/>
      </xdr:nvSpPr>
      <xdr:spPr>
        <a:xfrm>
          <a:off x="1360932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49</xdr:row>
      <xdr:rowOff>0</xdr:rowOff>
    </xdr:from>
    <xdr:to>
      <xdr:col>35</xdr:col>
      <xdr:colOff>83820</xdr:colOff>
      <xdr:row>49</xdr:row>
      <xdr:rowOff>114300</xdr:rowOff>
    </xdr:to>
    <xdr:sp macro="" textlink="">
      <xdr:nvSpPr>
        <xdr:cNvPr id="338" name="Arrow: Down 337">
          <a:extLst>
            <a:ext uri="{FF2B5EF4-FFF2-40B4-BE49-F238E27FC236}">
              <a16:creationId xmlns:a16="http://schemas.microsoft.com/office/drawing/2014/main" id="{4147F885-F49C-4A43-B5CD-CDD14000A59E}"/>
            </a:ext>
          </a:extLst>
        </xdr:cNvPr>
        <xdr:cNvSpPr/>
      </xdr:nvSpPr>
      <xdr:spPr>
        <a:xfrm rot="10800000">
          <a:off x="857250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49</xdr:row>
      <xdr:rowOff>0</xdr:rowOff>
    </xdr:from>
    <xdr:to>
      <xdr:col>29</xdr:col>
      <xdr:colOff>83820</xdr:colOff>
      <xdr:row>49</xdr:row>
      <xdr:rowOff>114300</xdr:rowOff>
    </xdr:to>
    <xdr:sp macro="" textlink="">
      <xdr:nvSpPr>
        <xdr:cNvPr id="342" name="Arrow: Down 341">
          <a:extLst>
            <a:ext uri="{FF2B5EF4-FFF2-40B4-BE49-F238E27FC236}">
              <a16:creationId xmlns:a16="http://schemas.microsoft.com/office/drawing/2014/main" id="{F7B2184A-A29F-4436-817C-CA16395F2028}"/>
            </a:ext>
          </a:extLst>
        </xdr:cNvPr>
        <xdr:cNvSpPr/>
      </xdr:nvSpPr>
      <xdr:spPr>
        <a:xfrm rot="10800000">
          <a:off x="706374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49</xdr:row>
      <xdr:rowOff>0</xdr:rowOff>
    </xdr:from>
    <xdr:to>
      <xdr:col>11</xdr:col>
      <xdr:colOff>83820</xdr:colOff>
      <xdr:row>49</xdr:row>
      <xdr:rowOff>114300</xdr:rowOff>
    </xdr:to>
    <xdr:sp macro="" textlink="">
      <xdr:nvSpPr>
        <xdr:cNvPr id="345" name="Arrow: Down 344">
          <a:extLst>
            <a:ext uri="{FF2B5EF4-FFF2-40B4-BE49-F238E27FC236}">
              <a16:creationId xmlns:a16="http://schemas.microsoft.com/office/drawing/2014/main" id="{9ED3D758-438F-4AA0-B18C-B313C4EDD3E4}"/>
            </a:ext>
          </a:extLst>
        </xdr:cNvPr>
        <xdr:cNvSpPr/>
      </xdr:nvSpPr>
      <xdr:spPr>
        <a:xfrm rot="10800000">
          <a:off x="3810000" y="8862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49</xdr:row>
      <xdr:rowOff>0</xdr:rowOff>
    </xdr:from>
    <xdr:to>
      <xdr:col>5</xdr:col>
      <xdr:colOff>83820</xdr:colOff>
      <xdr:row>49</xdr:row>
      <xdr:rowOff>114300</xdr:rowOff>
    </xdr:to>
    <xdr:sp macro="" textlink="">
      <xdr:nvSpPr>
        <xdr:cNvPr id="349" name="Arrow: Down 348">
          <a:extLst>
            <a:ext uri="{FF2B5EF4-FFF2-40B4-BE49-F238E27FC236}">
              <a16:creationId xmlns:a16="http://schemas.microsoft.com/office/drawing/2014/main" id="{8D7D5AE1-4DE2-41CE-8EB6-94ED96D07B1D}"/>
            </a:ext>
          </a:extLst>
        </xdr:cNvPr>
        <xdr:cNvSpPr/>
      </xdr:nvSpPr>
      <xdr:spPr>
        <a:xfrm rot="10800000">
          <a:off x="2103120" y="8862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50</xdr:row>
      <xdr:rowOff>0</xdr:rowOff>
    </xdr:from>
    <xdr:to>
      <xdr:col>18</xdr:col>
      <xdr:colOff>83820</xdr:colOff>
      <xdr:row>50</xdr:row>
      <xdr:rowOff>114300</xdr:rowOff>
    </xdr:to>
    <xdr:sp macro="" textlink="">
      <xdr:nvSpPr>
        <xdr:cNvPr id="363" name="Arrow: Down 362">
          <a:extLst>
            <a:ext uri="{FF2B5EF4-FFF2-40B4-BE49-F238E27FC236}">
              <a16:creationId xmlns:a16="http://schemas.microsoft.com/office/drawing/2014/main" id="{B473B101-1DB4-48D1-9038-3EDC5F353A83}"/>
            </a:ext>
          </a:extLst>
        </xdr:cNvPr>
        <xdr:cNvSpPr/>
      </xdr:nvSpPr>
      <xdr:spPr>
        <a:xfrm>
          <a:off x="480060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50</xdr:row>
      <xdr:rowOff>0</xdr:rowOff>
    </xdr:from>
    <xdr:to>
      <xdr:col>35</xdr:col>
      <xdr:colOff>83820</xdr:colOff>
      <xdr:row>50</xdr:row>
      <xdr:rowOff>114300</xdr:rowOff>
    </xdr:to>
    <xdr:sp macro="" textlink="">
      <xdr:nvSpPr>
        <xdr:cNvPr id="252" name="Arrow: Down 251">
          <a:extLst>
            <a:ext uri="{FF2B5EF4-FFF2-40B4-BE49-F238E27FC236}">
              <a16:creationId xmlns:a16="http://schemas.microsoft.com/office/drawing/2014/main" id="{7487761B-24A8-4946-9CEF-03B7E85B8F5D}"/>
            </a:ext>
          </a:extLst>
        </xdr:cNvPr>
        <xdr:cNvSpPr/>
      </xdr:nvSpPr>
      <xdr:spPr>
        <a:xfrm rot="10800000">
          <a:off x="8923020" y="9243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50</xdr:row>
      <xdr:rowOff>0</xdr:rowOff>
    </xdr:from>
    <xdr:to>
      <xdr:col>58</xdr:col>
      <xdr:colOff>160020</xdr:colOff>
      <xdr:row>50</xdr:row>
      <xdr:rowOff>167640</xdr:rowOff>
    </xdr:to>
    <xdr:sp macro="" textlink="">
      <xdr:nvSpPr>
        <xdr:cNvPr id="257" name="Minus Sign 256">
          <a:extLst>
            <a:ext uri="{FF2B5EF4-FFF2-40B4-BE49-F238E27FC236}">
              <a16:creationId xmlns:a16="http://schemas.microsoft.com/office/drawing/2014/main" id="{5AF389FD-F401-4D9C-B995-BC5054D9355F}"/>
            </a:ext>
          </a:extLst>
        </xdr:cNvPr>
        <xdr:cNvSpPr/>
      </xdr:nvSpPr>
      <xdr:spPr>
        <a:xfrm>
          <a:off x="14104620" y="92430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50</xdr:col>
      <xdr:colOff>0</xdr:colOff>
      <xdr:row>50</xdr:row>
      <xdr:rowOff>0</xdr:rowOff>
    </xdr:from>
    <xdr:to>
      <xdr:col>50</xdr:col>
      <xdr:colOff>83820</xdr:colOff>
      <xdr:row>50</xdr:row>
      <xdr:rowOff>114300</xdr:rowOff>
    </xdr:to>
    <xdr:sp macro="" textlink="">
      <xdr:nvSpPr>
        <xdr:cNvPr id="259" name="Arrow: Down 258">
          <a:extLst>
            <a:ext uri="{FF2B5EF4-FFF2-40B4-BE49-F238E27FC236}">
              <a16:creationId xmlns:a16="http://schemas.microsoft.com/office/drawing/2014/main" id="{C421F5FD-6C7C-40A6-99E8-A2AC4FF96786}"/>
            </a:ext>
          </a:extLst>
        </xdr:cNvPr>
        <xdr:cNvSpPr/>
      </xdr:nvSpPr>
      <xdr:spPr>
        <a:xfrm rot="10800000">
          <a:off x="1262634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50</xdr:col>
      <xdr:colOff>0</xdr:colOff>
      <xdr:row>48</xdr:row>
      <xdr:rowOff>0</xdr:rowOff>
    </xdr:from>
    <xdr:to>
      <xdr:col>50</xdr:col>
      <xdr:colOff>83820</xdr:colOff>
      <xdr:row>48</xdr:row>
      <xdr:rowOff>114300</xdr:rowOff>
    </xdr:to>
    <xdr:sp macro="" textlink="">
      <xdr:nvSpPr>
        <xdr:cNvPr id="262" name="Arrow: Down 261">
          <a:extLst>
            <a:ext uri="{FF2B5EF4-FFF2-40B4-BE49-F238E27FC236}">
              <a16:creationId xmlns:a16="http://schemas.microsoft.com/office/drawing/2014/main" id="{61BA7A90-9B82-4A74-8A82-E6D1FC6552D1}"/>
            </a:ext>
          </a:extLst>
        </xdr:cNvPr>
        <xdr:cNvSpPr/>
      </xdr:nvSpPr>
      <xdr:spPr>
        <a:xfrm rot="10800000">
          <a:off x="12626340" y="8877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50</xdr:row>
      <xdr:rowOff>0</xdr:rowOff>
    </xdr:from>
    <xdr:to>
      <xdr:col>5</xdr:col>
      <xdr:colOff>83820</xdr:colOff>
      <xdr:row>50</xdr:row>
      <xdr:rowOff>114300</xdr:rowOff>
    </xdr:to>
    <xdr:sp macro="" textlink="">
      <xdr:nvSpPr>
        <xdr:cNvPr id="272" name="Arrow: Down 271">
          <a:extLst>
            <a:ext uri="{FF2B5EF4-FFF2-40B4-BE49-F238E27FC236}">
              <a16:creationId xmlns:a16="http://schemas.microsoft.com/office/drawing/2014/main" id="{440F694C-0BA2-4C3E-9831-2E02A14B499E}"/>
            </a:ext>
          </a:extLst>
        </xdr:cNvPr>
        <xdr:cNvSpPr/>
      </xdr:nvSpPr>
      <xdr:spPr>
        <a:xfrm rot="10800000">
          <a:off x="203454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50</xdr:row>
      <xdr:rowOff>0</xdr:rowOff>
    </xdr:from>
    <xdr:to>
      <xdr:col>11</xdr:col>
      <xdr:colOff>83820</xdr:colOff>
      <xdr:row>50</xdr:row>
      <xdr:rowOff>114300</xdr:rowOff>
    </xdr:to>
    <xdr:sp macro="" textlink="">
      <xdr:nvSpPr>
        <xdr:cNvPr id="273" name="Arrow: Down 272">
          <a:extLst>
            <a:ext uri="{FF2B5EF4-FFF2-40B4-BE49-F238E27FC236}">
              <a16:creationId xmlns:a16="http://schemas.microsoft.com/office/drawing/2014/main" id="{C3B79326-2A1D-49DC-B129-CE38B882A4AA}"/>
            </a:ext>
          </a:extLst>
        </xdr:cNvPr>
        <xdr:cNvSpPr/>
      </xdr:nvSpPr>
      <xdr:spPr>
        <a:xfrm rot="10800000">
          <a:off x="374142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50</xdr:row>
      <xdr:rowOff>0</xdr:rowOff>
    </xdr:from>
    <xdr:to>
      <xdr:col>29</xdr:col>
      <xdr:colOff>83820</xdr:colOff>
      <xdr:row>50</xdr:row>
      <xdr:rowOff>114300</xdr:rowOff>
    </xdr:to>
    <xdr:sp macro="" textlink="">
      <xdr:nvSpPr>
        <xdr:cNvPr id="291" name="Arrow: Down 290">
          <a:extLst>
            <a:ext uri="{FF2B5EF4-FFF2-40B4-BE49-F238E27FC236}">
              <a16:creationId xmlns:a16="http://schemas.microsoft.com/office/drawing/2014/main" id="{7679ED42-492D-4951-9DD0-634BA8C9EA30}"/>
            </a:ext>
          </a:extLst>
        </xdr:cNvPr>
        <xdr:cNvSpPr/>
      </xdr:nvSpPr>
      <xdr:spPr>
        <a:xfrm>
          <a:off x="741426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51</xdr:row>
      <xdr:rowOff>0</xdr:rowOff>
    </xdr:from>
    <xdr:to>
      <xdr:col>18</xdr:col>
      <xdr:colOff>83820</xdr:colOff>
      <xdr:row>51</xdr:row>
      <xdr:rowOff>114300</xdr:rowOff>
    </xdr:to>
    <xdr:sp macro="" textlink="">
      <xdr:nvSpPr>
        <xdr:cNvPr id="260" name="Arrow: Down 259">
          <a:extLst>
            <a:ext uri="{FF2B5EF4-FFF2-40B4-BE49-F238E27FC236}">
              <a16:creationId xmlns:a16="http://schemas.microsoft.com/office/drawing/2014/main" id="{D97FFBAD-3E5D-4B21-8156-2558F53FA37E}"/>
            </a:ext>
          </a:extLst>
        </xdr:cNvPr>
        <xdr:cNvSpPr/>
      </xdr:nvSpPr>
      <xdr:spPr>
        <a:xfrm>
          <a:off x="4853940" y="9243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51</xdr:row>
      <xdr:rowOff>0</xdr:rowOff>
    </xdr:from>
    <xdr:to>
      <xdr:col>35</xdr:col>
      <xdr:colOff>83820</xdr:colOff>
      <xdr:row>51</xdr:row>
      <xdr:rowOff>114300</xdr:rowOff>
    </xdr:to>
    <xdr:sp macro="" textlink="">
      <xdr:nvSpPr>
        <xdr:cNvPr id="275" name="Arrow: Down 274">
          <a:extLst>
            <a:ext uri="{FF2B5EF4-FFF2-40B4-BE49-F238E27FC236}">
              <a16:creationId xmlns:a16="http://schemas.microsoft.com/office/drawing/2014/main" id="{BE22226D-0E93-4684-8DBE-FC4E942762CE}"/>
            </a:ext>
          </a:extLst>
        </xdr:cNvPr>
        <xdr:cNvSpPr/>
      </xdr:nvSpPr>
      <xdr:spPr>
        <a:xfrm rot="10800000">
          <a:off x="8923020" y="9243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51</xdr:row>
      <xdr:rowOff>0</xdr:rowOff>
    </xdr:from>
    <xdr:to>
      <xdr:col>5</xdr:col>
      <xdr:colOff>83820</xdr:colOff>
      <xdr:row>51</xdr:row>
      <xdr:rowOff>114300</xdr:rowOff>
    </xdr:to>
    <xdr:sp macro="" textlink="">
      <xdr:nvSpPr>
        <xdr:cNvPr id="296" name="Arrow: Down 295">
          <a:extLst>
            <a:ext uri="{FF2B5EF4-FFF2-40B4-BE49-F238E27FC236}">
              <a16:creationId xmlns:a16="http://schemas.microsoft.com/office/drawing/2014/main" id="{E97942B2-0722-4D45-9109-1D786A4109CA}"/>
            </a:ext>
          </a:extLst>
        </xdr:cNvPr>
        <xdr:cNvSpPr/>
      </xdr:nvSpPr>
      <xdr:spPr>
        <a:xfrm rot="10800000">
          <a:off x="203454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51</xdr:row>
      <xdr:rowOff>0</xdr:rowOff>
    </xdr:from>
    <xdr:to>
      <xdr:col>11</xdr:col>
      <xdr:colOff>83820</xdr:colOff>
      <xdr:row>51</xdr:row>
      <xdr:rowOff>114300</xdr:rowOff>
    </xdr:to>
    <xdr:sp macro="" textlink="">
      <xdr:nvSpPr>
        <xdr:cNvPr id="311" name="Arrow: Down 310">
          <a:extLst>
            <a:ext uri="{FF2B5EF4-FFF2-40B4-BE49-F238E27FC236}">
              <a16:creationId xmlns:a16="http://schemas.microsoft.com/office/drawing/2014/main" id="{B8D305B8-345C-4F7A-98CC-764B2CC50C01}"/>
            </a:ext>
          </a:extLst>
        </xdr:cNvPr>
        <xdr:cNvSpPr/>
      </xdr:nvSpPr>
      <xdr:spPr>
        <a:xfrm rot="10800000">
          <a:off x="3741420" y="9425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51</xdr:row>
      <xdr:rowOff>0</xdr:rowOff>
    </xdr:from>
    <xdr:to>
      <xdr:col>29</xdr:col>
      <xdr:colOff>83820</xdr:colOff>
      <xdr:row>51</xdr:row>
      <xdr:rowOff>114300</xdr:rowOff>
    </xdr:to>
    <xdr:sp macro="" textlink="">
      <xdr:nvSpPr>
        <xdr:cNvPr id="312" name="Arrow: Down 311">
          <a:extLst>
            <a:ext uri="{FF2B5EF4-FFF2-40B4-BE49-F238E27FC236}">
              <a16:creationId xmlns:a16="http://schemas.microsoft.com/office/drawing/2014/main" id="{6C8DA6BE-8777-4B2B-AF61-9A1FA15518F6}"/>
            </a:ext>
          </a:extLst>
        </xdr:cNvPr>
        <xdr:cNvSpPr/>
      </xdr:nvSpPr>
      <xdr:spPr>
        <a:xfrm rot="10800000">
          <a:off x="741426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50</xdr:col>
      <xdr:colOff>0</xdr:colOff>
      <xdr:row>51</xdr:row>
      <xdr:rowOff>0</xdr:rowOff>
    </xdr:from>
    <xdr:to>
      <xdr:col>50</xdr:col>
      <xdr:colOff>83820</xdr:colOff>
      <xdr:row>51</xdr:row>
      <xdr:rowOff>114300</xdr:rowOff>
    </xdr:to>
    <xdr:sp macro="" textlink="">
      <xdr:nvSpPr>
        <xdr:cNvPr id="314" name="Arrow: Down 313">
          <a:extLst>
            <a:ext uri="{FF2B5EF4-FFF2-40B4-BE49-F238E27FC236}">
              <a16:creationId xmlns:a16="http://schemas.microsoft.com/office/drawing/2014/main" id="{269A9F03-39E4-46A6-8402-BA0D498EB4FF}"/>
            </a:ext>
          </a:extLst>
        </xdr:cNvPr>
        <xdr:cNvSpPr/>
      </xdr:nvSpPr>
      <xdr:spPr>
        <a:xfrm>
          <a:off x="1262634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51</xdr:row>
      <xdr:rowOff>0</xdr:rowOff>
    </xdr:from>
    <xdr:to>
      <xdr:col>58</xdr:col>
      <xdr:colOff>83820</xdr:colOff>
      <xdr:row>51</xdr:row>
      <xdr:rowOff>114300</xdr:rowOff>
    </xdr:to>
    <xdr:sp macro="" textlink="">
      <xdr:nvSpPr>
        <xdr:cNvPr id="319" name="Arrow: Down 318">
          <a:extLst>
            <a:ext uri="{FF2B5EF4-FFF2-40B4-BE49-F238E27FC236}">
              <a16:creationId xmlns:a16="http://schemas.microsoft.com/office/drawing/2014/main" id="{5A33CCB2-ACB4-4B47-9C09-332F18034F23}"/>
            </a:ext>
          </a:extLst>
        </xdr:cNvPr>
        <xdr:cNvSpPr/>
      </xdr:nvSpPr>
      <xdr:spPr>
        <a:xfrm>
          <a:off x="1410462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52</xdr:row>
      <xdr:rowOff>0</xdr:rowOff>
    </xdr:from>
    <xdr:to>
      <xdr:col>35</xdr:col>
      <xdr:colOff>83820</xdr:colOff>
      <xdr:row>52</xdr:row>
      <xdr:rowOff>114300</xdr:rowOff>
    </xdr:to>
    <xdr:sp macro="" textlink="">
      <xdr:nvSpPr>
        <xdr:cNvPr id="337" name="Arrow: Down 336">
          <a:extLst>
            <a:ext uri="{FF2B5EF4-FFF2-40B4-BE49-F238E27FC236}">
              <a16:creationId xmlns:a16="http://schemas.microsoft.com/office/drawing/2014/main" id="{EDBA6A94-1971-46EE-821D-5E0F40808E5F}"/>
            </a:ext>
          </a:extLst>
        </xdr:cNvPr>
        <xdr:cNvSpPr/>
      </xdr:nvSpPr>
      <xdr:spPr>
        <a:xfrm rot="10800000">
          <a:off x="892302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52</xdr:row>
      <xdr:rowOff>0</xdr:rowOff>
    </xdr:from>
    <xdr:to>
      <xdr:col>29</xdr:col>
      <xdr:colOff>83820</xdr:colOff>
      <xdr:row>52</xdr:row>
      <xdr:rowOff>114300</xdr:rowOff>
    </xdr:to>
    <xdr:sp macro="" textlink="">
      <xdr:nvSpPr>
        <xdr:cNvPr id="350" name="Arrow: Down 349">
          <a:extLst>
            <a:ext uri="{FF2B5EF4-FFF2-40B4-BE49-F238E27FC236}">
              <a16:creationId xmlns:a16="http://schemas.microsoft.com/office/drawing/2014/main" id="{79C65977-0BD4-4F80-8EB6-90554D26EE17}"/>
            </a:ext>
          </a:extLst>
        </xdr:cNvPr>
        <xdr:cNvSpPr/>
      </xdr:nvSpPr>
      <xdr:spPr>
        <a:xfrm rot="10800000">
          <a:off x="741426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50</xdr:col>
      <xdr:colOff>0</xdr:colOff>
      <xdr:row>52</xdr:row>
      <xdr:rowOff>0</xdr:rowOff>
    </xdr:from>
    <xdr:to>
      <xdr:col>50</xdr:col>
      <xdr:colOff>83820</xdr:colOff>
      <xdr:row>52</xdr:row>
      <xdr:rowOff>114300</xdr:rowOff>
    </xdr:to>
    <xdr:sp macro="" textlink="">
      <xdr:nvSpPr>
        <xdr:cNvPr id="294" name="Arrow: Down 293">
          <a:extLst>
            <a:ext uri="{FF2B5EF4-FFF2-40B4-BE49-F238E27FC236}">
              <a16:creationId xmlns:a16="http://schemas.microsoft.com/office/drawing/2014/main" id="{ED9035A6-5B66-461C-9FB2-F131FF2667F7}"/>
            </a:ext>
          </a:extLst>
        </xdr:cNvPr>
        <xdr:cNvSpPr/>
      </xdr:nvSpPr>
      <xdr:spPr>
        <a:xfrm rot="10800000">
          <a:off x="12626340" y="9608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52</xdr:row>
      <xdr:rowOff>0</xdr:rowOff>
    </xdr:from>
    <xdr:to>
      <xdr:col>58</xdr:col>
      <xdr:colOff>160020</xdr:colOff>
      <xdr:row>52</xdr:row>
      <xdr:rowOff>167640</xdr:rowOff>
    </xdr:to>
    <xdr:sp macro="" textlink="">
      <xdr:nvSpPr>
        <xdr:cNvPr id="295" name="Minus Sign 294">
          <a:extLst>
            <a:ext uri="{FF2B5EF4-FFF2-40B4-BE49-F238E27FC236}">
              <a16:creationId xmlns:a16="http://schemas.microsoft.com/office/drawing/2014/main" id="{0D44D1D3-E808-4981-8513-3FDFE68F4A56}"/>
            </a:ext>
          </a:extLst>
        </xdr:cNvPr>
        <xdr:cNvSpPr/>
      </xdr:nvSpPr>
      <xdr:spPr>
        <a:xfrm>
          <a:off x="14104620" y="96088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52</xdr:row>
      <xdr:rowOff>0</xdr:rowOff>
    </xdr:from>
    <xdr:to>
      <xdr:col>5</xdr:col>
      <xdr:colOff>83820</xdr:colOff>
      <xdr:row>52</xdr:row>
      <xdr:rowOff>114300</xdr:rowOff>
    </xdr:to>
    <xdr:sp macro="" textlink="">
      <xdr:nvSpPr>
        <xdr:cNvPr id="307" name="Arrow: Down 306">
          <a:extLst>
            <a:ext uri="{FF2B5EF4-FFF2-40B4-BE49-F238E27FC236}">
              <a16:creationId xmlns:a16="http://schemas.microsoft.com/office/drawing/2014/main" id="{7520098F-DF10-437E-8FCC-C6F149100C54}"/>
            </a:ext>
          </a:extLst>
        </xdr:cNvPr>
        <xdr:cNvSpPr/>
      </xdr:nvSpPr>
      <xdr:spPr>
        <a:xfrm>
          <a:off x="203454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52</xdr:row>
      <xdr:rowOff>0</xdr:rowOff>
    </xdr:from>
    <xdr:to>
      <xdr:col>11</xdr:col>
      <xdr:colOff>83820</xdr:colOff>
      <xdr:row>52</xdr:row>
      <xdr:rowOff>114300</xdr:rowOff>
    </xdr:to>
    <xdr:sp macro="" textlink="">
      <xdr:nvSpPr>
        <xdr:cNvPr id="309" name="Arrow: Down 308">
          <a:extLst>
            <a:ext uri="{FF2B5EF4-FFF2-40B4-BE49-F238E27FC236}">
              <a16:creationId xmlns:a16="http://schemas.microsoft.com/office/drawing/2014/main" id="{3D15275E-AEE2-4D58-B130-065B008628CF}"/>
            </a:ext>
          </a:extLst>
        </xdr:cNvPr>
        <xdr:cNvSpPr/>
      </xdr:nvSpPr>
      <xdr:spPr>
        <a:xfrm>
          <a:off x="374142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18</xdr:col>
      <xdr:colOff>0</xdr:colOff>
      <xdr:row>52</xdr:row>
      <xdr:rowOff>0</xdr:rowOff>
    </xdr:from>
    <xdr:to>
      <xdr:col>18</xdr:col>
      <xdr:colOff>83820</xdr:colOff>
      <xdr:row>52</xdr:row>
      <xdr:rowOff>114300</xdr:rowOff>
    </xdr:to>
    <xdr:sp macro="" textlink="">
      <xdr:nvSpPr>
        <xdr:cNvPr id="316" name="Arrow: Down 315">
          <a:extLst>
            <a:ext uri="{FF2B5EF4-FFF2-40B4-BE49-F238E27FC236}">
              <a16:creationId xmlns:a16="http://schemas.microsoft.com/office/drawing/2014/main" id="{F0B8CB9F-2016-4B30-9E6F-9508EBCB6F0A}"/>
            </a:ext>
          </a:extLst>
        </xdr:cNvPr>
        <xdr:cNvSpPr/>
      </xdr:nvSpPr>
      <xdr:spPr>
        <a:xfrm>
          <a:off x="485394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35</xdr:col>
      <xdr:colOff>0</xdr:colOff>
      <xdr:row>53</xdr:row>
      <xdr:rowOff>0</xdr:rowOff>
    </xdr:from>
    <xdr:to>
      <xdr:col>35</xdr:col>
      <xdr:colOff>83820</xdr:colOff>
      <xdr:row>53</xdr:row>
      <xdr:rowOff>114300</xdr:rowOff>
    </xdr:to>
    <xdr:sp macro="" textlink="">
      <xdr:nvSpPr>
        <xdr:cNvPr id="334" name="Arrow: Down 333">
          <a:extLst>
            <a:ext uri="{FF2B5EF4-FFF2-40B4-BE49-F238E27FC236}">
              <a16:creationId xmlns:a16="http://schemas.microsoft.com/office/drawing/2014/main" id="{118848F3-4F7A-42DB-AFB7-4D3C75C0347B}"/>
            </a:ext>
          </a:extLst>
        </xdr:cNvPr>
        <xdr:cNvSpPr/>
      </xdr:nvSpPr>
      <xdr:spPr>
        <a:xfrm rot="10800000">
          <a:off x="892302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53</xdr:row>
      <xdr:rowOff>0</xdr:rowOff>
    </xdr:from>
    <xdr:to>
      <xdr:col>5</xdr:col>
      <xdr:colOff>83820</xdr:colOff>
      <xdr:row>53</xdr:row>
      <xdr:rowOff>114300</xdr:rowOff>
    </xdr:to>
    <xdr:sp macro="" textlink="">
      <xdr:nvSpPr>
        <xdr:cNvPr id="351" name="Arrow: Down 350">
          <a:extLst>
            <a:ext uri="{FF2B5EF4-FFF2-40B4-BE49-F238E27FC236}">
              <a16:creationId xmlns:a16="http://schemas.microsoft.com/office/drawing/2014/main" id="{28D462C8-CA5F-4B70-80DC-E2B249302CBA}"/>
            </a:ext>
          </a:extLst>
        </xdr:cNvPr>
        <xdr:cNvSpPr/>
      </xdr:nvSpPr>
      <xdr:spPr>
        <a:xfrm>
          <a:off x="203454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53</xdr:row>
      <xdr:rowOff>0</xdr:rowOff>
    </xdr:from>
    <xdr:to>
      <xdr:col>11</xdr:col>
      <xdr:colOff>83820</xdr:colOff>
      <xdr:row>53</xdr:row>
      <xdr:rowOff>114300</xdr:rowOff>
    </xdr:to>
    <xdr:sp macro="" textlink="">
      <xdr:nvSpPr>
        <xdr:cNvPr id="352" name="Arrow: Down 351">
          <a:extLst>
            <a:ext uri="{FF2B5EF4-FFF2-40B4-BE49-F238E27FC236}">
              <a16:creationId xmlns:a16="http://schemas.microsoft.com/office/drawing/2014/main" id="{F176E008-51CF-4057-8E3A-93146771EE31}"/>
            </a:ext>
          </a:extLst>
        </xdr:cNvPr>
        <xdr:cNvSpPr/>
      </xdr:nvSpPr>
      <xdr:spPr>
        <a:xfrm>
          <a:off x="374142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18</xdr:col>
      <xdr:colOff>0</xdr:colOff>
      <xdr:row>53</xdr:row>
      <xdr:rowOff>0</xdr:rowOff>
    </xdr:from>
    <xdr:to>
      <xdr:col>18</xdr:col>
      <xdr:colOff>83820</xdr:colOff>
      <xdr:row>53</xdr:row>
      <xdr:rowOff>114300</xdr:rowOff>
    </xdr:to>
    <xdr:sp macro="" textlink="">
      <xdr:nvSpPr>
        <xdr:cNvPr id="353" name="Arrow: Down 352">
          <a:extLst>
            <a:ext uri="{FF2B5EF4-FFF2-40B4-BE49-F238E27FC236}">
              <a16:creationId xmlns:a16="http://schemas.microsoft.com/office/drawing/2014/main" id="{CE82A98D-11D7-4130-A4C9-AECA06FD6879}"/>
            </a:ext>
          </a:extLst>
        </xdr:cNvPr>
        <xdr:cNvSpPr/>
      </xdr:nvSpPr>
      <xdr:spPr>
        <a:xfrm>
          <a:off x="485394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58</xdr:col>
      <xdr:colOff>0</xdr:colOff>
      <xdr:row>53</xdr:row>
      <xdr:rowOff>0</xdr:rowOff>
    </xdr:from>
    <xdr:to>
      <xdr:col>58</xdr:col>
      <xdr:colOff>83820</xdr:colOff>
      <xdr:row>53</xdr:row>
      <xdr:rowOff>114300</xdr:rowOff>
    </xdr:to>
    <xdr:sp macro="" textlink="">
      <xdr:nvSpPr>
        <xdr:cNvPr id="355" name="Arrow: Down 354">
          <a:extLst>
            <a:ext uri="{FF2B5EF4-FFF2-40B4-BE49-F238E27FC236}">
              <a16:creationId xmlns:a16="http://schemas.microsoft.com/office/drawing/2014/main" id="{6980FC15-F70D-45CF-8BA7-176336650B1A}"/>
            </a:ext>
          </a:extLst>
        </xdr:cNvPr>
        <xdr:cNvSpPr/>
      </xdr:nvSpPr>
      <xdr:spPr>
        <a:xfrm>
          <a:off x="1410462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50</xdr:col>
      <xdr:colOff>0</xdr:colOff>
      <xdr:row>53</xdr:row>
      <xdr:rowOff>0</xdr:rowOff>
    </xdr:from>
    <xdr:to>
      <xdr:col>50</xdr:col>
      <xdr:colOff>83820</xdr:colOff>
      <xdr:row>53</xdr:row>
      <xdr:rowOff>114300</xdr:rowOff>
    </xdr:to>
    <xdr:sp macro="" textlink="">
      <xdr:nvSpPr>
        <xdr:cNvPr id="356" name="Arrow: Down 355">
          <a:extLst>
            <a:ext uri="{FF2B5EF4-FFF2-40B4-BE49-F238E27FC236}">
              <a16:creationId xmlns:a16="http://schemas.microsoft.com/office/drawing/2014/main" id="{ABE3F65C-DC89-4571-A836-BADC4ED8190E}"/>
            </a:ext>
          </a:extLst>
        </xdr:cNvPr>
        <xdr:cNvSpPr/>
      </xdr:nvSpPr>
      <xdr:spPr>
        <a:xfrm>
          <a:off x="1262634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53</xdr:row>
      <xdr:rowOff>0</xdr:rowOff>
    </xdr:from>
    <xdr:to>
      <xdr:col>29</xdr:col>
      <xdr:colOff>83820</xdr:colOff>
      <xdr:row>53</xdr:row>
      <xdr:rowOff>114300</xdr:rowOff>
    </xdr:to>
    <xdr:sp macro="" textlink="">
      <xdr:nvSpPr>
        <xdr:cNvPr id="360" name="Arrow: Down 359">
          <a:extLst>
            <a:ext uri="{FF2B5EF4-FFF2-40B4-BE49-F238E27FC236}">
              <a16:creationId xmlns:a16="http://schemas.microsoft.com/office/drawing/2014/main" id="{0114E16E-DD6A-46AA-93D8-93F193D6EE21}"/>
            </a:ext>
          </a:extLst>
        </xdr:cNvPr>
        <xdr:cNvSpPr/>
      </xdr:nvSpPr>
      <xdr:spPr>
        <a:xfrm>
          <a:off x="7414260" y="9791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54</xdr:row>
      <xdr:rowOff>0</xdr:rowOff>
    </xdr:from>
    <xdr:to>
      <xdr:col>35</xdr:col>
      <xdr:colOff>83820</xdr:colOff>
      <xdr:row>54</xdr:row>
      <xdr:rowOff>114300</xdr:rowOff>
    </xdr:to>
    <xdr:sp macro="" textlink="">
      <xdr:nvSpPr>
        <xdr:cNvPr id="310" name="Arrow: Down 309">
          <a:extLst>
            <a:ext uri="{FF2B5EF4-FFF2-40B4-BE49-F238E27FC236}">
              <a16:creationId xmlns:a16="http://schemas.microsoft.com/office/drawing/2014/main" id="{3F43903D-DB05-498D-8847-D17668BF51CA}"/>
            </a:ext>
          </a:extLst>
        </xdr:cNvPr>
        <xdr:cNvSpPr/>
      </xdr:nvSpPr>
      <xdr:spPr>
        <a:xfrm rot="10800000">
          <a:off x="892302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54</xdr:row>
      <xdr:rowOff>0</xdr:rowOff>
    </xdr:from>
    <xdr:to>
      <xdr:col>5</xdr:col>
      <xdr:colOff>83820</xdr:colOff>
      <xdr:row>54</xdr:row>
      <xdr:rowOff>114300</xdr:rowOff>
    </xdr:to>
    <xdr:sp macro="" textlink="">
      <xdr:nvSpPr>
        <xdr:cNvPr id="322" name="Arrow: Down 321">
          <a:extLst>
            <a:ext uri="{FF2B5EF4-FFF2-40B4-BE49-F238E27FC236}">
              <a16:creationId xmlns:a16="http://schemas.microsoft.com/office/drawing/2014/main" id="{748DD1EE-F905-4AF5-BBF7-E15847AAB9E0}"/>
            </a:ext>
          </a:extLst>
        </xdr:cNvPr>
        <xdr:cNvSpPr/>
      </xdr:nvSpPr>
      <xdr:spPr>
        <a:xfrm>
          <a:off x="203454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54</xdr:row>
      <xdr:rowOff>0</xdr:rowOff>
    </xdr:from>
    <xdr:to>
      <xdr:col>11</xdr:col>
      <xdr:colOff>83820</xdr:colOff>
      <xdr:row>54</xdr:row>
      <xdr:rowOff>114300</xdr:rowOff>
    </xdr:to>
    <xdr:sp macro="" textlink="">
      <xdr:nvSpPr>
        <xdr:cNvPr id="323" name="Arrow: Down 322">
          <a:extLst>
            <a:ext uri="{FF2B5EF4-FFF2-40B4-BE49-F238E27FC236}">
              <a16:creationId xmlns:a16="http://schemas.microsoft.com/office/drawing/2014/main" id="{2DEA4A6B-EA14-4386-93EB-9720545A6FDB}"/>
            </a:ext>
          </a:extLst>
        </xdr:cNvPr>
        <xdr:cNvSpPr/>
      </xdr:nvSpPr>
      <xdr:spPr>
        <a:xfrm>
          <a:off x="374142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58</xdr:col>
      <xdr:colOff>0</xdr:colOff>
      <xdr:row>54</xdr:row>
      <xdr:rowOff>0</xdr:rowOff>
    </xdr:from>
    <xdr:to>
      <xdr:col>58</xdr:col>
      <xdr:colOff>83820</xdr:colOff>
      <xdr:row>54</xdr:row>
      <xdr:rowOff>114300</xdr:rowOff>
    </xdr:to>
    <xdr:sp macro="" textlink="">
      <xdr:nvSpPr>
        <xdr:cNvPr id="330" name="Arrow: Down 329">
          <a:extLst>
            <a:ext uri="{FF2B5EF4-FFF2-40B4-BE49-F238E27FC236}">
              <a16:creationId xmlns:a16="http://schemas.microsoft.com/office/drawing/2014/main" id="{15AFFB14-0B28-4307-B0F5-0492E42B0206}"/>
            </a:ext>
          </a:extLst>
        </xdr:cNvPr>
        <xdr:cNvSpPr/>
      </xdr:nvSpPr>
      <xdr:spPr>
        <a:xfrm>
          <a:off x="1410462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50</xdr:col>
      <xdr:colOff>0</xdr:colOff>
      <xdr:row>54</xdr:row>
      <xdr:rowOff>0</xdr:rowOff>
    </xdr:from>
    <xdr:to>
      <xdr:col>50</xdr:col>
      <xdr:colOff>83820</xdr:colOff>
      <xdr:row>54</xdr:row>
      <xdr:rowOff>114300</xdr:rowOff>
    </xdr:to>
    <xdr:sp macro="" textlink="">
      <xdr:nvSpPr>
        <xdr:cNvPr id="331" name="Arrow: Down 330">
          <a:extLst>
            <a:ext uri="{FF2B5EF4-FFF2-40B4-BE49-F238E27FC236}">
              <a16:creationId xmlns:a16="http://schemas.microsoft.com/office/drawing/2014/main" id="{8E8574D3-FF8A-4F6C-84A8-40BA0AEEF2EE}"/>
            </a:ext>
          </a:extLst>
        </xdr:cNvPr>
        <xdr:cNvSpPr/>
      </xdr:nvSpPr>
      <xdr:spPr>
        <a:xfrm>
          <a:off x="1262634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54</xdr:row>
      <xdr:rowOff>0</xdr:rowOff>
    </xdr:from>
    <xdr:to>
      <xdr:col>29</xdr:col>
      <xdr:colOff>83820</xdr:colOff>
      <xdr:row>54</xdr:row>
      <xdr:rowOff>114300</xdr:rowOff>
    </xdr:to>
    <xdr:sp macro="" textlink="">
      <xdr:nvSpPr>
        <xdr:cNvPr id="335" name="Arrow: Down 334">
          <a:extLst>
            <a:ext uri="{FF2B5EF4-FFF2-40B4-BE49-F238E27FC236}">
              <a16:creationId xmlns:a16="http://schemas.microsoft.com/office/drawing/2014/main" id="{31352CCA-8B6D-440F-8843-D687625F1376}"/>
            </a:ext>
          </a:extLst>
        </xdr:cNvPr>
        <xdr:cNvSpPr/>
      </xdr:nvSpPr>
      <xdr:spPr>
        <a:xfrm rot="10800000">
          <a:off x="741426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54</xdr:row>
      <xdr:rowOff>0</xdr:rowOff>
    </xdr:from>
    <xdr:to>
      <xdr:col>18</xdr:col>
      <xdr:colOff>83820</xdr:colOff>
      <xdr:row>54</xdr:row>
      <xdr:rowOff>114300</xdr:rowOff>
    </xdr:to>
    <xdr:sp macro="" textlink="">
      <xdr:nvSpPr>
        <xdr:cNvPr id="348" name="Arrow: Down 347">
          <a:extLst>
            <a:ext uri="{FF2B5EF4-FFF2-40B4-BE49-F238E27FC236}">
              <a16:creationId xmlns:a16="http://schemas.microsoft.com/office/drawing/2014/main" id="{A172A973-3EF5-473E-A26D-D6D70FA93FA4}"/>
            </a:ext>
          </a:extLst>
        </xdr:cNvPr>
        <xdr:cNvSpPr/>
      </xdr:nvSpPr>
      <xdr:spPr>
        <a:xfrm rot="10800000">
          <a:off x="4853940" y="9974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55</xdr:row>
      <xdr:rowOff>0</xdr:rowOff>
    </xdr:from>
    <xdr:to>
      <xdr:col>35</xdr:col>
      <xdr:colOff>83820</xdr:colOff>
      <xdr:row>55</xdr:row>
      <xdr:rowOff>114300</xdr:rowOff>
    </xdr:to>
    <xdr:sp macro="" textlink="">
      <xdr:nvSpPr>
        <xdr:cNvPr id="326" name="Arrow: Down 325">
          <a:extLst>
            <a:ext uri="{FF2B5EF4-FFF2-40B4-BE49-F238E27FC236}">
              <a16:creationId xmlns:a16="http://schemas.microsoft.com/office/drawing/2014/main" id="{5B792E30-F108-441E-A1C3-17A6966E880A}"/>
            </a:ext>
          </a:extLst>
        </xdr:cNvPr>
        <xdr:cNvSpPr/>
      </xdr:nvSpPr>
      <xdr:spPr>
        <a:xfrm rot="10800000">
          <a:off x="892302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55</xdr:row>
      <xdr:rowOff>0</xdr:rowOff>
    </xdr:from>
    <xdr:to>
      <xdr:col>11</xdr:col>
      <xdr:colOff>83820</xdr:colOff>
      <xdr:row>55</xdr:row>
      <xdr:rowOff>114300</xdr:rowOff>
    </xdr:to>
    <xdr:sp macro="" textlink="">
      <xdr:nvSpPr>
        <xdr:cNvPr id="347" name="Arrow: Down 346">
          <a:extLst>
            <a:ext uri="{FF2B5EF4-FFF2-40B4-BE49-F238E27FC236}">
              <a16:creationId xmlns:a16="http://schemas.microsoft.com/office/drawing/2014/main" id="{0236E858-D3F9-42E7-BF7B-7667E9C95647}"/>
            </a:ext>
          </a:extLst>
        </xdr:cNvPr>
        <xdr:cNvSpPr/>
      </xdr:nvSpPr>
      <xdr:spPr>
        <a:xfrm>
          <a:off x="374142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58</xdr:col>
      <xdr:colOff>0</xdr:colOff>
      <xdr:row>55</xdr:row>
      <xdr:rowOff>0</xdr:rowOff>
    </xdr:from>
    <xdr:to>
      <xdr:col>58</xdr:col>
      <xdr:colOff>83820</xdr:colOff>
      <xdr:row>55</xdr:row>
      <xdr:rowOff>114300</xdr:rowOff>
    </xdr:to>
    <xdr:sp macro="" textlink="">
      <xdr:nvSpPr>
        <xdr:cNvPr id="354" name="Arrow: Down 353">
          <a:extLst>
            <a:ext uri="{FF2B5EF4-FFF2-40B4-BE49-F238E27FC236}">
              <a16:creationId xmlns:a16="http://schemas.microsoft.com/office/drawing/2014/main" id="{43296518-C441-4B4B-80EA-F6018B3E57DF}"/>
            </a:ext>
          </a:extLst>
        </xdr:cNvPr>
        <xdr:cNvSpPr/>
      </xdr:nvSpPr>
      <xdr:spPr>
        <a:xfrm>
          <a:off x="1410462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55</xdr:row>
      <xdr:rowOff>0</xdr:rowOff>
    </xdr:from>
    <xdr:to>
      <xdr:col>29</xdr:col>
      <xdr:colOff>83820</xdr:colOff>
      <xdr:row>55</xdr:row>
      <xdr:rowOff>114300</xdr:rowOff>
    </xdr:to>
    <xdr:sp macro="" textlink="">
      <xdr:nvSpPr>
        <xdr:cNvPr id="362" name="Arrow: Down 361">
          <a:extLst>
            <a:ext uri="{FF2B5EF4-FFF2-40B4-BE49-F238E27FC236}">
              <a16:creationId xmlns:a16="http://schemas.microsoft.com/office/drawing/2014/main" id="{359DAB18-7A9A-421B-AC8B-446C6BE54013}"/>
            </a:ext>
          </a:extLst>
        </xdr:cNvPr>
        <xdr:cNvSpPr/>
      </xdr:nvSpPr>
      <xdr:spPr>
        <a:xfrm rot="10800000">
          <a:off x="741426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55</xdr:row>
      <xdr:rowOff>0</xdr:rowOff>
    </xdr:from>
    <xdr:to>
      <xdr:col>18</xdr:col>
      <xdr:colOff>83820</xdr:colOff>
      <xdr:row>55</xdr:row>
      <xdr:rowOff>114300</xdr:rowOff>
    </xdr:to>
    <xdr:sp macro="" textlink="">
      <xdr:nvSpPr>
        <xdr:cNvPr id="364" name="Arrow: Down 363">
          <a:extLst>
            <a:ext uri="{FF2B5EF4-FFF2-40B4-BE49-F238E27FC236}">
              <a16:creationId xmlns:a16="http://schemas.microsoft.com/office/drawing/2014/main" id="{2BBACA9C-B0F9-4BCC-96E5-E048994CF613}"/>
            </a:ext>
          </a:extLst>
        </xdr:cNvPr>
        <xdr:cNvSpPr/>
      </xdr:nvSpPr>
      <xdr:spPr>
        <a:xfrm rot="10800000">
          <a:off x="4853940" y="9974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55</xdr:row>
      <xdr:rowOff>0</xdr:rowOff>
    </xdr:from>
    <xdr:to>
      <xdr:col>5</xdr:col>
      <xdr:colOff>83820</xdr:colOff>
      <xdr:row>55</xdr:row>
      <xdr:rowOff>114300</xdr:rowOff>
    </xdr:to>
    <xdr:sp macro="" textlink="">
      <xdr:nvSpPr>
        <xdr:cNvPr id="365" name="Arrow: Down 364">
          <a:extLst>
            <a:ext uri="{FF2B5EF4-FFF2-40B4-BE49-F238E27FC236}">
              <a16:creationId xmlns:a16="http://schemas.microsoft.com/office/drawing/2014/main" id="{053BBB14-5E93-4343-8A30-EC1464960D55}"/>
            </a:ext>
          </a:extLst>
        </xdr:cNvPr>
        <xdr:cNvSpPr/>
      </xdr:nvSpPr>
      <xdr:spPr>
        <a:xfrm rot="10800000">
          <a:off x="2034540" y="10157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50</xdr:col>
      <xdr:colOff>0</xdr:colOff>
      <xdr:row>55</xdr:row>
      <xdr:rowOff>0</xdr:rowOff>
    </xdr:from>
    <xdr:to>
      <xdr:col>50</xdr:col>
      <xdr:colOff>160020</xdr:colOff>
      <xdr:row>55</xdr:row>
      <xdr:rowOff>167640</xdr:rowOff>
    </xdr:to>
    <xdr:sp macro="" textlink="">
      <xdr:nvSpPr>
        <xdr:cNvPr id="367" name="Minus Sign 366">
          <a:extLst>
            <a:ext uri="{FF2B5EF4-FFF2-40B4-BE49-F238E27FC236}">
              <a16:creationId xmlns:a16="http://schemas.microsoft.com/office/drawing/2014/main" id="{24D6A296-E3EA-429F-9DC2-6E7B7DB1DD5C}"/>
            </a:ext>
          </a:extLst>
        </xdr:cNvPr>
        <xdr:cNvSpPr/>
      </xdr:nvSpPr>
      <xdr:spPr>
        <a:xfrm>
          <a:off x="12626340" y="101574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35</xdr:col>
      <xdr:colOff>0</xdr:colOff>
      <xdr:row>56</xdr:row>
      <xdr:rowOff>0</xdr:rowOff>
    </xdr:from>
    <xdr:to>
      <xdr:col>35</xdr:col>
      <xdr:colOff>83820</xdr:colOff>
      <xdr:row>56</xdr:row>
      <xdr:rowOff>114300</xdr:rowOff>
    </xdr:to>
    <xdr:sp macro="" textlink="">
      <xdr:nvSpPr>
        <xdr:cNvPr id="372" name="Arrow: Down 371">
          <a:extLst>
            <a:ext uri="{FF2B5EF4-FFF2-40B4-BE49-F238E27FC236}">
              <a16:creationId xmlns:a16="http://schemas.microsoft.com/office/drawing/2014/main" id="{BF606084-80CC-488A-B4A5-E10EF77C51C9}"/>
            </a:ext>
          </a:extLst>
        </xdr:cNvPr>
        <xdr:cNvSpPr/>
      </xdr:nvSpPr>
      <xdr:spPr>
        <a:xfrm rot="10800000">
          <a:off x="8923020" y="10157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56</xdr:row>
      <xdr:rowOff>0</xdr:rowOff>
    </xdr:from>
    <xdr:to>
      <xdr:col>58</xdr:col>
      <xdr:colOff>83820</xdr:colOff>
      <xdr:row>56</xdr:row>
      <xdr:rowOff>114300</xdr:rowOff>
    </xdr:to>
    <xdr:sp macro="" textlink="">
      <xdr:nvSpPr>
        <xdr:cNvPr id="374" name="Arrow: Down 373">
          <a:extLst>
            <a:ext uri="{FF2B5EF4-FFF2-40B4-BE49-F238E27FC236}">
              <a16:creationId xmlns:a16="http://schemas.microsoft.com/office/drawing/2014/main" id="{A3B1F3D8-FDB0-43B2-91E7-A182F8320AB3}"/>
            </a:ext>
          </a:extLst>
        </xdr:cNvPr>
        <xdr:cNvSpPr/>
      </xdr:nvSpPr>
      <xdr:spPr>
        <a:xfrm>
          <a:off x="14104620" y="10157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56</xdr:row>
      <xdr:rowOff>0</xdr:rowOff>
    </xdr:from>
    <xdr:to>
      <xdr:col>18</xdr:col>
      <xdr:colOff>83820</xdr:colOff>
      <xdr:row>56</xdr:row>
      <xdr:rowOff>114300</xdr:rowOff>
    </xdr:to>
    <xdr:sp macro="" textlink="">
      <xdr:nvSpPr>
        <xdr:cNvPr id="376" name="Arrow: Down 375">
          <a:extLst>
            <a:ext uri="{FF2B5EF4-FFF2-40B4-BE49-F238E27FC236}">
              <a16:creationId xmlns:a16="http://schemas.microsoft.com/office/drawing/2014/main" id="{9247D44C-6902-49EE-98A1-BFD5F71FD4F5}"/>
            </a:ext>
          </a:extLst>
        </xdr:cNvPr>
        <xdr:cNvSpPr/>
      </xdr:nvSpPr>
      <xdr:spPr>
        <a:xfrm rot="10800000">
          <a:off x="4853940" y="10157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56</xdr:row>
      <xdr:rowOff>0</xdr:rowOff>
    </xdr:from>
    <xdr:to>
      <xdr:col>5</xdr:col>
      <xdr:colOff>83820</xdr:colOff>
      <xdr:row>56</xdr:row>
      <xdr:rowOff>114300</xdr:rowOff>
    </xdr:to>
    <xdr:sp macro="" textlink="">
      <xdr:nvSpPr>
        <xdr:cNvPr id="377" name="Arrow: Down 376">
          <a:extLst>
            <a:ext uri="{FF2B5EF4-FFF2-40B4-BE49-F238E27FC236}">
              <a16:creationId xmlns:a16="http://schemas.microsoft.com/office/drawing/2014/main" id="{634768F7-A531-420F-ADA6-830EA3C7535A}"/>
            </a:ext>
          </a:extLst>
        </xdr:cNvPr>
        <xdr:cNvSpPr/>
      </xdr:nvSpPr>
      <xdr:spPr>
        <a:xfrm rot="10800000">
          <a:off x="2034540" y="10157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56</xdr:row>
      <xdr:rowOff>0</xdr:rowOff>
    </xdr:from>
    <xdr:to>
      <xdr:col>11</xdr:col>
      <xdr:colOff>160020</xdr:colOff>
      <xdr:row>56</xdr:row>
      <xdr:rowOff>167640</xdr:rowOff>
    </xdr:to>
    <xdr:sp macro="" textlink="">
      <xdr:nvSpPr>
        <xdr:cNvPr id="380" name="Minus Sign 379">
          <a:extLst>
            <a:ext uri="{FF2B5EF4-FFF2-40B4-BE49-F238E27FC236}">
              <a16:creationId xmlns:a16="http://schemas.microsoft.com/office/drawing/2014/main" id="{925A276B-86B5-491F-84EF-49D331AB5E94}"/>
            </a:ext>
          </a:extLst>
        </xdr:cNvPr>
        <xdr:cNvSpPr/>
      </xdr:nvSpPr>
      <xdr:spPr>
        <a:xfrm>
          <a:off x="3741420" y="103403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29</xdr:col>
      <xdr:colOff>0</xdr:colOff>
      <xdr:row>56</xdr:row>
      <xdr:rowOff>0</xdr:rowOff>
    </xdr:from>
    <xdr:to>
      <xdr:col>29</xdr:col>
      <xdr:colOff>83820</xdr:colOff>
      <xdr:row>56</xdr:row>
      <xdr:rowOff>114300</xdr:rowOff>
    </xdr:to>
    <xdr:sp macro="" textlink="">
      <xdr:nvSpPr>
        <xdr:cNvPr id="382" name="Arrow: Down 381">
          <a:extLst>
            <a:ext uri="{FF2B5EF4-FFF2-40B4-BE49-F238E27FC236}">
              <a16:creationId xmlns:a16="http://schemas.microsoft.com/office/drawing/2014/main" id="{429ED05C-FC1F-4B70-9C78-A3D529262B98}"/>
            </a:ext>
          </a:extLst>
        </xdr:cNvPr>
        <xdr:cNvSpPr/>
      </xdr:nvSpPr>
      <xdr:spPr>
        <a:xfrm>
          <a:off x="7414260" y="10340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50</xdr:col>
      <xdr:colOff>0</xdr:colOff>
      <xdr:row>56</xdr:row>
      <xdr:rowOff>0</xdr:rowOff>
    </xdr:from>
    <xdr:to>
      <xdr:col>50</xdr:col>
      <xdr:colOff>83820</xdr:colOff>
      <xdr:row>56</xdr:row>
      <xdr:rowOff>114300</xdr:rowOff>
    </xdr:to>
    <xdr:sp macro="" textlink="">
      <xdr:nvSpPr>
        <xdr:cNvPr id="383" name="Arrow: Down 382">
          <a:extLst>
            <a:ext uri="{FF2B5EF4-FFF2-40B4-BE49-F238E27FC236}">
              <a16:creationId xmlns:a16="http://schemas.microsoft.com/office/drawing/2014/main" id="{3F563D7E-343D-43B9-8FF5-FBF551F6A6EE}"/>
            </a:ext>
          </a:extLst>
        </xdr:cNvPr>
        <xdr:cNvSpPr/>
      </xdr:nvSpPr>
      <xdr:spPr>
        <a:xfrm rot="10800000">
          <a:off x="12626340" y="10340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57</xdr:row>
      <xdr:rowOff>0</xdr:rowOff>
    </xdr:from>
    <xdr:to>
      <xdr:col>35</xdr:col>
      <xdr:colOff>83820</xdr:colOff>
      <xdr:row>57</xdr:row>
      <xdr:rowOff>114300</xdr:rowOff>
    </xdr:to>
    <xdr:sp macro="" textlink="">
      <xdr:nvSpPr>
        <xdr:cNvPr id="333" name="Arrow: Down 332">
          <a:extLst>
            <a:ext uri="{FF2B5EF4-FFF2-40B4-BE49-F238E27FC236}">
              <a16:creationId xmlns:a16="http://schemas.microsoft.com/office/drawing/2014/main" id="{F6CBFDFB-4DFF-4167-9BFB-D58D913A087B}"/>
            </a:ext>
          </a:extLst>
        </xdr:cNvPr>
        <xdr:cNvSpPr/>
      </xdr:nvSpPr>
      <xdr:spPr>
        <a:xfrm rot="10800000">
          <a:off x="8923020" y="10340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57</xdr:row>
      <xdr:rowOff>0</xdr:rowOff>
    </xdr:from>
    <xdr:to>
      <xdr:col>29</xdr:col>
      <xdr:colOff>83820</xdr:colOff>
      <xdr:row>57</xdr:row>
      <xdr:rowOff>114300</xdr:rowOff>
    </xdr:to>
    <xdr:sp macro="" textlink="">
      <xdr:nvSpPr>
        <xdr:cNvPr id="373" name="Arrow: Down 372">
          <a:extLst>
            <a:ext uri="{FF2B5EF4-FFF2-40B4-BE49-F238E27FC236}">
              <a16:creationId xmlns:a16="http://schemas.microsoft.com/office/drawing/2014/main" id="{B17F6F77-1EDE-46C5-9211-4E1C60A3D177}"/>
            </a:ext>
          </a:extLst>
        </xdr:cNvPr>
        <xdr:cNvSpPr/>
      </xdr:nvSpPr>
      <xdr:spPr>
        <a:xfrm rot="10800000">
          <a:off x="741426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57</xdr:row>
      <xdr:rowOff>0</xdr:rowOff>
    </xdr:from>
    <xdr:to>
      <xdr:col>5</xdr:col>
      <xdr:colOff>83820</xdr:colOff>
      <xdr:row>57</xdr:row>
      <xdr:rowOff>114300</xdr:rowOff>
    </xdr:to>
    <xdr:sp macro="" textlink="">
      <xdr:nvSpPr>
        <xdr:cNvPr id="378" name="Arrow: Down 377">
          <a:extLst>
            <a:ext uri="{FF2B5EF4-FFF2-40B4-BE49-F238E27FC236}">
              <a16:creationId xmlns:a16="http://schemas.microsoft.com/office/drawing/2014/main" id="{BC606FE8-6336-4CCF-9992-1783602F186E}"/>
            </a:ext>
          </a:extLst>
        </xdr:cNvPr>
        <xdr:cNvSpPr/>
      </xdr:nvSpPr>
      <xdr:spPr>
        <a:xfrm rot="10800000">
          <a:off x="2034540" y="10523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57</xdr:row>
      <xdr:rowOff>0</xdr:rowOff>
    </xdr:from>
    <xdr:to>
      <xdr:col>11</xdr:col>
      <xdr:colOff>83820</xdr:colOff>
      <xdr:row>57</xdr:row>
      <xdr:rowOff>114300</xdr:rowOff>
    </xdr:to>
    <xdr:sp macro="" textlink="">
      <xdr:nvSpPr>
        <xdr:cNvPr id="379" name="Arrow: Down 378">
          <a:extLst>
            <a:ext uri="{FF2B5EF4-FFF2-40B4-BE49-F238E27FC236}">
              <a16:creationId xmlns:a16="http://schemas.microsoft.com/office/drawing/2014/main" id="{C092651E-0B9A-4CBD-ADFA-0532AC1EEA4C}"/>
            </a:ext>
          </a:extLst>
        </xdr:cNvPr>
        <xdr:cNvSpPr/>
      </xdr:nvSpPr>
      <xdr:spPr>
        <a:xfrm rot="10800000">
          <a:off x="3741420" y="10523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50</xdr:col>
      <xdr:colOff>0</xdr:colOff>
      <xdr:row>57</xdr:row>
      <xdr:rowOff>0</xdr:rowOff>
    </xdr:from>
    <xdr:to>
      <xdr:col>50</xdr:col>
      <xdr:colOff>83820</xdr:colOff>
      <xdr:row>57</xdr:row>
      <xdr:rowOff>114300</xdr:rowOff>
    </xdr:to>
    <xdr:sp macro="" textlink="">
      <xdr:nvSpPr>
        <xdr:cNvPr id="381" name="Arrow: Down 380">
          <a:extLst>
            <a:ext uri="{FF2B5EF4-FFF2-40B4-BE49-F238E27FC236}">
              <a16:creationId xmlns:a16="http://schemas.microsoft.com/office/drawing/2014/main" id="{983B24BB-8128-414A-854E-E968CC18AA6C}"/>
            </a:ext>
          </a:extLst>
        </xdr:cNvPr>
        <xdr:cNvSpPr/>
      </xdr:nvSpPr>
      <xdr:spPr>
        <a:xfrm>
          <a:off x="1262634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57</xdr:row>
      <xdr:rowOff>0</xdr:rowOff>
    </xdr:from>
    <xdr:to>
      <xdr:col>58</xdr:col>
      <xdr:colOff>83820</xdr:colOff>
      <xdr:row>57</xdr:row>
      <xdr:rowOff>114300</xdr:rowOff>
    </xdr:to>
    <xdr:sp macro="" textlink="">
      <xdr:nvSpPr>
        <xdr:cNvPr id="384" name="Arrow: Down 383">
          <a:extLst>
            <a:ext uri="{FF2B5EF4-FFF2-40B4-BE49-F238E27FC236}">
              <a16:creationId xmlns:a16="http://schemas.microsoft.com/office/drawing/2014/main" id="{5D5C4029-27D6-4B9E-B635-2C8330B0DC20}"/>
            </a:ext>
          </a:extLst>
        </xdr:cNvPr>
        <xdr:cNvSpPr/>
      </xdr:nvSpPr>
      <xdr:spPr>
        <a:xfrm>
          <a:off x="1424940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57</xdr:row>
      <xdr:rowOff>0</xdr:rowOff>
    </xdr:from>
    <xdr:to>
      <xdr:col>18</xdr:col>
      <xdr:colOff>83820</xdr:colOff>
      <xdr:row>57</xdr:row>
      <xdr:rowOff>114300</xdr:rowOff>
    </xdr:to>
    <xdr:sp macro="" textlink="">
      <xdr:nvSpPr>
        <xdr:cNvPr id="385" name="Arrow: Down 384">
          <a:extLst>
            <a:ext uri="{FF2B5EF4-FFF2-40B4-BE49-F238E27FC236}">
              <a16:creationId xmlns:a16="http://schemas.microsoft.com/office/drawing/2014/main" id="{C7ED2F1B-FE8D-4B04-8574-EEEC85D1A059}"/>
            </a:ext>
          </a:extLst>
        </xdr:cNvPr>
        <xdr:cNvSpPr/>
      </xdr:nvSpPr>
      <xdr:spPr>
        <a:xfrm>
          <a:off x="485394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35</xdr:col>
      <xdr:colOff>0</xdr:colOff>
      <xdr:row>58</xdr:row>
      <xdr:rowOff>0</xdr:rowOff>
    </xdr:from>
    <xdr:to>
      <xdr:col>35</xdr:col>
      <xdr:colOff>83820</xdr:colOff>
      <xdr:row>58</xdr:row>
      <xdr:rowOff>114300</xdr:rowOff>
    </xdr:to>
    <xdr:sp macro="" textlink="">
      <xdr:nvSpPr>
        <xdr:cNvPr id="386" name="Arrow: Down 385">
          <a:extLst>
            <a:ext uri="{FF2B5EF4-FFF2-40B4-BE49-F238E27FC236}">
              <a16:creationId xmlns:a16="http://schemas.microsoft.com/office/drawing/2014/main" id="{7537B987-A28E-499B-BA8C-49C0C18BE9FF}"/>
            </a:ext>
          </a:extLst>
        </xdr:cNvPr>
        <xdr:cNvSpPr/>
      </xdr:nvSpPr>
      <xdr:spPr>
        <a:xfrm rot="10800000">
          <a:off x="892302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58</xdr:row>
      <xdr:rowOff>0</xdr:rowOff>
    </xdr:from>
    <xdr:to>
      <xdr:col>29</xdr:col>
      <xdr:colOff>83820</xdr:colOff>
      <xdr:row>58</xdr:row>
      <xdr:rowOff>114300</xdr:rowOff>
    </xdr:to>
    <xdr:sp macro="" textlink="">
      <xdr:nvSpPr>
        <xdr:cNvPr id="387" name="Arrow: Down 386">
          <a:extLst>
            <a:ext uri="{FF2B5EF4-FFF2-40B4-BE49-F238E27FC236}">
              <a16:creationId xmlns:a16="http://schemas.microsoft.com/office/drawing/2014/main" id="{8A1A0829-76FF-48B5-82B7-9BCCAF523571}"/>
            </a:ext>
          </a:extLst>
        </xdr:cNvPr>
        <xdr:cNvSpPr/>
      </xdr:nvSpPr>
      <xdr:spPr>
        <a:xfrm rot="10800000">
          <a:off x="741426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50</xdr:col>
      <xdr:colOff>0</xdr:colOff>
      <xdr:row>58</xdr:row>
      <xdr:rowOff>0</xdr:rowOff>
    </xdr:from>
    <xdr:to>
      <xdr:col>50</xdr:col>
      <xdr:colOff>83820</xdr:colOff>
      <xdr:row>58</xdr:row>
      <xdr:rowOff>114300</xdr:rowOff>
    </xdr:to>
    <xdr:sp macro="" textlink="">
      <xdr:nvSpPr>
        <xdr:cNvPr id="390" name="Arrow: Down 389">
          <a:extLst>
            <a:ext uri="{FF2B5EF4-FFF2-40B4-BE49-F238E27FC236}">
              <a16:creationId xmlns:a16="http://schemas.microsoft.com/office/drawing/2014/main" id="{1BE0B955-7DB0-4403-8FBE-13B259EEA239}"/>
            </a:ext>
          </a:extLst>
        </xdr:cNvPr>
        <xdr:cNvSpPr/>
      </xdr:nvSpPr>
      <xdr:spPr>
        <a:xfrm>
          <a:off x="1262634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58</xdr:row>
      <xdr:rowOff>0</xdr:rowOff>
    </xdr:from>
    <xdr:to>
      <xdr:col>58</xdr:col>
      <xdr:colOff>83820</xdr:colOff>
      <xdr:row>58</xdr:row>
      <xdr:rowOff>114300</xdr:rowOff>
    </xdr:to>
    <xdr:sp macro="" textlink="">
      <xdr:nvSpPr>
        <xdr:cNvPr id="391" name="Arrow: Down 390">
          <a:extLst>
            <a:ext uri="{FF2B5EF4-FFF2-40B4-BE49-F238E27FC236}">
              <a16:creationId xmlns:a16="http://schemas.microsoft.com/office/drawing/2014/main" id="{4846467D-C00F-4C81-BBD1-783D592FBE2A}"/>
            </a:ext>
          </a:extLst>
        </xdr:cNvPr>
        <xdr:cNvSpPr/>
      </xdr:nvSpPr>
      <xdr:spPr>
        <a:xfrm>
          <a:off x="1424940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58</xdr:row>
      <xdr:rowOff>0</xdr:rowOff>
    </xdr:from>
    <xdr:to>
      <xdr:col>18</xdr:col>
      <xdr:colOff>83820</xdr:colOff>
      <xdr:row>58</xdr:row>
      <xdr:rowOff>114300</xdr:rowOff>
    </xdr:to>
    <xdr:sp macro="" textlink="">
      <xdr:nvSpPr>
        <xdr:cNvPr id="392" name="Arrow: Down 391">
          <a:extLst>
            <a:ext uri="{FF2B5EF4-FFF2-40B4-BE49-F238E27FC236}">
              <a16:creationId xmlns:a16="http://schemas.microsoft.com/office/drawing/2014/main" id="{1180566F-D6A9-480F-9657-9ACBF971AF31}"/>
            </a:ext>
          </a:extLst>
        </xdr:cNvPr>
        <xdr:cNvSpPr/>
      </xdr:nvSpPr>
      <xdr:spPr>
        <a:xfrm>
          <a:off x="485394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58</xdr:row>
      <xdr:rowOff>0</xdr:rowOff>
    </xdr:from>
    <xdr:to>
      <xdr:col>11</xdr:col>
      <xdr:colOff>160020</xdr:colOff>
      <xdr:row>58</xdr:row>
      <xdr:rowOff>167640</xdr:rowOff>
    </xdr:to>
    <xdr:sp macro="" textlink="">
      <xdr:nvSpPr>
        <xdr:cNvPr id="394" name="Minus Sign 393">
          <a:extLst>
            <a:ext uri="{FF2B5EF4-FFF2-40B4-BE49-F238E27FC236}">
              <a16:creationId xmlns:a16="http://schemas.microsoft.com/office/drawing/2014/main" id="{5EF20D31-AEDB-48B6-9F97-D8DA3C22ECCE}"/>
            </a:ext>
          </a:extLst>
        </xdr:cNvPr>
        <xdr:cNvSpPr/>
      </xdr:nvSpPr>
      <xdr:spPr>
        <a:xfrm>
          <a:off x="3619500" y="107061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58</xdr:row>
      <xdr:rowOff>0</xdr:rowOff>
    </xdr:from>
    <xdr:to>
      <xdr:col>5</xdr:col>
      <xdr:colOff>83820</xdr:colOff>
      <xdr:row>58</xdr:row>
      <xdr:rowOff>114300</xdr:rowOff>
    </xdr:to>
    <xdr:sp macro="" textlink="">
      <xdr:nvSpPr>
        <xdr:cNvPr id="396" name="Arrow: Down 395">
          <a:extLst>
            <a:ext uri="{FF2B5EF4-FFF2-40B4-BE49-F238E27FC236}">
              <a16:creationId xmlns:a16="http://schemas.microsoft.com/office/drawing/2014/main" id="{8D43967E-E6DC-417F-B698-FA8906C8BC55}"/>
            </a:ext>
          </a:extLst>
        </xdr:cNvPr>
        <xdr:cNvSpPr/>
      </xdr:nvSpPr>
      <xdr:spPr>
        <a:xfrm>
          <a:off x="192786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35</xdr:col>
      <xdr:colOff>0</xdr:colOff>
      <xdr:row>59</xdr:row>
      <xdr:rowOff>0</xdr:rowOff>
    </xdr:from>
    <xdr:to>
      <xdr:col>35</xdr:col>
      <xdr:colOff>83820</xdr:colOff>
      <xdr:row>59</xdr:row>
      <xdr:rowOff>114300</xdr:rowOff>
    </xdr:to>
    <xdr:sp macro="" textlink="">
      <xdr:nvSpPr>
        <xdr:cNvPr id="388" name="Arrow: Down 387">
          <a:extLst>
            <a:ext uri="{FF2B5EF4-FFF2-40B4-BE49-F238E27FC236}">
              <a16:creationId xmlns:a16="http://schemas.microsoft.com/office/drawing/2014/main" id="{48BCCC3C-EF24-49CF-94DC-56BCF575245C}"/>
            </a:ext>
          </a:extLst>
        </xdr:cNvPr>
        <xdr:cNvSpPr/>
      </xdr:nvSpPr>
      <xdr:spPr>
        <a:xfrm rot="10800000">
          <a:off x="992886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59</xdr:row>
      <xdr:rowOff>0</xdr:rowOff>
    </xdr:from>
    <xdr:to>
      <xdr:col>29</xdr:col>
      <xdr:colOff>83820</xdr:colOff>
      <xdr:row>59</xdr:row>
      <xdr:rowOff>114300</xdr:rowOff>
    </xdr:to>
    <xdr:sp macro="" textlink="">
      <xdr:nvSpPr>
        <xdr:cNvPr id="389" name="Arrow: Down 388">
          <a:extLst>
            <a:ext uri="{FF2B5EF4-FFF2-40B4-BE49-F238E27FC236}">
              <a16:creationId xmlns:a16="http://schemas.microsoft.com/office/drawing/2014/main" id="{BBF0E7A5-5D94-4A4A-B23A-4A867A3E89B1}"/>
            </a:ext>
          </a:extLst>
        </xdr:cNvPr>
        <xdr:cNvSpPr/>
      </xdr:nvSpPr>
      <xdr:spPr>
        <a:xfrm rot="10800000">
          <a:off x="842010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59</xdr:row>
      <xdr:rowOff>0</xdr:rowOff>
    </xdr:from>
    <xdr:to>
      <xdr:col>58</xdr:col>
      <xdr:colOff>83820</xdr:colOff>
      <xdr:row>59</xdr:row>
      <xdr:rowOff>114300</xdr:rowOff>
    </xdr:to>
    <xdr:sp macro="" textlink="">
      <xdr:nvSpPr>
        <xdr:cNvPr id="395" name="Arrow: Down 394">
          <a:extLst>
            <a:ext uri="{FF2B5EF4-FFF2-40B4-BE49-F238E27FC236}">
              <a16:creationId xmlns:a16="http://schemas.microsoft.com/office/drawing/2014/main" id="{9FFA7615-8A9D-4012-A1B7-8DDB675792AF}"/>
            </a:ext>
          </a:extLst>
        </xdr:cNvPr>
        <xdr:cNvSpPr/>
      </xdr:nvSpPr>
      <xdr:spPr>
        <a:xfrm>
          <a:off x="1670304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59</xdr:row>
      <xdr:rowOff>0</xdr:rowOff>
    </xdr:from>
    <xdr:to>
      <xdr:col>18</xdr:col>
      <xdr:colOff>83820</xdr:colOff>
      <xdr:row>59</xdr:row>
      <xdr:rowOff>114300</xdr:rowOff>
    </xdr:to>
    <xdr:sp macro="" textlink="">
      <xdr:nvSpPr>
        <xdr:cNvPr id="398" name="Arrow: Down 397">
          <a:extLst>
            <a:ext uri="{FF2B5EF4-FFF2-40B4-BE49-F238E27FC236}">
              <a16:creationId xmlns:a16="http://schemas.microsoft.com/office/drawing/2014/main" id="{22596198-0291-4436-9C0E-293E37CC45C4}"/>
            </a:ext>
          </a:extLst>
        </xdr:cNvPr>
        <xdr:cNvSpPr/>
      </xdr:nvSpPr>
      <xdr:spPr>
        <a:xfrm>
          <a:off x="544068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83820</xdr:colOff>
      <xdr:row>59</xdr:row>
      <xdr:rowOff>114300</xdr:rowOff>
    </xdr:to>
    <xdr:sp macro="" textlink="">
      <xdr:nvSpPr>
        <xdr:cNvPr id="400" name="Arrow: Down 399">
          <a:extLst>
            <a:ext uri="{FF2B5EF4-FFF2-40B4-BE49-F238E27FC236}">
              <a16:creationId xmlns:a16="http://schemas.microsoft.com/office/drawing/2014/main" id="{A08F09C9-40F6-498B-A54A-2B9AAFAE87B6}"/>
            </a:ext>
          </a:extLst>
        </xdr:cNvPr>
        <xdr:cNvSpPr/>
      </xdr:nvSpPr>
      <xdr:spPr>
        <a:xfrm>
          <a:off x="192786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59</xdr:row>
      <xdr:rowOff>0</xdr:rowOff>
    </xdr:from>
    <xdr:to>
      <xdr:col>11</xdr:col>
      <xdr:colOff>83820</xdr:colOff>
      <xdr:row>59</xdr:row>
      <xdr:rowOff>114300</xdr:rowOff>
    </xdr:to>
    <xdr:sp macro="" textlink="">
      <xdr:nvSpPr>
        <xdr:cNvPr id="402" name="Arrow: Down 401">
          <a:extLst>
            <a:ext uri="{FF2B5EF4-FFF2-40B4-BE49-F238E27FC236}">
              <a16:creationId xmlns:a16="http://schemas.microsoft.com/office/drawing/2014/main" id="{D22BA61A-C4D3-4122-B3FE-A833C2BA5AC4}"/>
            </a:ext>
          </a:extLst>
        </xdr:cNvPr>
        <xdr:cNvSpPr/>
      </xdr:nvSpPr>
      <xdr:spPr>
        <a:xfrm>
          <a:off x="361950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50</xdr:col>
      <xdr:colOff>0</xdr:colOff>
      <xdr:row>59</xdr:row>
      <xdr:rowOff>0</xdr:rowOff>
    </xdr:from>
    <xdr:to>
      <xdr:col>50</xdr:col>
      <xdr:colOff>83820</xdr:colOff>
      <xdr:row>59</xdr:row>
      <xdr:rowOff>114300</xdr:rowOff>
    </xdr:to>
    <xdr:sp macro="" textlink="">
      <xdr:nvSpPr>
        <xdr:cNvPr id="404" name="Arrow: Down 403">
          <a:extLst>
            <a:ext uri="{FF2B5EF4-FFF2-40B4-BE49-F238E27FC236}">
              <a16:creationId xmlns:a16="http://schemas.microsoft.com/office/drawing/2014/main" id="{C794D813-9617-4981-AD6E-18DCADB707A5}"/>
            </a:ext>
          </a:extLst>
        </xdr:cNvPr>
        <xdr:cNvSpPr/>
      </xdr:nvSpPr>
      <xdr:spPr>
        <a:xfrm rot="10800000">
          <a:off x="14394180" y="10888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60</xdr:row>
      <xdr:rowOff>0</xdr:rowOff>
    </xdr:from>
    <xdr:to>
      <xdr:col>35</xdr:col>
      <xdr:colOff>83820</xdr:colOff>
      <xdr:row>60</xdr:row>
      <xdr:rowOff>114300</xdr:rowOff>
    </xdr:to>
    <xdr:sp macro="" textlink="">
      <xdr:nvSpPr>
        <xdr:cNvPr id="359" name="Arrow: Down 358">
          <a:extLst>
            <a:ext uri="{FF2B5EF4-FFF2-40B4-BE49-F238E27FC236}">
              <a16:creationId xmlns:a16="http://schemas.microsoft.com/office/drawing/2014/main" id="{AC9B5B4E-DE4C-4B7F-9C66-1FE287E64CE6}"/>
            </a:ext>
          </a:extLst>
        </xdr:cNvPr>
        <xdr:cNvSpPr/>
      </xdr:nvSpPr>
      <xdr:spPr>
        <a:xfrm rot="10800000">
          <a:off x="992886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60</xdr:row>
      <xdr:rowOff>0</xdr:rowOff>
    </xdr:from>
    <xdr:to>
      <xdr:col>29</xdr:col>
      <xdr:colOff>83820</xdr:colOff>
      <xdr:row>60</xdr:row>
      <xdr:rowOff>114300</xdr:rowOff>
    </xdr:to>
    <xdr:sp macro="" textlink="">
      <xdr:nvSpPr>
        <xdr:cNvPr id="366" name="Arrow: Down 365">
          <a:extLst>
            <a:ext uri="{FF2B5EF4-FFF2-40B4-BE49-F238E27FC236}">
              <a16:creationId xmlns:a16="http://schemas.microsoft.com/office/drawing/2014/main" id="{90AE8182-C6EC-4902-9567-A6BC80A136B6}"/>
            </a:ext>
          </a:extLst>
        </xdr:cNvPr>
        <xdr:cNvSpPr/>
      </xdr:nvSpPr>
      <xdr:spPr>
        <a:xfrm rot="10800000">
          <a:off x="842010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60</xdr:row>
      <xdr:rowOff>0</xdr:rowOff>
    </xdr:from>
    <xdr:to>
      <xdr:col>58</xdr:col>
      <xdr:colOff>83820</xdr:colOff>
      <xdr:row>60</xdr:row>
      <xdr:rowOff>114300</xdr:rowOff>
    </xdr:to>
    <xdr:sp macro="" textlink="">
      <xdr:nvSpPr>
        <xdr:cNvPr id="368" name="Arrow: Down 367">
          <a:extLst>
            <a:ext uri="{FF2B5EF4-FFF2-40B4-BE49-F238E27FC236}">
              <a16:creationId xmlns:a16="http://schemas.microsoft.com/office/drawing/2014/main" id="{D8018A0A-E5A1-4437-A26D-3FB07B70CC9F}"/>
            </a:ext>
          </a:extLst>
        </xdr:cNvPr>
        <xdr:cNvSpPr/>
      </xdr:nvSpPr>
      <xdr:spPr>
        <a:xfrm>
          <a:off x="1670304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60</xdr:row>
      <xdr:rowOff>0</xdr:rowOff>
    </xdr:from>
    <xdr:to>
      <xdr:col>18</xdr:col>
      <xdr:colOff>83820</xdr:colOff>
      <xdr:row>60</xdr:row>
      <xdr:rowOff>114300</xdr:rowOff>
    </xdr:to>
    <xdr:sp macro="" textlink="">
      <xdr:nvSpPr>
        <xdr:cNvPr id="369" name="Arrow: Down 368">
          <a:extLst>
            <a:ext uri="{FF2B5EF4-FFF2-40B4-BE49-F238E27FC236}">
              <a16:creationId xmlns:a16="http://schemas.microsoft.com/office/drawing/2014/main" id="{5E68B7AE-B033-4103-8AE4-8E135C4CCD13}"/>
            </a:ext>
          </a:extLst>
        </xdr:cNvPr>
        <xdr:cNvSpPr/>
      </xdr:nvSpPr>
      <xdr:spPr>
        <a:xfrm>
          <a:off x="544068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83820</xdr:colOff>
      <xdr:row>60</xdr:row>
      <xdr:rowOff>114300</xdr:rowOff>
    </xdr:to>
    <xdr:sp macro="" textlink="">
      <xdr:nvSpPr>
        <xdr:cNvPr id="370" name="Arrow: Down 369">
          <a:extLst>
            <a:ext uri="{FF2B5EF4-FFF2-40B4-BE49-F238E27FC236}">
              <a16:creationId xmlns:a16="http://schemas.microsoft.com/office/drawing/2014/main" id="{CF8546DA-2AD4-4C21-894C-457372489B77}"/>
            </a:ext>
          </a:extLst>
        </xdr:cNvPr>
        <xdr:cNvSpPr/>
      </xdr:nvSpPr>
      <xdr:spPr>
        <a:xfrm>
          <a:off x="192786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60</xdr:row>
      <xdr:rowOff>0</xdr:rowOff>
    </xdr:from>
    <xdr:to>
      <xdr:col>11</xdr:col>
      <xdr:colOff>83820</xdr:colOff>
      <xdr:row>60</xdr:row>
      <xdr:rowOff>114300</xdr:rowOff>
    </xdr:to>
    <xdr:sp macro="" textlink="">
      <xdr:nvSpPr>
        <xdr:cNvPr id="371" name="Arrow: Down 370">
          <a:extLst>
            <a:ext uri="{FF2B5EF4-FFF2-40B4-BE49-F238E27FC236}">
              <a16:creationId xmlns:a16="http://schemas.microsoft.com/office/drawing/2014/main" id="{16842F35-C300-44A7-9C6B-C2BD4E92309D}"/>
            </a:ext>
          </a:extLst>
        </xdr:cNvPr>
        <xdr:cNvSpPr/>
      </xdr:nvSpPr>
      <xdr:spPr>
        <a:xfrm>
          <a:off x="361950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44</xdr:col>
      <xdr:colOff>0</xdr:colOff>
      <xdr:row>76</xdr:row>
      <xdr:rowOff>0</xdr:rowOff>
    </xdr:from>
    <xdr:to>
      <xdr:col>44</xdr:col>
      <xdr:colOff>160020</xdr:colOff>
      <xdr:row>76</xdr:row>
      <xdr:rowOff>167640</xdr:rowOff>
    </xdr:to>
    <xdr:sp macro="" textlink="">
      <xdr:nvSpPr>
        <xdr:cNvPr id="393" name="Minus Sign 392">
          <a:extLst>
            <a:ext uri="{FF2B5EF4-FFF2-40B4-BE49-F238E27FC236}">
              <a16:creationId xmlns:a16="http://schemas.microsoft.com/office/drawing/2014/main" id="{C7DDB0FD-B484-434C-BD8F-DD407BBF2B7D}"/>
            </a:ext>
          </a:extLst>
        </xdr:cNvPr>
        <xdr:cNvSpPr/>
      </xdr:nvSpPr>
      <xdr:spPr>
        <a:xfrm>
          <a:off x="12527280" y="134493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rgbClr val="FFC000"/>
            </a:solidFill>
          </a:endParaRPr>
        </a:p>
      </xdr:txBody>
    </xdr:sp>
    <xdr:clientData/>
  </xdr:twoCellAnchor>
  <xdr:twoCellAnchor>
    <xdr:from>
      <xdr:col>44</xdr:col>
      <xdr:colOff>0</xdr:colOff>
      <xdr:row>77</xdr:row>
      <xdr:rowOff>0</xdr:rowOff>
    </xdr:from>
    <xdr:to>
      <xdr:col>44</xdr:col>
      <xdr:colOff>160020</xdr:colOff>
      <xdr:row>77</xdr:row>
      <xdr:rowOff>99060</xdr:rowOff>
    </xdr:to>
    <xdr:sp macro="" textlink="">
      <xdr:nvSpPr>
        <xdr:cNvPr id="399" name="Minus Sign 398">
          <a:extLst>
            <a:ext uri="{FF2B5EF4-FFF2-40B4-BE49-F238E27FC236}">
              <a16:creationId xmlns:a16="http://schemas.microsoft.com/office/drawing/2014/main" id="{17353DE2-8A39-43F4-9EA0-9AC80EEBBA14}"/>
            </a:ext>
          </a:extLst>
        </xdr:cNvPr>
        <xdr:cNvSpPr/>
      </xdr:nvSpPr>
      <xdr:spPr>
        <a:xfrm>
          <a:off x="12527280" y="1363218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50</xdr:col>
      <xdr:colOff>0</xdr:colOff>
      <xdr:row>60</xdr:row>
      <xdr:rowOff>0</xdr:rowOff>
    </xdr:from>
    <xdr:to>
      <xdr:col>50</xdr:col>
      <xdr:colOff>83820</xdr:colOff>
      <xdr:row>60</xdr:row>
      <xdr:rowOff>114300</xdr:rowOff>
    </xdr:to>
    <xdr:sp macro="" textlink="">
      <xdr:nvSpPr>
        <xdr:cNvPr id="401" name="Arrow: Down 400">
          <a:extLst>
            <a:ext uri="{FF2B5EF4-FFF2-40B4-BE49-F238E27FC236}">
              <a16:creationId xmlns:a16="http://schemas.microsoft.com/office/drawing/2014/main" id="{2414584A-E560-4E44-9794-0B68850B7AFB}"/>
            </a:ext>
          </a:extLst>
        </xdr:cNvPr>
        <xdr:cNvSpPr/>
      </xdr:nvSpPr>
      <xdr:spPr>
        <a:xfrm>
          <a:off x="14394180" y="1107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61</xdr:row>
      <xdr:rowOff>0</xdr:rowOff>
    </xdr:from>
    <xdr:to>
      <xdr:col>35</xdr:col>
      <xdr:colOff>83820</xdr:colOff>
      <xdr:row>61</xdr:row>
      <xdr:rowOff>114300</xdr:rowOff>
    </xdr:to>
    <xdr:sp macro="" textlink="">
      <xdr:nvSpPr>
        <xdr:cNvPr id="409" name="Arrow: Down 408">
          <a:extLst>
            <a:ext uri="{FF2B5EF4-FFF2-40B4-BE49-F238E27FC236}">
              <a16:creationId xmlns:a16="http://schemas.microsoft.com/office/drawing/2014/main" id="{27C76277-7A2F-406F-877A-AB8CF6B6F479}"/>
            </a:ext>
          </a:extLst>
        </xdr:cNvPr>
        <xdr:cNvSpPr/>
      </xdr:nvSpPr>
      <xdr:spPr>
        <a:xfrm rot="10800000">
          <a:off x="9928860" y="1107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61</xdr:row>
      <xdr:rowOff>0</xdr:rowOff>
    </xdr:from>
    <xdr:to>
      <xdr:col>5</xdr:col>
      <xdr:colOff>83820</xdr:colOff>
      <xdr:row>61</xdr:row>
      <xdr:rowOff>114300</xdr:rowOff>
    </xdr:to>
    <xdr:sp macro="" textlink="">
      <xdr:nvSpPr>
        <xdr:cNvPr id="413" name="Arrow: Down 412">
          <a:extLst>
            <a:ext uri="{FF2B5EF4-FFF2-40B4-BE49-F238E27FC236}">
              <a16:creationId xmlns:a16="http://schemas.microsoft.com/office/drawing/2014/main" id="{25377DDE-A5A3-400B-9849-275399C9A029}"/>
            </a:ext>
          </a:extLst>
        </xdr:cNvPr>
        <xdr:cNvSpPr/>
      </xdr:nvSpPr>
      <xdr:spPr>
        <a:xfrm>
          <a:off x="1927860" y="1107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61</xdr:row>
      <xdr:rowOff>0</xdr:rowOff>
    </xdr:from>
    <xdr:to>
      <xdr:col>11</xdr:col>
      <xdr:colOff>83820</xdr:colOff>
      <xdr:row>61</xdr:row>
      <xdr:rowOff>114300</xdr:rowOff>
    </xdr:to>
    <xdr:sp macro="" textlink="">
      <xdr:nvSpPr>
        <xdr:cNvPr id="414" name="Arrow: Down 413">
          <a:extLst>
            <a:ext uri="{FF2B5EF4-FFF2-40B4-BE49-F238E27FC236}">
              <a16:creationId xmlns:a16="http://schemas.microsoft.com/office/drawing/2014/main" id="{FB214F67-2F63-477B-8081-86639B996CDC}"/>
            </a:ext>
          </a:extLst>
        </xdr:cNvPr>
        <xdr:cNvSpPr/>
      </xdr:nvSpPr>
      <xdr:spPr>
        <a:xfrm>
          <a:off x="3619500" y="1107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18</xdr:col>
      <xdr:colOff>0</xdr:colOff>
      <xdr:row>61</xdr:row>
      <xdr:rowOff>0</xdr:rowOff>
    </xdr:from>
    <xdr:to>
      <xdr:col>18</xdr:col>
      <xdr:colOff>83820</xdr:colOff>
      <xdr:row>61</xdr:row>
      <xdr:rowOff>114300</xdr:rowOff>
    </xdr:to>
    <xdr:sp macro="" textlink="">
      <xdr:nvSpPr>
        <xdr:cNvPr id="417" name="Arrow: Down 416">
          <a:extLst>
            <a:ext uri="{FF2B5EF4-FFF2-40B4-BE49-F238E27FC236}">
              <a16:creationId xmlns:a16="http://schemas.microsoft.com/office/drawing/2014/main" id="{66E3221D-E8C3-4301-B78A-B312F3FC4272}"/>
            </a:ext>
          </a:extLst>
        </xdr:cNvPr>
        <xdr:cNvSpPr/>
      </xdr:nvSpPr>
      <xdr:spPr>
        <a:xfrm rot="10800000">
          <a:off x="5440680" y="11254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61</xdr:row>
      <xdr:rowOff>0</xdr:rowOff>
    </xdr:from>
    <xdr:to>
      <xdr:col>29</xdr:col>
      <xdr:colOff>83820</xdr:colOff>
      <xdr:row>61</xdr:row>
      <xdr:rowOff>114300</xdr:rowOff>
    </xdr:to>
    <xdr:sp macro="" textlink="">
      <xdr:nvSpPr>
        <xdr:cNvPr id="418" name="Arrow: Down 417">
          <a:extLst>
            <a:ext uri="{FF2B5EF4-FFF2-40B4-BE49-F238E27FC236}">
              <a16:creationId xmlns:a16="http://schemas.microsoft.com/office/drawing/2014/main" id="{B0E6774C-D0D2-4AEC-BBFF-D1B3B34FCB8C}"/>
            </a:ext>
          </a:extLst>
        </xdr:cNvPr>
        <xdr:cNvSpPr/>
      </xdr:nvSpPr>
      <xdr:spPr>
        <a:xfrm>
          <a:off x="8420100" y="11254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50</xdr:col>
      <xdr:colOff>0</xdr:colOff>
      <xdr:row>61</xdr:row>
      <xdr:rowOff>0</xdr:rowOff>
    </xdr:from>
    <xdr:to>
      <xdr:col>50</xdr:col>
      <xdr:colOff>83820</xdr:colOff>
      <xdr:row>61</xdr:row>
      <xdr:rowOff>114300</xdr:rowOff>
    </xdr:to>
    <xdr:sp macro="" textlink="">
      <xdr:nvSpPr>
        <xdr:cNvPr id="420" name="Arrow: Down 419">
          <a:extLst>
            <a:ext uri="{FF2B5EF4-FFF2-40B4-BE49-F238E27FC236}">
              <a16:creationId xmlns:a16="http://schemas.microsoft.com/office/drawing/2014/main" id="{F988266C-7467-42A0-B937-2576DA5D7DB3}"/>
            </a:ext>
          </a:extLst>
        </xdr:cNvPr>
        <xdr:cNvSpPr/>
      </xdr:nvSpPr>
      <xdr:spPr>
        <a:xfrm rot="10800000">
          <a:off x="14394180" y="11254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61</xdr:row>
      <xdr:rowOff>0</xdr:rowOff>
    </xdr:from>
    <xdr:to>
      <xdr:col>58</xdr:col>
      <xdr:colOff>160020</xdr:colOff>
      <xdr:row>61</xdr:row>
      <xdr:rowOff>167640</xdr:rowOff>
    </xdr:to>
    <xdr:sp macro="" textlink="">
      <xdr:nvSpPr>
        <xdr:cNvPr id="421" name="Minus Sign 420">
          <a:extLst>
            <a:ext uri="{FF2B5EF4-FFF2-40B4-BE49-F238E27FC236}">
              <a16:creationId xmlns:a16="http://schemas.microsoft.com/office/drawing/2014/main" id="{CC640DCC-5B33-4F48-A752-765FEDF25D20}"/>
            </a:ext>
          </a:extLst>
        </xdr:cNvPr>
        <xdr:cNvSpPr/>
      </xdr:nvSpPr>
      <xdr:spPr>
        <a:xfrm>
          <a:off x="16703040" y="112547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35</xdr:col>
      <xdr:colOff>0</xdr:colOff>
      <xdr:row>62</xdr:row>
      <xdr:rowOff>0</xdr:rowOff>
    </xdr:from>
    <xdr:to>
      <xdr:col>35</xdr:col>
      <xdr:colOff>83820</xdr:colOff>
      <xdr:row>62</xdr:row>
      <xdr:rowOff>114300</xdr:rowOff>
    </xdr:to>
    <xdr:sp macro="" textlink="">
      <xdr:nvSpPr>
        <xdr:cNvPr id="429" name="Arrow: Down 428">
          <a:extLst>
            <a:ext uri="{FF2B5EF4-FFF2-40B4-BE49-F238E27FC236}">
              <a16:creationId xmlns:a16="http://schemas.microsoft.com/office/drawing/2014/main" id="{4D91D87F-BB45-48E1-8F25-4C1262075F3F}"/>
            </a:ext>
          </a:extLst>
        </xdr:cNvPr>
        <xdr:cNvSpPr/>
      </xdr:nvSpPr>
      <xdr:spPr>
        <a:xfrm rot="10800000">
          <a:off x="9928860" y="11254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62</xdr:row>
      <xdr:rowOff>0</xdr:rowOff>
    </xdr:from>
    <xdr:to>
      <xdr:col>18</xdr:col>
      <xdr:colOff>83820</xdr:colOff>
      <xdr:row>62</xdr:row>
      <xdr:rowOff>114300</xdr:rowOff>
    </xdr:to>
    <xdr:sp macro="" textlink="">
      <xdr:nvSpPr>
        <xdr:cNvPr id="432" name="Arrow: Down 431">
          <a:extLst>
            <a:ext uri="{FF2B5EF4-FFF2-40B4-BE49-F238E27FC236}">
              <a16:creationId xmlns:a16="http://schemas.microsoft.com/office/drawing/2014/main" id="{BC2F5906-2C3B-45D7-8FEB-BBE7AD67172A}"/>
            </a:ext>
          </a:extLst>
        </xdr:cNvPr>
        <xdr:cNvSpPr/>
      </xdr:nvSpPr>
      <xdr:spPr>
        <a:xfrm rot="10800000">
          <a:off x="5440680" y="11254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62</xdr:row>
      <xdr:rowOff>0</xdr:rowOff>
    </xdr:from>
    <xdr:to>
      <xdr:col>5</xdr:col>
      <xdr:colOff>83820</xdr:colOff>
      <xdr:row>62</xdr:row>
      <xdr:rowOff>114300</xdr:rowOff>
    </xdr:to>
    <xdr:sp macro="" textlink="">
      <xdr:nvSpPr>
        <xdr:cNvPr id="436" name="Arrow: Down 435">
          <a:extLst>
            <a:ext uri="{FF2B5EF4-FFF2-40B4-BE49-F238E27FC236}">
              <a16:creationId xmlns:a16="http://schemas.microsoft.com/office/drawing/2014/main" id="{3116B247-0D17-4935-B672-02A003C80ED5}"/>
            </a:ext>
          </a:extLst>
        </xdr:cNvPr>
        <xdr:cNvSpPr/>
      </xdr:nvSpPr>
      <xdr:spPr>
        <a:xfrm rot="10800000">
          <a:off x="1927860" y="11437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62</xdr:row>
      <xdr:rowOff>0</xdr:rowOff>
    </xdr:from>
    <xdr:to>
      <xdr:col>29</xdr:col>
      <xdr:colOff>83820</xdr:colOff>
      <xdr:row>62</xdr:row>
      <xdr:rowOff>114300</xdr:rowOff>
    </xdr:to>
    <xdr:sp macro="" textlink="">
      <xdr:nvSpPr>
        <xdr:cNvPr id="438" name="Arrow: Down 437">
          <a:extLst>
            <a:ext uri="{FF2B5EF4-FFF2-40B4-BE49-F238E27FC236}">
              <a16:creationId xmlns:a16="http://schemas.microsoft.com/office/drawing/2014/main" id="{D0752E8A-00C6-46E7-86A3-F618F7ECA980}"/>
            </a:ext>
          </a:extLst>
        </xdr:cNvPr>
        <xdr:cNvSpPr/>
      </xdr:nvSpPr>
      <xdr:spPr>
        <a:xfrm rot="10800000">
          <a:off x="842010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50</xdr:col>
      <xdr:colOff>0</xdr:colOff>
      <xdr:row>62</xdr:row>
      <xdr:rowOff>0</xdr:rowOff>
    </xdr:from>
    <xdr:to>
      <xdr:col>50</xdr:col>
      <xdr:colOff>83820</xdr:colOff>
      <xdr:row>62</xdr:row>
      <xdr:rowOff>114300</xdr:rowOff>
    </xdr:to>
    <xdr:sp macro="" textlink="">
      <xdr:nvSpPr>
        <xdr:cNvPr id="439" name="Arrow: Down 438">
          <a:extLst>
            <a:ext uri="{FF2B5EF4-FFF2-40B4-BE49-F238E27FC236}">
              <a16:creationId xmlns:a16="http://schemas.microsoft.com/office/drawing/2014/main" id="{E165C68F-2A63-4050-B7A2-05AF197643C1}"/>
            </a:ext>
          </a:extLst>
        </xdr:cNvPr>
        <xdr:cNvSpPr/>
      </xdr:nvSpPr>
      <xdr:spPr>
        <a:xfrm>
          <a:off x="1439418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62</xdr:row>
      <xdr:rowOff>0</xdr:rowOff>
    </xdr:from>
    <xdr:to>
      <xdr:col>58</xdr:col>
      <xdr:colOff>83820</xdr:colOff>
      <xdr:row>62</xdr:row>
      <xdr:rowOff>114300</xdr:rowOff>
    </xdr:to>
    <xdr:sp macro="" textlink="">
      <xdr:nvSpPr>
        <xdr:cNvPr id="441" name="Arrow: Down 440">
          <a:extLst>
            <a:ext uri="{FF2B5EF4-FFF2-40B4-BE49-F238E27FC236}">
              <a16:creationId xmlns:a16="http://schemas.microsoft.com/office/drawing/2014/main" id="{6D9F9256-074B-4A2A-90E5-68FC60E3260C}"/>
            </a:ext>
          </a:extLst>
        </xdr:cNvPr>
        <xdr:cNvSpPr/>
      </xdr:nvSpPr>
      <xdr:spPr>
        <a:xfrm>
          <a:off x="1670304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62</xdr:row>
      <xdr:rowOff>0</xdr:rowOff>
    </xdr:from>
    <xdr:to>
      <xdr:col>11</xdr:col>
      <xdr:colOff>83820</xdr:colOff>
      <xdr:row>62</xdr:row>
      <xdr:rowOff>114300</xdr:rowOff>
    </xdr:to>
    <xdr:sp macro="" textlink="">
      <xdr:nvSpPr>
        <xdr:cNvPr id="442" name="Arrow: Down 441">
          <a:extLst>
            <a:ext uri="{FF2B5EF4-FFF2-40B4-BE49-F238E27FC236}">
              <a16:creationId xmlns:a16="http://schemas.microsoft.com/office/drawing/2014/main" id="{7AE79E1D-4508-47FF-B9DF-50C0894BEBE8}"/>
            </a:ext>
          </a:extLst>
        </xdr:cNvPr>
        <xdr:cNvSpPr/>
      </xdr:nvSpPr>
      <xdr:spPr>
        <a:xfrm rot="10800000">
          <a:off x="3619500" y="11437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30</xdr:row>
      <xdr:rowOff>0</xdr:rowOff>
    </xdr:from>
    <xdr:to>
      <xdr:col>14</xdr:col>
      <xdr:colOff>83820</xdr:colOff>
      <xdr:row>30</xdr:row>
      <xdr:rowOff>114300</xdr:rowOff>
    </xdr:to>
    <xdr:sp macro="" textlink="">
      <xdr:nvSpPr>
        <xdr:cNvPr id="24" name="Arrow: Down 23">
          <a:extLst>
            <a:ext uri="{FF2B5EF4-FFF2-40B4-BE49-F238E27FC236}">
              <a16:creationId xmlns:a16="http://schemas.microsoft.com/office/drawing/2014/main" id="{1983AC3C-9CA2-41A7-8D48-A39E250C7E83}"/>
            </a:ext>
          </a:extLst>
        </xdr:cNvPr>
        <xdr:cNvSpPr/>
      </xdr:nvSpPr>
      <xdr:spPr>
        <a:xfrm>
          <a:off x="17023080" y="5204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32</xdr:row>
      <xdr:rowOff>0</xdr:rowOff>
    </xdr:from>
    <xdr:to>
      <xdr:col>14</xdr:col>
      <xdr:colOff>83820</xdr:colOff>
      <xdr:row>32</xdr:row>
      <xdr:rowOff>114300</xdr:rowOff>
    </xdr:to>
    <xdr:sp macro="" textlink="">
      <xdr:nvSpPr>
        <xdr:cNvPr id="25" name="Arrow: Down 24">
          <a:extLst>
            <a:ext uri="{FF2B5EF4-FFF2-40B4-BE49-F238E27FC236}">
              <a16:creationId xmlns:a16="http://schemas.microsoft.com/office/drawing/2014/main" id="{07D9F6C5-B683-43C3-880E-06C1D173BC1B}"/>
            </a:ext>
          </a:extLst>
        </xdr:cNvPr>
        <xdr:cNvSpPr/>
      </xdr:nvSpPr>
      <xdr:spPr>
        <a:xfrm>
          <a:off x="1702308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31</xdr:row>
      <xdr:rowOff>0</xdr:rowOff>
    </xdr:from>
    <xdr:to>
      <xdr:col>14</xdr:col>
      <xdr:colOff>83820</xdr:colOff>
      <xdr:row>31</xdr:row>
      <xdr:rowOff>114300</xdr:rowOff>
    </xdr:to>
    <xdr:sp macro="" textlink="">
      <xdr:nvSpPr>
        <xdr:cNvPr id="26" name="Arrow: Down 25">
          <a:extLst>
            <a:ext uri="{FF2B5EF4-FFF2-40B4-BE49-F238E27FC236}">
              <a16:creationId xmlns:a16="http://schemas.microsoft.com/office/drawing/2014/main" id="{6E49546C-C0EA-420B-8024-D78AC32B8AF4}"/>
            </a:ext>
          </a:extLst>
        </xdr:cNvPr>
        <xdr:cNvSpPr/>
      </xdr:nvSpPr>
      <xdr:spPr>
        <a:xfrm rot="10800000">
          <a:off x="17023080" y="5387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33</xdr:row>
      <xdr:rowOff>0</xdr:rowOff>
    </xdr:from>
    <xdr:to>
      <xdr:col>14</xdr:col>
      <xdr:colOff>83820</xdr:colOff>
      <xdr:row>33</xdr:row>
      <xdr:rowOff>114300</xdr:rowOff>
    </xdr:to>
    <xdr:sp macro="" textlink="">
      <xdr:nvSpPr>
        <xdr:cNvPr id="27" name="Arrow: Down 26">
          <a:extLst>
            <a:ext uri="{FF2B5EF4-FFF2-40B4-BE49-F238E27FC236}">
              <a16:creationId xmlns:a16="http://schemas.microsoft.com/office/drawing/2014/main" id="{6297D24F-5474-4C82-B89D-73F408EF397A}"/>
            </a:ext>
          </a:extLst>
        </xdr:cNvPr>
        <xdr:cNvSpPr/>
      </xdr:nvSpPr>
      <xdr:spPr>
        <a:xfrm>
          <a:off x="1702308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34</xdr:row>
      <xdr:rowOff>0</xdr:rowOff>
    </xdr:from>
    <xdr:to>
      <xdr:col>14</xdr:col>
      <xdr:colOff>83820</xdr:colOff>
      <xdr:row>34</xdr:row>
      <xdr:rowOff>114300</xdr:rowOff>
    </xdr:to>
    <xdr:sp macro="" textlink="">
      <xdr:nvSpPr>
        <xdr:cNvPr id="28" name="Arrow: Down 27">
          <a:extLst>
            <a:ext uri="{FF2B5EF4-FFF2-40B4-BE49-F238E27FC236}">
              <a16:creationId xmlns:a16="http://schemas.microsoft.com/office/drawing/2014/main" id="{46C91321-B3A4-4C15-A120-B93967060E24}"/>
            </a:ext>
          </a:extLst>
        </xdr:cNvPr>
        <xdr:cNvSpPr/>
      </xdr:nvSpPr>
      <xdr:spPr>
        <a:xfrm>
          <a:off x="1702308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35</xdr:row>
      <xdr:rowOff>0</xdr:rowOff>
    </xdr:from>
    <xdr:to>
      <xdr:col>14</xdr:col>
      <xdr:colOff>83820</xdr:colOff>
      <xdr:row>35</xdr:row>
      <xdr:rowOff>114300</xdr:rowOff>
    </xdr:to>
    <xdr:sp macro="" textlink="">
      <xdr:nvSpPr>
        <xdr:cNvPr id="29" name="Arrow: Down 28">
          <a:extLst>
            <a:ext uri="{FF2B5EF4-FFF2-40B4-BE49-F238E27FC236}">
              <a16:creationId xmlns:a16="http://schemas.microsoft.com/office/drawing/2014/main" id="{97A2EC70-28D8-4E49-9157-703F37C9A0C7}"/>
            </a:ext>
          </a:extLst>
        </xdr:cNvPr>
        <xdr:cNvSpPr/>
      </xdr:nvSpPr>
      <xdr:spPr>
        <a:xfrm>
          <a:off x="17023080" y="6118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37</xdr:row>
      <xdr:rowOff>0</xdr:rowOff>
    </xdr:from>
    <xdr:to>
      <xdr:col>14</xdr:col>
      <xdr:colOff>83820</xdr:colOff>
      <xdr:row>37</xdr:row>
      <xdr:rowOff>114300</xdr:rowOff>
    </xdr:to>
    <xdr:sp macro="" textlink="">
      <xdr:nvSpPr>
        <xdr:cNvPr id="31" name="Arrow: Down 30">
          <a:extLst>
            <a:ext uri="{FF2B5EF4-FFF2-40B4-BE49-F238E27FC236}">
              <a16:creationId xmlns:a16="http://schemas.microsoft.com/office/drawing/2014/main" id="{6363B554-3BF0-4F45-86D3-F2C50D27E40D}"/>
            </a:ext>
          </a:extLst>
        </xdr:cNvPr>
        <xdr:cNvSpPr/>
      </xdr:nvSpPr>
      <xdr:spPr>
        <a:xfrm rot="10800000">
          <a:off x="17023080" y="6484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38</xdr:row>
      <xdr:rowOff>0</xdr:rowOff>
    </xdr:from>
    <xdr:to>
      <xdr:col>14</xdr:col>
      <xdr:colOff>83820</xdr:colOff>
      <xdr:row>38</xdr:row>
      <xdr:rowOff>114300</xdr:rowOff>
    </xdr:to>
    <xdr:sp macro="" textlink="">
      <xdr:nvSpPr>
        <xdr:cNvPr id="32" name="Arrow: Down 31">
          <a:extLst>
            <a:ext uri="{FF2B5EF4-FFF2-40B4-BE49-F238E27FC236}">
              <a16:creationId xmlns:a16="http://schemas.microsoft.com/office/drawing/2014/main" id="{D2A414C5-D1D9-4E71-AC01-FFE4FC38EB16}"/>
            </a:ext>
          </a:extLst>
        </xdr:cNvPr>
        <xdr:cNvSpPr/>
      </xdr:nvSpPr>
      <xdr:spPr>
        <a:xfrm>
          <a:off x="17023080" y="6667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39</xdr:row>
      <xdr:rowOff>0</xdr:rowOff>
    </xdr:from>
    <xdr:to>
      <xdr:col>14</xdr:col>
      <xdr:colOff>83820</xdr:colOff>
      <xdr:row>39</xdr:row>
      <xdr:rowOff>114300</xdr:rowOff>
    </xdr:to>
    <xdr:sp macro="" textlink="">
      <xdr:nvSpPr>
        <xdr:cNvPr id="33" name="Arrow: Down 32">
          <a:extLst>
            <a:ext uri="{FF2B5EF4-FFF2-40B4-BE49-F238E27FC236}">
              <a16:creationId xmlns:a16="http://schemas.microsoft.com/office/drawing/2014/main" id="{05E73E91-0D5F-493E-A83F-36157500AED9}"/>
            </a:ext>
          </a:extLst>
        </xdr:cNvPr>
        <xdr:cNvSpPr/>
      </xdr:nvSpPr>
      <xdr:spPr>
        <a:xfrm>
          <a:off x="1702308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40</xdr:row>
      <xdr:rowOff>0</xdr:rowOff>
    </xdr:from>
    <xdr:to>
      <xdr:col>14</xdr:col>
      <xdr:colOff>83820</xdr:colOff>
      <xdr:row>40</xdr:row>
      <xdr:rowOff>114300</xdr:rowOff>
    </xdr:to>
    <xdr:sp macro="" textlink="">
      <xdr:nvSpPr>
        <xdr:cNvPr id="34" name="Arrow: Down 33">
          <a:extLst>
            <a:ext uri="{FF2B5EF4-FFF2-40B4-BE49-F238E27FC236}">
              <a16:creationId xmlns:a16="http://schemas.microsoft.com/office/drawing/2014/main" id="{DF26BA0C-6076-4A90-8D13-399AE38A84AA}"/>
            </a:ext>
          </a:extLst>
        </xdr:cNvPr>
        <xdr:cNvSpPr/>
      </xdr:nvSpPr>
      <xdr:spPr>
        <a:xfrm>
          <a:off x="1702308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41</xdr:row>
      <xdr:rowOff>0</xdr:rowOff>
    </xdr:from>
    <xdr:to>
      <xdr:col>14</xdr:col>
      <xdr:colOff>83820</xdr:colOff>
      <xdr:row>41</xdr:row>
      <xdr:rowOff>114300</xdr:rowOff>
    </xdr:to>
    <xdr:sp macro="" textlink="">
      <xdr:nvSpPr>
        <xdr:cNvPr id="35" name="Arrow: Down 34">
          <a:extLst>
            <a:ext uri="{FF2B5EF4-FFF2-40B4-BE49-F238E27FC236}">
              <a16:creationId xmlns:a16="http://schemas.microsoft.com/office/drawing/2014/main" id="{E4D8F7C4-C006-4D8F-B6C1-D5F44AEE7B6E}"/>
            </a:ext>
          </a:extLst>
        </xdr:cNvPr>
        <xdr:cNvSpPr/>
      </xdr:nvSpPr>
      <xdr:spPr>
        <a:xfrm rot="10800000">
          <a:off x="1702308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42</xdr:row>
      <xdr:rowOff>0</xdr:rowOff>
    </xdr:from>
    <xdr:to>
      <xdr:col>14</xdr:col>
      <xdr:colOff>83820</xdr:colOff>
      <xdr:row>42</xdr:row>
      <xdr:rowOff>114300</xdr:rowOff>
    </xdr:to>
    <xdr:sp macro="" textlink="">
      <xdr:nvSpPr>
        <xdr:cNvPr id="36" name="Arrow: Down 35">
          <a:extLst>
            <a:ext uri="{FF2B5EF4-FFF2-40B4-BE49-F238E27FC236}">
              <a16:creationId xmlns:a16="http://schemas.microsoft.com/office/drawing/2014/main" id="{AA032B6C-FC87-4670-AF6C-2DAACCCED197}"/>
            </a:ext>
          </a:extLst>
        </xdr:cNvPr>
        <xdr:cNvSpPr/>
      </xdr:nvSpPr>
      <xdr:spPr>
        <a:xfrm>
          <a:off x="1702308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45</xdr:row>
      <xdr:rowOff>0</xdr:rowOff>
    </xdr:from>
    <xdr:to>
      <xdr:col>14</xdr:col>
      <xdr:colOff>83820</xdr:colOff>
      <xdr:row>45</xdr:row>
      <xdr:rowOff>114300</xdr:rowOff>
    </xdr:to>
    <xdr:sp macro="" textlink="">
      <xdr:nvSpPr>
        <xdr:cNvPr id="39" name="Arrow: Down 38">
          <a:extLst>
            <a:ext uri="{FF2B5EF4-FFF2-40B4-BE49-F238E27FC236}">
              <a16:creationId xmlns:a16="http://schemas.microsoft.com/office/drawing/2014/main" id="{788634B2-961C-4ECD-93B4-5801A5A44508}"/>
            </a:ext>
          </a:extLst>
        </xdr:cNvPr>
        <xdr:cNvSpPr/>
      </xdr:nvSpPr>
      <xdr:spPr>
        <a:xfrm>
          <a:off x="1702308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46</xdr:row>
      <xdr:rowOff>0</xdr:rowOff>
    </xdr:from>
    <xdr:to>
      <xdr:col>14</xdr:col>
      <xdr:colOff>83820</xdr:colOff>
      <xdr:row>46</xdr:row>
      <xdr:rowOff>114300</xdr:rowOff>
    </xdr:to>
    <xdr:sp macro="" textlink="">
      <xdr:nvSpPr>
        <xdr:cNvPr id="40" name="Arrow: Down 39">
          <a:extLst>
            <a:ext uri="{FF2B5EF4-FFF2-40B4-BE49-F238E27FC236}">
              <a16:creationId xmlns:a16="http://schemas.microsoft.com/office/drawing/2014/main" id="{53CA52F2-EAE2-442B-8270-C021CBD9F500}"/>
            </a:ext>
          </a:extLst>
        </xdr:cNvPr>
        <xdr:cNvSpPr/>
      </xdr:nvSpPr>
      <xdr:spPr>
        <a:xfrm rot="10800000">
          <a:off x="1702308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47</xdr:row>
      <xdr:rowOff>0</xdr:rowOff>
    </xdr:from>
    <xdr:to>
      <xdr:col>14</xdr:col>
      <xdr:colOff>83820</xdr:colOff>
      <xdr:row>47</xdr:row>
      <xdr:rowOff>114300</xdr:rowOff>
    </xdr:to>
    <xdr:sp macro="" textlink="">
      <xdr:nvSpPr>
        <xdr:cNvPr id="41" name="Arrow: Down 40">
          <a:extLst>
            <a:ext uri="{FF2B5EF4-FFF2-40B4-BE49-F238E27FC236}">
              <a16:creationId xmlns:a16="http://schemas.microsoft.com/office/drawing/2014/main" id="{72B0904D-606E-4F9C-AC72-FC26E7307A27}"/>
            </a:ext>
          </a:extLst>
        </xdr:cNvPr>
        <xdr:cNvSpPr/>
      </xdr:nvSpPr>
      <xdr:spPr>
        <a:xfrm>
          <a:off x="1702308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48</xdr:row>
      <xdr:rowOff>0</xdr:rowOff>
    </xdr:from>
    <xdr:to>
      <xdr:col>14</xdr:col>
      <xdr:colOff>83820</xdr:colOff>
      <xdr:row>48</xdr:row>
      <xdr:rowOff>114300</xdr:rowOff>
    </xdr:to>
    <xdr:sp macro="" textlink="">
      <xdr:nvSpPr>
        <xdr:cNvPr id="42" name="Arrow: Down 41">
          <a:extLst>
            <a:ext uri="{FF2B5EF4-FFF2-40B4-BE49-F238E27FC236}">
              <a16:creationId xmlns:a16="http://schemas.microsoft.com/office/drawing/2014/main" id="{032F7ED6-4341-45E2-9285-FC326C982A06}"/>
            </a:ext>
          </a:extLst>
        </xdr:cNvPr>
        <xdr:cNvSpPr/>
      </xdr:nvSpPr>
      <xdr:spPr>
        <a:xfrm>
          <a:off x="1702308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36</xdr:row>
      <xdr:rowOff>0</xdr:rowOff>
    </xdr:from>
    <xdr:to>
      <xdr:col>14</xdr:col>
      <xdr:colOff>83820</xdr:colOff>
      <xdr:row>36</xdr:row>
      <xdr:rowOff>114300</xdr:rowOff>
    </xdr:to>
    <xdr:sp macro="" textlink="">
      <xdr:nvSpPr>
        <xdr:cNvPr id="46" name="Arrow: Down 45">
          <a:extLst>
            <a:ext uri="{FF2B5EF4-FFF2-40B4-BE49-F238E27FC236}">
              <a16:creationId xmlns:a16="http://schemas.microsoft.com/office/drawing/2014/main" id="{6A934176-8C05-4209-9F5A-75EA64C22B5E}"/>
            </a:ext>
          </a:extLst>
        </xdr:cNvPr>
        <xdr:cNvSpPr/>
      </xdr:nvSpPr>
      <xdr:spPr>
        <a:xfrm rot="10800000">
          <a:off x="4114800" y="661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44</xdr:row>
      <xdr:rowOff>0</xdr:rowOff>
    </xdr:from>
    <xdr:to>
      <xdr:col>14</xdr:col>
      <xdr:colOff>83820</xdr:colOff>
      <xdr:row>44</xdr:row>
      <xdr:rowOff>114300</xdr:rowOff>
    </xdr:to>
    <xdr:sp macro="" textlink="">
      <xdr:nvSpPr>
        <xdr:cNvPr id="47" name="Arrow: Down 46">
          <a:extLst>
            <a:ext uri="{FF2B5EF4-FFF2-40B4-BE49-F238E27FC236}">
              <a16:creationId xmlns:a16="http://schemas.microsoft.com/office/drawing/2014/main" id="{7C84EEE8-B7B1-4D0C-B192-D01206857E05}"/>
            </a:ext>
          </a:extLst>
        </xdr:cNvPr>
        <xdr:cNvSpPr/>
      </xdr:nvSpPr>
      <xdr:spPr>
        <a:xfrm rot="10800000">
          <a:off x="4114800" y="8077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43</xdr:row>
      <xdr:rowOff>0</xdr:rowOff>
    </xdr:from>
    <xdr:to>
      <xdr:col>14</xdr:col>
      <xdr:colOff>83820</xdr:colOff>
      <xdr:row>43</xdr:row>
      <xdr:rowOff>114300</xdr:rowOff>
    </xdr:to>
    <xdr:sp macro="" textlink="">
      <xdr:nvSpPr>
        <xdr:cNvPr id="48" name="Arrow: Down 47">
          <a:extLst>
            <a:ext uri="{FF2B5EF4-FFF2-40B4-BE49-F238E27FC236}">
              <a16:creationId xmlns:a16="http://schemas.microsoft.com/office/drawing/2014/main" id="{B6EADC19-448B-4E38-9AB3-E176D63A6131}"/>
            </a:ext>
          </a:extLst>
        </xdr:cNvPr>
        <xdr:cNvSpPr/>
      </xdr:nvSpPr>
      <xdr:spPr>
        <a:xfrm rot="10800000">
          <a:off x="4114800" y="7894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49</xdr:row>
      <xdr:rowOff>0</xdr:rowOff>
    </xdr:from>
    <xdr:to>
      <xdr:col>14</xdr:col>
      <xdr:colOff>83820</xdr:colOff>
      <xdr:row>49</xdr:row>
      <xdr:rowOff>114300</xdr:rowOff>
    </xdr:to>
    <xdr:sp macro="" textlink="">
      <xdr:nvSpPr>
        <xdr:cNvPr id="49" name="Arrow: Down 48">
          <a:extLst>
            <a:ext uri="{FF2B5EF4-FFF2-40B4-BE49-F238E27FC236}">
              <a16:creationId xmlns:a16="http://schemas.microsoft.com/office/drawing/2014/main" id="{7427C568-A74D-4E06-9A7B-75915CFDC823}"/>
            </a:ext>
          </a:extLst>
        </xdr:cNvPr>
        <xdr:cNvSpPr/>
      </xdr:nvSpPr>
      <xdr:spPr>
        <a:xfrm rot="10800000">
          <a:off x="4114800" y="89916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50</xdr:row>
      <xdr:rowOff>0</xdr:rowOff>
    </xdr:from>
    <xdr:to>
      <xdr:col>14</xdr:col>
      <xdr:colOff>83820</xdr:colOff>
      <xdr:row>50</xdr:row>
      <xdr:rowOff>114300</xdr:rowOff>
    </xdr:to>
    <xdr:sp macro="" textlink="">
      <xdr:nvSpPr>
        <xdr:cNvPr id="51" name="Arrow: Down 50">
          <a:extLst>
            <a:ext uri="{FF2B5EF4-FFF2-40B4-BE49-F238E27FC236}">
              <a16:creationId xmlns:a16="http://schemas.microsoft.com/office/drawing/2014/main" id="{62985D1F-A1AA-48AB-B6F6-61270AF6A5D1}"/>
            </a:ext>
          </a:extLst>
        </xdr:cNvPr>
        <xdr:cNvSpPr/>
      </xdr:nvSpPr>
      <xdr:spPr>
        <a:xfrm rot="10800000">
          <a:off x="4114800" y="91744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51</xdr:row>
      <xdr:rowOff>0</xdr:rowOff>
    </xdr:from>
    <xdr:to>
      <xdr:col>14</xdr:col>
      <xdr:colOff>83820</xdr:colOff>
      <xdr:row>51</xdr:row>
      <xdr:rowOff>114300</xdr:rowOff>
    </xdr:to>
    <xdr:sp macro="" textlink="">
      <xdr:nvSpPr>
        <xdr:cNvPr id="30" name="Arrow: Down 29">
          <a:extLst>
            <a:ext uri="{FF2B5EF4-FFF2-40B4-BE49-F238E27FC236}">
              <a16:creationId xmlns:a16="http://schemas.microsoft.com/office/drawing/2014/main" id="{9D88C378-147A-4BF3-8ED7-1EA8F609C676}"/>
            </a:ext>
          </a:extLst>
        </xdr:cNvPr>
        <xdr:cNvSpPr/>
      </xdr:nvSpPr>
      <xdr:spPr>
        <a:xfrm rot="10800000">
          <a:off x="5013960" y="9517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52</xdr:row>
      <xdr:rowOff>0</xdr:rowOff>
    </xdr:from>
    <xdr:to>
      <xdr:col>14</xdr:col>
      <xdr:colOff>83820</xdr:colOff>
      <xdr:row>52</xdr:row>
      <xdr:rowOff>114300</xdr:rowOff>
    </xdr:to>
    <xdr:sp macro="" textlink="">
      <xdr:nvSpPr>
        <xdr:cNvPr id="37" name="Arrow: Down 36">
          <a:extLst>
            <a:ext uri="{FF2B5EF4-FFF2-40B4-BE49-F238E27FC236}">
              <a16:creationId xmlns:a16="http://schemas.microsoft.com/office/drawing/2014/main" id="{481EEE6D-E93B-48C4-8C99-A2DF34507B22}"/>
            </a:ext>
          </a:extLst>
        </xdr:cNvPr>
        <xdr:cNvSpPr/>
      </xdr:nvSpPr>
      <xdr:spPr>
        <a:xfrm>
          <a:off x="5006340" y="9700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53</xdr:row>
      <xdr:rowOff>0</xdr:rowOff>
    </xdr:from>
    <xdr:to>
      <xdr:col>14</xdr:col>
      <xdr:colOff>160020</xdr:colOff>
      <xdr:row>53</xdr:row>
      <xdr:rowOff>167640</xdr:rowOff>
    </xdr:to>
    <xdr:sp macro="" textlink="">
      <xdr:nvSpPr>
        <xdr:cNvPr id="43" name="Minus Sign 42">
          <a:extLst>
            <a:ext uri="{FF2B5EF4-FFF2-40B4-BE49-F238E27FC236}">
              <a16:creationId xmlns:a16="http://schemas.microsoft.com/office/drawing/2014/main" id="{1881015E-5248-46A2-AD55-D88AEAAC02C0}"/>
            </a:ext>
          </a:extLst>
        </xdr:cNvPr>
        <xdr:cNvSpPr/>
      </xdr:nvSpPr>
      <xdr:spPr>
        <a:xfrm>
          <a:off x="5006340" y="98831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83820</xdr:colOff>
      <xdr:row>54</xdr:row>
      <xdr:rowOff>114300</xdr:rowOff>
    </xdr:to>
    <xdr:sp macro="" textlink="">
      <xdr:nvSpPr>
        <xdr:cNvPr id="44" name="Arrow: Down 43">
          <a:extLst>
            <a:ext uri="{FF2B5EF4-FFF2-40B4-BE49-F238E27FC236}">
              <a16:creationId xmlns:a16="http://schemas.microsoft.com/office/drawing/2014/main" id="{4711DCAF-E866-4519-A92F-0612D34498C5}"/>
            </a:ext>
          </a:extLst>
        </xdr:cNvPr>
        <xdr:cNvSpPr/>
      </xdr:nvSpPr>
      <xdr:spPr>
        <a:xfrm>
          <a:off x="5006340" y="10066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55</xdr:row>
      <xdr:rowOff>0</xdr:rowOff>
    </xdr:from>
    <xdr:to>
      <xdr:col>14</xdr:col>
      <xdr:colOff>83820</xdr:colOff>
      <xdr:row>55</xdr:row>
      <xdr:rowOff>114300</xdr:rowOff>
    </xdr:to>
    <xdr:sp macro="" textlink="">
      <xdr:nvSpPr>
        <xdr:cNvPr id="45" name="Arrow: Down 44">
          <a:extLst>
            <a:ext uri="{FF2B5EF4-FFF2-40B4-BE49-F238E27FC236}">
              <a16:creationId xmlns:a16="http://schemas.microsoft.com/office/drawing/2014/main" id="{8D4EF902-F217-47B8-81BA-2460CD50ED20}"/>
            </a:ext>
          </a:extLst>
        </xdr:cNvPr>
        <xdr:cNvSpPr/>
      </xdr:nvSpPr>
      <xdr:spPr>
        <a:xfrm>
          <a:off x="5006340" y="10073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56</xdr:row>
      <xdr:rowOff>0</xdr:rowOff>
    </xdr:from>
    <xdr:to>
      <xdr:col>14</xdr:col>
      <xdr:colOff>83820</xdr:colOff>
      <xdr:row>56</xdr:row>
      <xdr:rowOff>114300</xdr:rowOff>
    </xdr:to>
    <xdr:sp macro="" textlink="">
      <xdr:nvSpPr>
        <xdr:cNvPr id="52" name="Arrow: Down 51">
          <a:extLst>
            <a:ext uri="{FF2B5EF4-FFF2-40B4-BE49-F238E27FC236}">
              <a16:creationId xmlns:a16="http://schemas.microsoft.com/office/drawing/2014/main" id="{157BE38E-631F-4C40-9FFD-35E34E39E383}"/>
            </a:ext>
          </a:extLst>
        </xdr:cNvPr>
        <xdr:cNvSpPr/>
      </xdr:nvSpPr>
      <xdr:spPr>
        <a:xfrm rot="10800000">
          <a:off x="5006340" y="10439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83820</xdr:colOff>
      <xdr:row>57</xdr:row>
      <xdr:rowOff>114300</xdr:rowOff>
    </xdr:to>
    <xdr:sp macro="" textlink="">
      <xdr:nvSpPr>
        <xdr:cNvPr id="53" name="Arrow: Down 52">
          <a:extLst>
            <a:ext uri="{FF2B5EF4-FFF2-40B4-BE49-F238E27FC236}">
              <a16:creationId xmlns:a16="http://schemas.microsoft.com/office/drawing/2014/main" id="{13EF766C-6378-4A4F-9C56-B92F7371596F}"/>
            </a:ext>
          </a:extLst>
        </xdr:cNvPr>
        <xdr:cNvSpPr/>
      </xdr:nvSpPr>
      <xdr:spPr>
        <a:xfrm>
          <a:off x="5006340" y="106222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58</xdr:row>
      <xdr:rowOff>0</xdr:rowOff>
    </xdr:from>
    <xdr:to>
      <xdr:col>14</xdr:col>
      <xdr:colOff>83820</xdr:colOff>
      <xdr:row>58</xdr:row>
      <xdr:rowOff>114300</xdr:rowOff>
    </xdr:to>
    <xdr:sp macro="" textlink="">
      <xdr:nvSpPr>
        <xdr:cNvPr id="55" name="Arrow: Down 54">
          <a:extLst>
            <a:ext uri="{FF2B5EF4-FFF2-40B4-BE49-F238E27FC236}">
              <a16:creationId xmlns:a16="http://schemas.microsoft.com/office/drawing/2014/main" id="{01264505-DEA8-4DFF-96D3-8A297D8DF541}"/>
            </a:ext>
          </a:extLst>
        </xdr:cNvPr>
        <xdr:cNvSpPr/>
      </xdr:nvSpPr>
      <xdr:spPr>
        <a:xfrm rot="10800000">
          <a:off x="5006340" y="10805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83820</xdr:colOff>
      <xdr:row>59</xdr:row>
      <xdr:rowOff>114300</xdr:rowOff>
    </xdr:to>
    <xdr:sp macro="" textlink="">
      <xdr:nvSpPr>
        <xdr:cNvPr id="54" name="Arrow: Down 53">
          <a:extLst>
            <a:ext uri="{FF2B5EF4-FFF2-40B4-BE49-F238E27FC236}">
              <a16:creationId xmlns:a16="http://schemas.microsoft.com/office/drawing/2014/main" id="{2519D918-43BE-4897-AB65-9C0931A9E0F4}"/>
            </a:ext>
          </a:extLst>
        </xdr:cNvPr>
        <xdr:cNvSpPr/>
      </xdr:nvSpPr>
      <xdr:spPr>
        <a:xfrm>
          <a:off x="5006340" y="10988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60</xdr:row>
      <xdr:rowOff>0</xdr:rowOff>
    </xdr:from>
    <xdr:to>
      <xdr:col>14</xdr:col>
      <xdr:colOff>83820</xdr:colOff>
      <xdr:row>60</xdr:row>
      <xdr:rowOff>114300</xdr:rowOff>
    </xdr:to>
    <xdr:sp macro="" textlink="">
      <xdr:nvSpPr>
        <xdr:cNvPr id="38" name="Arrow: Down 37">
          <a:extLst>
            <a:ext uri="{FF2B5EF4-FFF2-40B4-BE49-F238E27FC236}">
              <a16:creationId xmlns:a16="http://schemas.microsoft.com/office/drawing/2014/main" id="{26BC2468-B871-46D0-827B-D3F733B4421D}"/>
            </a:ext>
          </a:extLst>
        </xdr:cNvPr>
        <xdr:cNvSpPr/>
      </xdr:nvSpPr>
      <xdr:spPr>
        <a:xfrm>
          <a:off x="5006340" y="10988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61</xdr:row>
      <xdr:rowOff>0</xdr:rowOff>
    </xdr:from>
    <xdr:to>
      <xdr:col>14</xdr:col>
      <xdr:colOff>83820</xdr:colOff>
      <xdr:row>61</xdr:row>
      <xdr:rowOff>114300</xdr:rowOff>
    </xdr:to>
    <xdr:sp macro="" textlink="">
      <xdr:nvSpPr>
        <xdr:cNvPr id="56" name="Arrow: Down 55">
          <a:extLst>
            <a:ext uri="{FF2B5EF4-FFF2-40B4-BE49-F238E27FC236}">
              <a16:creationId xmlns:a16="http://schemas.microsoft.com/office/drawing/2014/main" id="{21B96964-1BA0-4633-9467-B26CA1BB036C}"/>
            </a:ext>
          </a:extLst>
        </xdr:cNvPr>
        <xdr:cNvSpPr/>
      </xdr:nvSpPr>
      <xdr:spPr>
        <a:xfrm>
          <a:off x="5006340" y="11170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83820</xdr:colOff>
      <xdr:row>62</xdr:row>
      <xdr:rowOff>114300</xdr:rowOff>
    </xdr:to>
    <xdr:sp macro="" textlink="">
      <xdr:nvSpPr>
        <xdr:cNvPr id="50" name="Arrow: Down 49">
          <a:extLst>
            <a:ext uri="{FF2B5EF4-FFF2-40B4-BE49-F238E27FC236}">
              <a16:creationId xmlns:a16="http://schemas.microsoft.com/office/drawing/2014/main" id="{61CC480B-AE91-4DBF-A733-0F8A31E99597}"/>
            </a:ext>
          </a:extLst>
        </xdr:cNvPr>
        <xdr:cNvSpPr/>
      </xdr:nvSpPr>
      <xdr:spPr>
        <a:xfrm>
          <a:off x="5082540" y="11353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63</xdr:row>
      <xdr:rowOff>0</xdr:rowOff>
    </xdr:from>
    <xdr:to>
      <xdr:col>14</xdr:col>
      <xdr:colOff>83820</xdr:colOff>
      <xdr:row>63</xdr:row>
      <xdr:rowOff>114300</xdr:rowOff>
    </xdr:to>
    <xdr:sp macro="" textlink="">
      <xdr:nvSpPr>
        <xdr:cNvPr id="58" name="Arrow: Down 57">
          <a:extLst>
            <a:ext uri="{FF2B5EF4-FFF2-40B4-BE49-F238E27FC236}">
              <a16:creationId xmlns:a16="http://schemas.microsoft.com/office/drawing/2014/main" id="{2FC1A549-DB0F-487C-9DF0-55126AAB853F}"/>
            </a:ext>
          </a:extLst>
        </xdr:cNvPr>
        <xdr:cNvSpPr/>
      </xdr:nvSpPr>
      <xdr:spPr>
        <a:xfrm>
          <a:off x="5082540" y="11536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22860</xdr:colOff>
      <xdr:row>27</xdr:row>
      <xdr:rowOff>22860</xdr:rowOff>
    </xdr:from>
    <xdr:to>
      <xdr:col>12</xdr:col>
      <xdr:colOff>106680</xdr:colOff>
      <xdr:row>27</xdr:row>
      <xdr:rowOff>137160</xdr:rowOff>
    </xdr:to>
    <xdr:sp macro="" textlink="">
      <xdr:nvSpPr>
        <xdr:cNvPr id="3" name="Arrow: Down 2">
          <a:extLst>
            <a:ext uri="{FF2B5EF4-FFF2-40B4-BE49-F238E27FC236}">
              <a16:creationId xmlns:a16="http://schemas.microsoft.com/office/drawing/2014/main" id="{61FC5C6E-0D1C-4E34-A2B2-2356FD2499BA}"/>
            </a:ext>
          </a:extLst>
        </xdr:cNvPr>
        <xdr:cNvSpPr/>
      </xdr:nvSpPr>
      <xdr:spPr>
        <a:xfrm rot="10800000">
          <a:off x="9631680" y="14401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83820</xdr:colOff>
      <xdr:row>6</xdr:row>
      <xdr:rowOff>114300</xdr:rowOff>
    </xdr:to>
    <xdr:sp macro="" textlink="">
      <xdr:nvSpPr>
        <xdr:cNvPr id="13" name="Arrow: Down 12">
          <a:extLst>
            <a:ext uri="{FF2B5EF4-FFF2-40B4-BE49-F238E27FC236}">
              <a16:creationId xmlns:a16="http://schemas.microsoft.com/office/drawing/2014/main" id="{D59BD568-AC7A-431B-BC3B-8972441F2196}"/>
            </a:ext>
          </a:extLst>
        </xdr:cNvPr>
        <xdr:cNvSpPr/>
      </xdr:nvSpPr>
      <xdr:spPr>
        <a:xfrm>
          <a:off x="12900660" y="12039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32</xdr:col>
      <xdr:colOff>0</xdr:colOff>
      <xdr:row>7</xdr:row>
      <xdr:rowOff>0</xdr:rowOff>
    </xdr:from>
    <xdr:to>
      <xdr:col>32</xdr:col>
      <xdr:colOff>83820</xdr:colOff>
      <xdr:row>7</xdr:row>
      <xdr:rowOff>114300</xdr:rowOff>
    </xdr:to>
    <xdr:sp macro="" textlink="">
      <xdr:nvSpPr>
        <xdr:cNvPr id="14" name="Arrow: Down 13">
          <a:extLst>
            <a:ext uri="{FF2B5EF4-FFF2-40B4-BE49-F238E27FC236}">
              <a16:creationId xmlns:a16="http://schemas.microsoft.com/office/drawing/2014/main" id="{3AA201FC-42FD-4814-ACAA-FEF785BEAB12}"/>
            </a:ext>
          </a:extLst>
        </xdr:cNvPr>
        <xdr:cNvSpPr/>
      </xdr:nvSpPr>
      <xdr:spPr>
        <a:xfrm rot="10800000">
          <a:off x="12900660" y="14020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83820</xdr:colOff>
      <xdr:row>6</xdr:row>
      <xdr:rowOff>114300</xdr:rowOff>
    </xdr:to>
    <xdr:sp macro="" textlink="">
      <xdr:nvSpPr>
        <xdr:cNvPr id="15" name="Arrow: Down 14">
          <a:extLst>
            <a:ext uri="{FF2B5EF4-FFF2-40B4-BE49-F238E27FC236}">
              <a16:creationId xmlns:a16="http://schemas.microsoft.com/office/drawing/2014/main" id="{C26C8065-6676-4F21-AC4B-C92B373A483B}"/>
            </a:ext>
          </a:extLst>
        </xdr:cNvPr>
        <xdr:cNvSpPr/>
      </xdr:nvSpPr>
      <xdr:spPr>
        <a:xfrm rot="10800000">
          <a:off x="10111740" y="12039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7</xdr:row>
      <xdr:rowOff>0</xdr:rowOff>
    </xdr:from>
    <xdr:to>
      <xdr:col>26</xdr:col>
      <xdr:colOff>83820</xdr:colOff>
      <xdr:row>7</xdr:row>
      <xdr:rowOff>114300</xdr:rowOff>
    </xdr:to>
    <xdr:sp macro="" textlink="">
      <xdr:nvSpPr>
        <xdr:cNvPr id="16" name="Arrow: Down 15">
          <a:extLst>
            <a:ext uri="{FF2B5EF4-FFF2-40B4-BE49-F238E27FC236}">
              <a16:creationId xmlns:a16="http://schemas.microsoft.com/office/drawing/2014/main" id="{67C53A91-A24C-451E-9956-580F397DA733}"/>
            </a:ext>
          </a:extLst>
        </xdr:cNvPr>
        <xdr:cNvSpPr/>
      </xdr:nvSpPr>
      <xdr:spPr>
        <a:xfrm rot="10800000">
          <a:off x="10111740" y="14020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8</xdr:row>
      <xdr:rowOff>0</xdr:rowOff>
    </xdr:from>
    <xdr:to>
      <xdr:col>26</xdr:col>
      <xdr:colOff>83820</xdr:colOff>
      <xdr:row>8</xdr:row>
      <xdr:rowOff>114300</xdr:rowOff>
    </xdr:to>
    <xdr:sp macro="" textlink="">
      <xdr:nvSpPr>
        <xdr:cNvPr id="17" name="Arrow: Down 16">
          <a:extLst>
            <a:ext uri="{FF2B5EF4-FFF2-40B4-BE49-F238E27FC236}">
              <a16:creationId xmlns:a16="http://schemas.microsoft.com/office/drawing/2014/main" id="{2092C389-6361-42FA-A88D-599244F68125}"/>
            </a:ext>
          </a:extLst>
        </xdr:cNvPr>
        <xdr:cNvSpPr/>
      </xdr:nvSpPr>
      <xdr:spPr>
        <a:xfrm rot="10800000">
          <a:off x="10111740" y="1600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9</xdr:row>
      <xdr:rowOff>0</xdr:rowOff>
    </xdr:from>
    <xdr:to>
      <xdr:col>26</xdr:col>
      <xdr:colOff>83820</xdr:colOff>
      <xdr:row>9</xdr:row>
      <xdr:rowOff>114300</xdr:rowOff>
    </xdr:to>
    <xdr:sp macro="" textlink="">
      <xdr:nvSpPr>
        <xdr:cNvPr id="18" name="Arrow: Down 17">
          <a:extLst>
            <a:ext uri="{FF2B5EF4-FFF2-40B4-BE49-F238E27FC236}">
              <a16:creationId xmlns:a16="http://schemas.microsoft.com/office/drawing/2014/main" id="{435914F6-7C09-413F-A7AD-DE178B81BA9B}"/>
            </a:ext>
          </a:extLst>
        </xdr:cNvPr>
        <xdr:cNvSpPr/>
      </xdr:nvSpPr>
      <xdr:spPr>
        <a:xfrm rot="10800000">
          <a:off x="10111740" y="1798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10</xdr:row>
      <xdr:rowOff>0</xdr:rowOff>
    </xdr:from>
    <xdr:to>
      <xdr:col>26</xdr:col>
      <xdr:colOff>83820</xdr:colOff>
      <xdr:row>10</xdr:row>
      <xdr:rowOff>114300</xdr:rowOff>
    </xdr:to>
    <xdr:sp macro="" textlink="">
      <xdr:nvSpPr>
        <xdr:cNvPr id="19" name="Arrow: Down 18">
          <a:extLst>
            <a:ext uri="{FF2B5EF4-FFF2-40B4-BE49-F238E27FC236}">
              <a16:creationId xmlns:a16="http://schemas.microsoft.com/office/drawing/2014/main" id="{3A47319F-703D-4BBF-AEBD-82AAE445E156}"/>
            </a:ext>
          </a:extLst>
        </xdr:cNvPr>
        <xdr:cNvSpPr/>
      </xdr:nvSpPr>
      <xdr:spPr>
        <a:xfrm>
          <a:off x="10111740" y="1996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11</xdr:row>
      <xdr:rowOff>0</xdr:rowOff>
    </xdr:from>
    <xdr:to>
      <xdr:col>26</xdr:col>
      <xdr:colOff>83820</xdr:colOff>
      <xdr:row>11</xdr:row>
      <xdr:rowOff>114300</xdr:rowOff>
    </xdr:to>
    <xdr:sp macro="" textlink="">
      <xdr:nvSpPr>
        <xdr:cNvPr id="20" name="Arrow: Down 19">
          <a:extLst>
            <a:ext uri="{FF2B5EF4-FFF2-40B4-BE49-F238E27FC236}">
              <a16:creationId xmlns:a16="http://schemas.microsoft.com/office/drawing/2014/main" id="{82BD62E8-DD57-44CA-A2C4-B0E404A890AD}"/>
            </a:ext>
          </a:extLst>
        </xdr:cNvPr>
        <xdr:cNvSpPr/>
      </xdr:nvSpPr>
      <xdr:spPr>
        <a:xfrm>
          <a:off x="10111740" y="2194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12</xdr:row>
      <xdr:rowOff>0</xdr:rowOff>
    </xdr:from>
    <xdr:to>
      <xdr:col>26</xdr:col>
      <xdr:colOff>83820</xdr:colOff>
      <xdr:row>12</xdr:row>
      <xdr:rowOff>114300</xdr:rowOff>
    </xdr:to>
    <xdr:sp macro="" textlink="">
      <xdr:nvSpPr>
        <xdr:cNvPr id="12" name="Arrow: Down 11">
          <a:extLst>
            <a:ext uri="{FF2B5EF4-FFF2-40B4-BE49-F238E27FC236}">
              <a16:creationId xmlns:a16="http://schemas.microsoft.com/office/drawing/2014/main" id="{F1E55AAD-6755-4F83-AE75-D35334FE5765}"/>
            </a:ext>
          </a:extLst>
        </xdr:cNvPr>
        <xdr:cNvSpPr/>
      </xdr:nvSpPr>
      <xdr:spPr>
        <a:xfrm rot="10800000">
          <a:off x="10111740" y="2392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13</xdr:row>
      <xdr:rowOff>0</xdr:rowOff>
    </xdr:from>
    <xdr:to>
      <xdr:col>26</xdr:col>
      <xdr:colOff>83820</xdr:colOff>
      <xdr:row>13</xdr:row>
      <xdr:rowOff>114300</xdr:rowOff>
    </xdr:to>
    <xdr:sp macro="" textlink="">
      <xdr:nvSpPr>
        <xdr:cNvPr id="23" name="Arrow: Down 22">
          <a:extLst>
            <a:ext uri="{FF2B5EF4-FFF2-40B4-BE49-F238E27FC236}">
              <a16:creationId xmlns:a16="http://schemas.microsoft.com/office/drawing/2014/main" id="{29F8C385-F8CB-4463-BE55-EE19EFB84384}"/>
            </a:ext>
          </a:extLst>
        </xdr:cNvPr>
        <xdr:cNvSpPr/>
      </xdr:nvSpPr>
      <xdr:spPr>
        <a:xfrm>
          <a:off x="10111740" y="2590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14</xdr:row>
      <xdr:rowOff>0</xdr:rowOff>
    </xdr:from>
    <xdr:to>
      <xdr:col>26</xdr:col>
      <xdr:colOff>83820</xdr:colOff>
      <xdr:row>14</xdr:row>
      <xdr:rowOff>114300</xdr:rowOff>
    </xdr:to>
    <xdr:sp macro="" textlink="">
      <xdr:nvSpPr>
        <xdr:cNvPr id="21" name="Arrow: Down 20">
          <a:extLst>
            <a:ext uri="{FF2B5EF4-FFF2-40B4-BE49-F238E27FC236}">
              <a16:creationId xmlns:a16="http://schemas.microsoft.com/office/drawing/2014/main" id="{E3CB6E84-6396-4387-99EB-B81B0A2667F3}"/>
            </a:ext>
          </a:extLst>
        </xdr:cNvPr>
        <xdr:cNvSpPr/>
      </xdr:nvSpPr>
      <xdr:spPr>
        <a:xfrm>
          <a:off x="10111740" y="2590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15</xdr:row>
      <xdr:rowOff>0</xdr:rowOff>
    </xdr:from>
    <xdr:to>
      <xdr:col>26</xdr:col>
      <xdr:colOff>83820</xdr:colOff>
      <xdr:row>15</xdr:row>
      <xdr:rowOff>114300</xdr:rowOff>
    </xdr:to>
    <xdr:sp macro="" textlink="">
      <xdr:nvSpPr>
        <xdr:cNvPr id="24" name="Arrow: Down 23">
          <a:extLst>
            <a:ext uri="{FF2B5EF4-FFF2-40B4-BE49-F238E27FC236}">
              <a16:creationId xmlns:a16="http://schemas.microsoft.com/office/drawing/2014/main" id="{54FE7436-90E7-466A-A9C5-6523F5A66D51}"/>
            </a:ext>
          </a:extLst>
        </xdr:cNvPr>
        <xdr:cNvSpPr/>
      </xdr:nvSpPr>
      <xdr:spPr>
        <a:xfrm>
          <a:off x="10111740" y="2788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16</xdr:row>
      <xdr:rowOff>0</xdr:rowOff>
    </xdr:from>
    <xdr:to>
      <xdr:col>26</xdr:col>
      <xdr:colOff>83820</xdr:colOff>
      <xdr:row>16</xdr:row>
      <xdr:rowOff>114300</xdr:rowOff>
    </xdr:to>
    <xdr:sp macro="" textlink="">
      <xdr:nvSpPr>
        <xdr:cNvPr id="25" name="Arrow: Down 24">
          <a:extLst>
            <a:ext uri="{FF2B5EF4-FFF2-40B4-BE49-F238E27FC236}">
              <a16:creationId xmlns:a16="http://schemas.microsoft.com/office/drawing/2014/main" id="{87A68717-5342-484C-B24F-E5CAD3DE43A5}"/>
            </a:ext>
          </a:extLst>
        </xdr:cNvPr>
        <xdr:cNvSpPr/>
      </xdr:nvSpPr>
      <xdr:spPr>
        <a:xfrm>
          <a:off x="10111740" y="2971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17</xdr:row>
      <xdr:rowOff>0</xdr:rowOff>
    </xdr:from>
    <xdr:to>
      <xdr:col>26</xdr:col>
      <xdr:colOff>83820</xdr:colOff>
      <xdr:row>17</xdr:row>
      <xdr:rowOff>114300</xdr:rowOff>
    </xdr:to>
    <xdr:sp macro="" textlink="">
      <xdr:nvSpPr>
        <xdr:cNvPr id="27" name="Arrow: Down 26">
          <a:extLst>
            <a:ext uri="{FF2B5EF4-FFF2-40B4-BE49-F238E27FC236}">
              <a16:creationId xmlns:a16="http://schemas.microsoft.com/office/drawing/2014/main" id="{FF10AB23-76FB-4A4D-B3DB-8D0CD75BC378}"/>
            </a:ext>
          </a:extLst>
        </xdr:cNvPr>
        <xdr:cNvSpPr/>
      </xdr:nvSpPr>
      <xdr:spPr>
        <a:xfrm>
          <a:off x="10111740" y="3154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5729DF-E2F2-405B-9CBF-3816C53F84D6}">
  <sheetPr>
    <pageSetUpPr fitToPage="1"/>
  </sheetPr>
  <dimension ref="B1:BY142"/>
  <sheetViews>
    <sheetView tabSelected="1" zoomScaleNormal="100" workbookViewId="0">
      <selection activeCell="AB70" sqref="AB70"/>
    </sheetView>
  </sheetViews>
  <sheetFormatPr defaultRowHeight="14.4" x14ac:dyDescent="0.3"/>
  <cols>
    <col min="1" max="1" width="3.33203125" customWidth="1"/>
    <col min="2" max="2" width="10.109375" customWidth="1"/>
    <col min="3" max="3" width="1.77734375" customWidth="1"/>
    <col min="4" max="4" width="11.88671875" customWidth="1"/>
    <col min="5" max="5" width="1" customWidth="1"/>
    <col min="6" max="6" width="2" customWidth="1"/>
    <col min="7" max="7" width="0.77734375" customWidth="1"/>
    <col min="8" max="8" width="10.44140625" customWidth="1"/>
    <col min="9" max="9" width="2.21875" customWidth="1"/>
    <col min="10" max="10" width="8" customWidth="1"/>
    <col min="11" max="11" width="1.21875" customWidth="1"/>
    <col min="12" max="12" width="2.5546875" customWidth="1"/>
    <col min="13" max="13" width="1" customWidth="1"/>
    <col min="14" max="14" width="8.109375" customWidth="1"/>
    <col min="15" max="15" width="1.21875" customWidth="1"/>
    <col min="16" max="16" width="3" customWidth="1"/>
    <col min="17" max="17" width="8.88671875" customWidth="1"/>
    <col min="18" max="18" width="1.77734375" customWidth="1"/>
    <col min="19" max="19" width="2.5546875" customWidth="1"/>
    <col min="20" max="20" width="1.6640625" customWidth="1"/>
    <col min="21" max="21" width="8" customWidth="1"/>
    <col min="22" max="22" width="2.33203125" customWidth="1"/>
    <col min="23" max="23" width="5.6640625" customWidth="1"/>
    <col min="24" max="24" width="1" customWidth="1"/>
    <col min="25" max="25" width="8.109375" customWidth="1"/>
    <col min="26" max="26" width="1.33203125" customWidth="1"/>
    <col min="27" max="27" width="3.5546875" customWidth="1"/>
    <col min="28" max="28" width="8.21875" customWidth="1"/>
    <col min="29" max="29" width="1" customWidth="1"/>
    <col min="30" max="30" width="1.44140625" customWidth="1"/>
    <col min="31" max="31" width="1.21875" customWidth="1"/>
    <col min="32" max="32" width="9.44140625" customWidth="1"/>
    <col min="33" max="33" width="1.33203125" customWidth="1"/>
    <col min="34" max="34" width="7" customWidth="1"/>
    <col min="35" max="35" width="1.5546875" customWidth="1"/>
    <col min="36" max="36" width="2.21875" customWidth="1"/>
    <col min="37" max="37" width="1.33203125" customWidth="1"/>
    <col min="38" max="38" width="7.44140625" customWidth="1"/>
    <col min="39" max="39" width="1" customWidth="1"/>
    <col min="40" max="40" width="9.21875" customWidth="1"/>
    <col min="41" max="41" width="0.88671875" customWidth="1"/>
    <col min="42" max="42" width="4" customWidth="1"/>
    <col min="43" max="43" width="10.6640625" customWidth="1"/>
    <col min="44" max="44" width="1.109375" customWidth="1"/>
    <col min="45" max="45" width="10.109375" customWidth="1"/>
    <col min="46" max="46" width="0.6640625" customWidth="1"/>
    <col min="47" max="47" width="7.5546875" customWidth="1"/>
    <col min="48" max="48" width="1.109375" customWidth="1"/>
    <col min="49" max="49" width="6.6640625" customWidth="1"/>
    <col min="50" max="50" width="1.109375" customWidth="1"/>
    <col min="51" max="51" width="2.88671875" customWidth="1"/>
    <col min="52" max="52" width="0.88671875" customWidth="1"/>
    <col min="53" max="53" width="9.5546875" customWidth="1"/>
    <col min="54" max="54" width="0.88671875" customWidth="1"/>
    <col min="55" max="55" width="10.44140625" customWidth="1"/>
    <col min="56" max="56" width="1" customWidth="1"/>
    <col min="57" max="57" width="6.88671875" customWidth="1"/>
    <col min="58" max="58" width="1.109375" customWidth="1"/>
    <col min="59" max="59" width="3.44140625" customWidth="1"/>
    <col min="60" max="60" width="0.77734375" customWidth="1"/>
    <col min="61" max="61" width="1.88671875" customWidth="1"/>
    <col min="62" max="62" width="6.6640625" customWidth="1"/>
    <col min="63" max="63" width="1.77734375" customWidth="1"/>
    <col min="64" max="64" width="10.109375" bestFit="1" customWidth="1"/>
    <col min="65" max="65" width="2.109375" customWidth="1"/>
    <col min="66" max="66" width="9.77734375" customWidth="1"/>
    <col min="67" max="67" width="1.33203125" customWidth="1"/>
    <col min="68" max="68" width="9" bestFit="1" customWidth="1"/>
    <col min="69" max="69" width="1.109375" customWidth="1"/>
    <col min="70" max="70" width="3.21875" customWidth="1"/>
    <col min="71" max="71" width="1.44140625" customWidth="1"/>
    <col min="72" max="72" width="7.77734375" customWidth="1"/>
    <col min="73" max="73" width="1" customWidth="1"/>
    <col min="74" max="74" width="7.21875" customWidth="1"/>
    <col min="75" max="75" width="1.44140625" customWidth="1"/>
    <col min="76" max="76" width="4.77734375" customWidth="1"/>
    <col min="77" max="77" width="12.21875" customWidth="1"/>
  </cols>
  <sheetData>
    <row r="1" spans="2:77" ht="15.6" x14ac:dyDescent="0.3">
      <c r="B1" s="425" t="s">
        <v>5</v>
      </c>
      <c r="C1" s="425"/>
      <c r="D1" s="425"/>
    </row>
    <row r="2" spans="2:77" ht="15.6" x14ac:dyDescent="0.3">
      <c r="B2" s="425" t="s">
        <v>6</v>
      </c>
      <c r="C2" s="425"/>
      <c r="D2" s="425"/>
      <c r="E2" s="9"/>
      <c r="F2" s="9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</row>
    <row r="3" spans="2:77" ht="16.2" thickBot="1" x14ac:dyDescent="0.35">
      <c r="B3" s="430" t="s">
        <v>14</v>
      </c>
      <c r="C3" s="430"/>
      <c r="D3" s="176"/>
      <c r="E3" s="176"/>
      <c r="F3" s="176"/>
      <c r="BH3" s="65"/>
      <c r="BI3" s="65"/>
      <c r="BJ3" s="65"/>
      <c r="BK3" s="65"/>
      <c r="BL3" s="65"/>
      <c r="BM3" s="65"/>
      <c r="BN3" s="65"/>
      <c r="BO3" s="65"/>
      <c r="BP3" s="65"/>
      <c r="BQ3" s="65"/>
      <c r="BR3" s="65"/>
      <c r="BS3" s="65"/>
      <c r="BT3" s="65"/>
      <c r="BU3" s="65"/>
      <c r="BV3" s="65"/>
      <c r="BW3" s="65"/>
      <c r="BX3" s="65"/>
    </row>
    <row r="4" spans="2:77" ht="16.2" thickBot="1" x14ac:dyDescent="0.35">
      <c r="E4" s="9"/>
      <c r="F4" s="9"/>
      <c r="J4" s="426" t="s">
        <v>11</v>
      </c>
      <c r="K4" s="427"/>
      <c r="L4" s="427"/>
      <c r="M4" s="427"/>
      <c r="N4" s="427"/>
      <c r="O4" s="427"/>
      <c r="P4" s="427"/>
      <c r="Q4" s="427"/>
      <c r="R4" s="427"/>
      <c r="S4" s="427"/>
      <c r="T4" s="427"/>
      <c r="U4" s="427"/>
      <c r="V4" s="427"/>
      <c r="W4" s="427"/>
      <c r="X4" s="11"/>
      <c r="Y4" s="342"/>
      <c r="Z4" s="12"/>
      <c r="AB4" s="416" t="s">
        <v>15</v>
      </c>
      <c r="AC4" s="417"/>
      <c r="AD4" s="417"/>
      <c r="AE4" s="417"/>
      <c r="AF4" s="417"/>
      <c r="AG4" s="417"/>
      <c r="AH4" s="417"/>
      <c r="AI4" s="417"/>
      <c r="AJ4" s="417"/>
      <c r="AK4" s="417"/>
      <c r="AL4" s="417"/>
      <c r="AM4" s="417"/>
      <c r="AN4" s="417"/>
      <c r="AO4" s="417"/>
      <c r="AP4" s="417"/>
      <c r="AQ4" s="417"/>
      <c r="AR4" s="417"/>
      <c r="AS4" s="417"/>
      <c r="AT4" s="417"/>
      <c r="AU4" s="417"/>
      <c r="AV4" s="417"/>
      <c r="AW4" s="417"/>
      <c r="AX4" s="417"/>
      <c r="AY4" s="417"/>
      <c r="AZ4" s="417"/>
      <c r="BA4" s="417"/>
      <c r="BB4" s="417"/>
      <c r="BC4" s="417"/>
      <c r="BD4" s="417"/>
      <c r="BE4" s="417"/>
      <c r="BF4" s="417"/>
      <c r="BG4" s="417"/>
      <c r="BH4" s="418"/>
      <c r="BI4" s="190"/>
      <c r="BJ4" s="190"/>
      <c r="BK4" s="190"/>
      <c r="BL4" s="190"/>
      <c r="BM4" s="190"/>
      <c r="BN4" s="190"/>
      <c r="BO4" s="190"/>
      <c r="BP4" s="190"/>
      <c r="BQ4" s="190"/>
      <c r="BR4" s="190"/>
      <c r="BS4" s="190"/>
      <c r="BT4" s="190"/>
      <c r="BU4" s="190"/>
      <c r="BV4" s="190"/>
      <c r="BW4" s="65"/>
      <c r="BX4" s="65"/>
    </row>
    <row r="5" spans="2:77" x14ac:dyDescent="0.3">
      <c r="BH5" s="65"/>
      <c r="BI5" s="65"/>
      <c r="BJ5" s="65"/>
      <c r="BK5" s="65"/>
      <c r="BL5" s="65"/>
      <c r="BM5" s="65"/>
      <c r="BN5" s="65"/>
      <c r="BO5" s="65"/>
      <c r="BP5" s="65"/>
      <c r="BQ5" s="65"/>
      <c r="BR5" s="65"/>
      <c r="BS5" s="65"/>
      <c r="BT5" s="65"/>
      <c r="BU5" s="65"/>
      <c r="BV5" s="65"/>
      <c r="BW5" s="65"/>
      <c r="BX5" s="65"/>
    </row>
    <row r="6" spans="2:77" x14ac:dyDescent="0.3">
      <c r="D6" s="351" t="s">
        <v>7</v>
      </c>
      <c r="E6" s="352"/>
      <c r="F6" s="431" t="s">
        <v>12</v>
      </c>
      <c r="G6" s="431"/>
      <c r="H6" s="431"/>
      <c r="I6" s="431"/>
      <c r="J6" s="431"/>
      <c r="K6" s="431"/>
      <c r="L6" s="431"/>
      <c r="M6" s="353"/>
      <c r="N6" s="353"/>
      <c r="O6" s="354"/>
      <c r="P6" s="3"/>
      <c r="Q6" s="8" t="s">
        <v>7</v>
      </c>
      <c r="R6" s="30"/>
      <c r="S6" s="432">
        <v>1.2500000000000001E-2</v>
      </c>
      <c r="T6" s="432"/>
      <c r="U6" s="432"/>
      <c r="V6" s="432"/>
      <c r="W6" s="432"/>
      <c r="X6" s="432"/>
      <c r="Y6" s="432"/>
      <c r="Z6" s="433"/>
      <c r="AA6" s="3"/>
      <c r="AB6" s="437" t="s">
        <v>28</v>
      </c>
      <c r="AC6" s="438"/>
      <c r="AD6" s="438"/>
      <c r="AE6" s="438"/>
      <c r="AF6" s="438"/>
      <c r="AG6" s="438"/>
      <c r="AH6" s="438"/>
      <c r="AI6" s="438"/>
      <c r="AJ6" s="438"/>
      <c r="AK6" s="438"/>
      <c r="AL6" s="438"/>
      <c r="AM6" s="438"/>
      <c r="AN6" s="438"/>
      <c r="AO6" s="439"/>
      <c r="AP6" s="3"/>
      <c r="AQ6" s="440" t="s">
        <v>7</v>
      </c>
      <c r="AR6" s="420"/>
      <c r="AS6" s="420"/>
      <c r="AT6" s="103"/>
      <c r="AU6" s="419" t="s">
        <v>27</v>
      </c>
      <c r="AV6" s="419"/>
      <c r="AW6" s="419"/>
      <c r="AX6" s="419"/>
      <c r="AY6" s="419"/>
      <c r="AZ6" s="419"/>
      <c r="BA6" s="419"/>
      <c r="BB6" s="419"/>
      <c r="BC6" s="419"/>
      <c r="BD6" s="419"/>
      <c r="BE6" s="420"/>
      <c r="BF6" s="420"/>
      <c r="BG6" s="420"/>
      <c r="BH6" s="421"/>
      <c r="BI6" s="3"/>
    </row>
    <row r="7" spans="2:77" ht="16.2" x14ac:dyDescent="0.3">
      <c r="D7" s="428" t="s">
        <v>21</v>
      </c>
      <c r="E7" s="429"/>
      <c r="F7" s="429"/>
      <c r="G7" s="429"/>
      <c r="H7" s="429"/>
      <c r="I7" s="429"/>
      <c r="J7" s="429"/>
      <c r="K7" s="345"/>
      <c r="L7" s="345"/>
      <c r="M7" s="345"/>
      <c r="N7" s="345"/>
      <c r="O7" s="355"/>
      <c r="P7" s="3"/>
      <c r="Q7" s="434" t="s">
        <v>36</v>
      </c>
      <c r="R7" s="435"/>
      <c r="S7" s="435"/>
      <c r="T7" s="435"/>
      <c r="U7" s="435"/>
      <c r="V7" s="435"/>
      <c r="W7" s="435"/>
      <c r="X7" s="435"/>
      <c r="Y7" s="435"/>
      <c r="Z7" s="436"/>
      <c r="AA7" s="3"/>
      <c r="AB7" s="422" t="s">
        <v>79</v>
      </c>
      <c r="AC7" s="423"/>
      <c r="AD7" s="423"/>
      <c r="AE7" s="423"/>
      <c r="AF7" s="423"/>
      <c r="AG7" s="423"/>
      <c r="AH7" s="423"/>
      <c r="AI7" s="423"/>
      <c r="AJ7" s="423"/>
      <c r="AK7" s="423"/>
      <c r="AL7" s="423"/>
      <c r="AM7" s="423"/>
      <c r="AN7" s="423"/>
      <c r="AO7" s="424"/>
      <c r="AQ7" s="422" t="s">
        <v>26</v>
      </c>
      <c r="AR7" s="423"/>
      <c r="AS7" s="423"/>
      <c r="AT7" s="423"/>
      <c r="AU7" s="423"/>
      <c r="AV7" s="423"/>
      <c r="AW7" s="423"/>
      <c r="AX7" s="423"/>
      <c r="AY7" s="423"/>
      <c r="AZ7" s="423"/>
      <c r="BA7" s="423"/>
      <c r="BB7" s="423"/>
      <c r="BC7" s="423"/>
      <c r="BD7" s="423"/>
      <c r="BE7" s="423"/>
      <c r="BF7" s="423"/>
      <c r="BG7" s="423"/>
      <c r="BH7" s="424"/>
      <c r="BJ7" s="184" t="s">
        <v>19</v>
      </c>
    </row>
    <row r="8" spans="2:77" x14ac:dyDescent="0.3">
      <c r="D8" s="56" t="s">
        <v>1</v>
      </c>
      <c r="E8" s="13"/>
      <c r="F8" s="57" t="s">
        <v>16</v>
      </c>
      <c r="G8" s="13"/>
      <c r="H8" s="77" t="s">
        <v>2</v>
      </c>
      <c r="I8" s="13"/>
      <c r="J8" s="58" t="s">
        <v>3</v>
      </c>
      <c r="K8" s="13"/>
      <c r="L8" s="57" t="s">
        <v>16</v>
      </c>
      <c r="M8" s="346"/>
      <c r="N8" s="349" t="s">
        <v>118</v>
      </c>
      <c r="O8" s="356"/>
      <c r="Q8" s="50" t="s">
        <v>1</v>
      </c>
      <c r="R8" s="31"/>
      <c r="S8" s="49" t="s">
        <v>16</v>
      </c>
      <c r="T8" s="31"/>
      <c r="U8" s="78" t="s">
        <v>2</v>
      </c>
      <c r="V8" s="31"/>
      <c r="W8" s="51" t="s">
        <v>3</v>
      </c>
      <c r="X8" s="31"/>
      <c r="Y8" s="357" t="s">
        <v>118</v>
      </c>
      <c r="Z8" s="52"/>
      <c r="AB8" s="20" t="s">
        <v>1</v>
      </c>
      <c r="AC8" s="343"/>
      <c r="AD8" s="363" t="s">
        <v>16</v>
      </c>
      <c r="AE8" s="343"/>
      <c r="AF8" s="79" t="s">
        <v>2</v>
      </c>
      <c r="AG8" s="343"/>
      <c r="AH8" s="344" t="s">
        <v>3</v>
      </c>
      <c r="AI8" s="343"/>
      <c r="AJ8" s="363" t="s">
        <v>16</v>
      </c>
      <c r="AK8" s="343"/>
      <c r="AL8" s="364" t="s">
        <v>17</v>
      </c>
      <c r="AM8" s="361"/>
      <c r="AN8" s="365" t="s">
        <v>118</v>
      </c>
      <c r="AO8" s="366"/>
      <c r="AQ8" s="414" t="s">
        <v>1</v>
      </c>
      <c r="AR8" s="415"/>
      <c r="AS8" s="415"/>
      <c r="AT8" s="68"/>
      <c r="AU8" s="415" t="s">
        <v>25</v>
      </c>
      <c r="AV8" s="415"/>
      <c r="AW8" s="415"/>
      <c r="AX8" s="415"/>
      <c r="AY8" s="415"/>
      <c r="AZ8" s="415"/>
      <c r="BA8" s="415"/>
      <c r="BB8" s="415"/>
      <c r="BC8" s="415"/>
      <c r="BD8" s="68"/>
      <c r="BE8" s="74"/>
      <c r="BF8" s="341"/>
      <c r="BG8" s="67"/>
      <c r="BH8" s="191"/>
    </row>
    <row r="9" spans="2:77" x14ac:dyDescent="0.3">
      <c r="B9" s="2" t="s">
        <v>0</v>
      </c>
      <c r="D9" s="14"/>
      <c r="E9" s="15"/>
      <c r="F9" s="15"/>
      <c r="G9" s="15"/>
      <c r="H9" s="16">
        <f>85435-71593</f>
        <v>13842</v>
      </c>
      <c r="I9" s="15"/>
      <c r="J9" s="38"/>
      <c r="K9" s="15"/>
      <c r="L9" s="15"/>
      <c r="M9" s="15"/>
      <c r="N9" s="15"/>
      <c r="O9" s="41"/>
      <c r="Q9" s="32"/>
      <c r="R9" s="33"/>
      <c r="S9" s="33"/>
      <c r="T9" s="33"/>
      <c r="U9" s="34">
        <f>1295-1092</f>
        <v>203</v>
      </c>
      <c r="V9" s="33"/>
      <c r="W9" s="46"/>
      <c r="X9" s="33"/>
      <c r="Y9" s="33"/>
      <c r="Z9" s="52"/>
      <c r="AB9" s="21"/>
      <c r="AC9" s="22"/>
      <c r="AD9" s="22"/>
      <c r="AE9" s="22"/>
      <c r="AF9" s="22"/>
      <c r="AG9" s="22"/>
      <c r="AH9" s="22"/>
      <c r="AI9" s="22"/>
      <c r="AJ9" s="22"/>
      <c r="AK9" s="22"/>
      <c r="AL9" s="148"/>
      <c r="AM9" s="148"/>
      <c r="AN9" s="22"/>
      <c r="AO9" s="367"/>
      <c r="AQ9" s="340" t="s">
        <v>37</v>
      </c>
      <c r="AR9" s="68"/>
      <c r="AS9" s="104" t="s">
        <v>2</v>
      </c>
      <c r="AT9" s="69"/>
      <c r="AU9" s="341" t="s">
        <v>37</v>
      </c>
      <c r="AV9" s="68"/>
      <c r="AW9" s="67" t="s">
        <v>10</v>
      </c>
      <c r="AX9" s="164"/>
      <c r="AY9" s="67" t="s">
        <v>16</v>
      </c>
      <c r="AZ9" s="68"/>
      <c r="BA9" s="372" t="s">
        <v>118</v>
      </c>
      <c r="BB9" s="68"/>
      <c r="BC9" s="110" t="s">
        <v>2</v>
      </c>
      <c r="BD9" s="371"/>
      <c r="BE9" s="111" t="s">
        <v>23</v>
      </c>
      <c r="BF9" s="68"/>
      <c r="BG9" s="112" t="s">
        <v>16</v>
      </c>
      <c r="BH9" s="192"/>
    </row>
    <row r="10" spans="2:77" x14ac:dyDescent="0.3">
      <c r="B10" s="180">
        <v>43910</v>
      </c>
      <c r="D10" s="17">
        <v>5594</v>
      </c>
      <c r="E10" s="16"/>
      <c r="F10" s="16"/>
      <c r="G10" s="16"/>
      <c r="H10" s="16">
        <f t="shared" ref="H10:H23" si="0">+H9+D10</f>
        <v>19436</v>
      </c>
      <c r="I10" s="16"/>
      <c r="J10" s="39">
        <f t="shared" ref="J10:J51" si="1">+D10/H9</f>
        <v>0.40413235081635601</v>
      </c>
      <c r="K10" s="16"/>
      <c r="L10" s="16"/>
      <c r="M10" s="16"/>
      <c r="N10" s="16">
        <f t="shared" ref="N10:N41" si="2">+H10/BJ10</f>
        <v>19436</v>
      </c>
      <c r="O10" s="42"/>
      <c r="P10" s="1"/>
      <c r="Q10" s="35">
        <f>49+3</f>
        <v>52</v>
      </c>
      <c r="R10" s="34"/>
      <c r="S10" s="34"/>
      <c r="T10" s="34"/>
      <c r="U10" s="34">
        <f t="shared" ref="U10:U23" si="3">+U9+Q10</f>
        <v>255</v>
      </c>
      <c r="V10" s="34"/>
      <c r="W10" s="47">
        <f t="shared" ref="W10:W51" si="4">+U10/H10</f>
        <v>1.3119983535706935E-2</v>
      </c>
      <c r="X10" s="241"/>
      <c r="Y10" s="34">
        <f t="shared" ref="Y10:Y41" si="5">+U10/BJ10</f>
        <v>255</v>
      </c>
      <c r="Z10" s="53"/>
      <c r="AA10" s="1"/>
      <c r="AB10" s="23"/>
      <c r="AC10" s="24"/>
      <c r="AD10" s="24"/>
      <c r="AE10" s="24"/>
      <c r="AF10" s="24">
        <v>176</v>
      </c>
      <c r="AG10" s="24"/>
      <c r="AH10" s="24"/>
      <c r="AI10" s="24"/>
      <c r="AJ10" s="24"/>
      <c r="AK10" s="24"/>
      <c r="AL10" s="148"/>
      <c r="AM10" s="148"/>
      <c r="AN10" s="22"/>
      <c r="AO10" s="367"/>
      <c r="AP10" s="1"/>
      <c r="AQ10" s="70"/>
      <c r="AR10" s="71"/>
      <c r="AS10" s="71"/>
      <c r="AT10" s="71"/>
      <c r="AU10" s="71"/>
      <c r="AV10" s="71"/>
      <c r="AW10" s="71"/>
      <c r="AX10" s="71"/>
      <c r="AY10" s="71"/>
      <c r="AZ10" s="71"/>
      <c r="BA10" s="71"/>
      <c r="BB10" s="71"/>
      <c r="BC10" s="71"/>
      <c r="BD10" s="71"/>
      <c r="BE10" s="75"/>
      <c r="BF10" s="71"/>
      <c r="BG10" s="71"/>
      <c r="BH10" s="193"/>
      <c r="BI10" s="1"/>
      <c r="BJ10">
        <v>1</v>
      </c>
    </row>
    <row r="11" spans="2:77" x14ac:dyDescent="0.3">
      <c r="B11" s="180">
        <f t="shared" ref="B11:B66" si="6">1+B10</f>
        <v>43911</v>
      </c>
      <c r="D11" s="17">
        <v>4824</v>
      </c>
      <c r="E11" s="16"/>
      <c r="F11" s="16"/>
      <c r="G11" s="16"/>
      <c r="H11" s="16">
        <f t="shared" si="0"/>
        <v>24260</v>
      </c>
      <c r="I11" s="16"/>
      <c r="J11" s="39">
        <f t="shared" si="1"/>
        <v>0.24819921794607944</v>
      </c>
      <c r="K11" s="64"/>
      <c r="L11" s="64"/>
      <c r="M11" s="64"/>
      <c r="N11" s="16">
        <f t="shared" si="2"/>
        <v>12130</v>
      </c>
      <c r="O11" s="43"/>
      <c r="P11" s="1"/>
      <c r="Q11" s="35">
        <v>46</v>
      </c>
      <c r="R11" s="34"/>
      <c r="S11" s="34"/>
      <c r="T11" s="34"/>
      <c r="U11" s="34">
        <f t="shared" si="3"/>
        <v>301</v>
      </c>
      <c r="V11" s="34"/>
      <c r="W11" s="47">
        <f t="shared" si="4"/>
        <v>1.2407254740313274E-2</v>
      </c>
      <c r="X11" s="241"/>
      <c r="Y11" s="34">
        <f t="shared" si="5"/>
        <v>150.5</v>
      </c>
      <c r="Z11" s="53"/>
      <c r="AA11" s="1"/>
      <c r="AB11" s="23">
        <f t="shared" ref="AB11:AB51" si="7">+AF11-AF10</f>
        <v>0</v>
      </c>
      <c r="AC11" s="24"/>
      <c r="AD11" s="24"/>
      <c r="AE11" s="24"/>
      <c r="AF11" s="24">
        <v>176</v>
      </c>
      <c r="AG11" s="24"/>
      <c r="AH11" s="24"/>
      <c r="AI11" s="24"/>
      <c r="AJ11" s="24"/>
      <c r="AK11" s="24"/>
      <c r="AL11" s="148"/>
      <c r="AM11" s="148"/>
      <c r="AN11" s="22"/>
      <c r="AO11" s="367"/>
      <c r="AP11" s="1"/>
      <c r="AQ11" s="70"/>
      <c r="AR11" s="71"/>
      <c r="AS11" s="71"/>
      <c r="AT11" s="71"/>
      <c r="AU11" s="71"/>
      <c r="AV11" s="71"/>
      <c r="AW11" s="71"/>
      <c r="AX11" s="71"/>
      <c r="AY11" s="71"/>
      <c r="AZ11" s="71"/>
      <c r="BA11" s="71"/>
      <c r="BB11" s="71"/>
      <c r="BC11" s="71"/>
      <c r="BD11" s="71"/>
      <c r="BE11" s="75"/>
      <c r="BF11" s="71"/>
      <c r="BG11" s="71"/>
      <c r="BH11" s="193"/>
      <c r="BI11" s="1"/>
      <c r="BJ11">
        <f>+BJ10+1</f>
        <v>2</v>
      </c>
    </row>
    <row r="12" spans="2:77" x14ac:dyDescent="0.3">
      <c r="B12" s="180">
        <f t="shared" si="6"/>
        <v>43912</v>
      </c>
      <c r="D12" s="17">
        <v>9339</v>
      </c>
      <c r="E12" s="16"/>
      <c r="F12" s="16"/>
      <c r="G12" s="16"/>
      <c r="H12" s="16">
        <f t="shared" si="0"/>
        <v>33599</v>
      </c>
      <c r="I12" s="16"/>
      <c r="J12" s="39">
        <f t="shared" si="1"/>
        <v>0.38495465787304206</v>
      </c>
      <c r="K12" s="64"/>
      <c r="L12" s="64"/>
      <c r="M12" s="64"/>
      <c r="N12" s="16">
        <f t="shared" si="2"/>
        <v>11199.666666666666</v>
      </c>
      <c r="O12" s="43"/>
      <c r="P12" s="1"/>
      <c r="Q12" s="35">
        <f>117-4</f>
        <v>113</v>
      </c>
      <c r="R12" s="34"/>
      <c r="S12" s="34"/>
      <c r="T12" s="34"/>
      <c r="U12" s="34">
        <f t="shared" si="3"/>
        <v>414</v>
      </c>
      <c r="V12" s="34"/>
      <c r="W12" s="47">
        <f t="shared" si="4"/>
        <v>1.2321795291526534E-2</v>
      </c>
      <c r="X12" s="241"/>
      <c r="Y12" s="34">
        <f t="shared" si="5"/>
        <v>138</v>
      </c>
      <c r="Z12" s="53"/>
      <c r="AA12" s="1"/>
      <c r="AB12" s="23">
        <f t="shared" si="7"/>
        <v>2</v>
      </c>
      <c r="AC12" s="24"/>
      <c r="AD12" s="24"/>
      <c r="AE12" s="24"/>
      <c r="AF12" s="24">
        <v>178</v>
      </c>
      <c r="AG12" s="24"/>
      <c r="AH12" s="25">
        <f t="shared" ref="AH12:AH51" si="8">+AB12/AF11</f>
        <v>1.1363636363636364E-2</v>
      </c>
      <c r="AI12" s="25"/>
      <c r="AJ12" s="25"/>
      <c r="AK12" s="24"/>
      <c r="AL12" s="360">
        <f t="shared" ref="AL12:AL59" si="9">+AF12/H12</f>
        <v>5.2977767195452243E-3</v>
      </c>
      <c r="AM12" s="360"/>
      <c r="AN12" s="24">
        <f t="shared" ref="AN12:AN59" si="10">+AF12/BJ12</f>
        <v>59.333333333333336</v>
      </c>
      <c r="AO12" s="368"/>
      <c r="AP12" s="1"/>
      <c r="AQ12" s="70"/>
      <c r="AR12" s="71"/>
      <c r="AS12" s="71"/>
      <c r="AT12" s="71"/>
      <c r="AU12" s="71"/>
      <c r="AV12" s="71"/>
      <c r="AW12" s="71"/>
      <c r="AX12" s="71"/>
      <c r="AY12" s="71"/>
      <c r="AZ12" s="71"/>
      <c r="BA12" s="71"/>
      <c r="BB12" s="71"/>
      <c r="BC12" s="71"/>
      <c r="BD12" s="71"/>
      <c r="BE12" s="75"/>
      <c r="BF12" s="71"/>
      <c r="BG12" s="71"/>
      <c r="BH12" s="193"/>
      <c r="BI12" s="1"/>
      <c r="BJ12">
        <f t="shared" ref="BJ12:BJ66" si="11">+BJ11+1</f>
        <v>3</v>
      </c>
    </row>
    <row r="13" spans="2:77" x14ac:dyDescent="0.3">
      <c r="B13" s="180">
        <f t="shared" si="6"/>
        <v>43913</v>
      </c>
      <c r="D13" s="17">
        <v>10168</v>
      </c>
      <c r="E13" s="16"/>
      <c r="F13" s="16"/>
      <c r="G13" s="16"/>
      <c r="H13" s="16">
        <f t="shared" si="0"/>
        <v>43767</v>
      </c>
      <c r="I13" s="16"/>
      <c r="J13" s="39">
        <f t="shared" si="1"/>
        <v>0.30262805440638113</v>
      </c>
      <c r="K13" s="64"/>
      <c r="L13" s="64"/>
      <c r="M13" s="64"/>
      <c r="N13" s="16">
        <f t="shared" si="2"/>
        <v>10941.75</v>
      </c>
      <c r="O13" s="43"/>
      <c r="P13" s="1"/>
      <c r="Q13" s="35">
        <f>140+1</f>
        <v>141</v>
      </c>
      <c r="R13" s="34"/>
      <c r="S13" s="34"/>
      <c r="T13" s="34"/>
      <c r="U13" s="34">
        <f t="shared" si="3"/>
        <v>555</v>
      </c>
      <c r="V13" s="34"/>
      <c r="W13" s="47">
        <f t="shared" si="4"/>
        <v>1.2680786894235383E-2</v>
      </c>
      <c r="X13" s="241"/>
      <c r="Y13" s="34">
        <f t="shared" si="5"/>
        <v>138.75</v>
      </c>
      <c r="Z13" s="53"/>
      <c r="AA13" s="1"/>
      <c r="AB13" s="23">
        <f t="shared" si="7"/>
        <v>117</v>
      </c>
      <c r="AC13" s="24"/>
      <c r="AD13" s="24"/>
      <c r="AE13" s="24"/>
      <c r="AF13" s="24">
        <v>295</v>
      </c>
      <c r="AG13" s="24"/>
      <c r="AH13" s="25">
        <f t="shared" si="8"/>
        <v>0.65730337078651691</v>
      </c>
      <c r="AI13" s="25"/>
      <c r="AJ13" s="25"/>
      <c r="AK13" s="24"/>
      <c r="AL13" s="360">
        <f t="shared" si="9"/>
        <v>6.740238078917906E-3</v>
      </c>
      <c r="AM13" s="360"/>
      <c r="AN13" s="24">
        <f t="shared" si="10"/>
        <v>73.75</v>
      </c>
      <c r="AO13" s="370"/>
      <c r="AP13" s="1"/>
      <c r="AQ13" s="70"/>
      <c r="AR13" s="71"/>
      <c r="AS13" s="71"/>
      <c r="AT13" s="71"/>
      <c r="AU13" s="71"/>
      <c r="AV13" s="71"/>
      <c r="AW13" s="71"/>
      <c r="AX13" s="71"/>
      <c r="AY13" s="71"/>
      <c r="AZ13" s="71"/>
      <c r="BA13" s="71"/>
      <c r="BB13" s="71"/>
      <c r="BC13" s="71"/>
      <c r="BD13" s="71"/>
      <c r="BE13" s="75"/>
      <c r="BF13" s="71"/>
      <c r="BG13" s="71"/>
      <c r="BH13" s="193"/>
      <c r="BI13" s="1"/>
      <c r="BJ13">
        <f t="shared" si="11"/>
        <v>4</v>
      </c>
    </row>
    <row r="14" spans="2:77" x14ac:dyDescent="0.3">
      <c r="B14" s="180">
        <f t="shared" si="6"/>
        <v>43914</v>
      </c>
      <c r="D14" s="17">
        <v>11089</v>
      </c>
      <c r="E14" s="16"/>
      <c r="F14" s="16"/>
      <c r="G14" s="16"/>
      <c r="H14" s="16">
        <f t="shared" si="0"/>
        <v>54856</v>
      </c>
      <c r="I14" s="16"/>
      <c r="J14" s="39">
        <f t="shared" si="1"/>
        <v>0.25336440697329038</v>
      </c>
      <c r="K14" s="64"/>
      <c r="L14" s="64"/>
      <c r="M14" s="64"/>
      <c r="N14" s="16">
        <f t="shared" si="2"/>
        <v>10971.2</v>
      </c>
      <c r="O14" s="43"/>
      <c r="P14" s="1"/>
      <c r="Q14" s="35">
        <v>225</v>
      </c>
      <c r="R14" s="34"/>
      <c r="S14" s="34"/>
      <c r="T14" s="34"/>
      <c r="U14" s="34">
        <f t="shared" si="3"/>
        <v>780</v>
      </c>
      <c r="V14" s="34"/>
      <c r="W14" s="47">
        <f t="shared" si="4"/>
        <v>1.4219046230129795E-2</v>
      </c>
      <c r="X14" s="241"/>
      <c r="Y14" s="34">
        <f t="shared" si="5"/>
        <v>156</v>
      </c>
      <c r="Z14" s="53"/>
      <c r="AA14" s="1"/>
      <c r="AB14" s="23">
        <f t="shared" si="7"/>
        <v>83</v>
      </c>
      <c r="AC14" s="24"/>
      <c r="AD14" s="24"/>
      <c r="AE14" s="24"/>
      <c r="AF14" s="24">
        <v>378</v>
      </c>
      <c r="AG14" s="24"/>
      <c r="AH14" s="25">
        <f t="shared" si="8"/>
        <v>0.28135593220338984</v>
      </c>
      <c r="AI14" s="25"/>
      <c r="AJ14" s="25"/>
      <c r="AK14" s="24"/>
      <c r="AL14" s="360">
        <f t="shared" si="9"/>
        <v>6.8907685576782849E-3</v>
      </c>
      <c r="AM14" s="360"/>
      <c r="AN14" s="24">
        <f t="shared" si="10"/>
        <v>75.599999999999994</v>
      </c>
      <c r="AO14" s="370"/>
      <c r="AP14" s="1"/>
      <c r="AQ14" s="70"/>
      <c r="AR14" s="71"/>
      <c r="AS14" s="71"/>
      <c r="AT14" s="71"/>
      <c r="AU14" s="71"/>
      <c r="AV14" s="71"/>
      <c r="AW14" s="71"/>
      <c r="AX14" s="71"/>
      <c r="AY14" s="71"/>
      <c r="AZ14" s="71"/>
      <c r="BA14" s="71"/>
      <c r="BB14" s="71"/>
      <c r="BC14" s="71"/>
      <c r="BD14" s="71"/>
      <c r="BE14" s="75"/>
      <c r="BF14" s="71"/>
      <c r="BG14" s="71"/>
      <c r="BH14" s="193"/>
      <c r="BI14" s="1"/>
      <c r="BJ14">
        <f t="shared" si="11"/>
        <v>5</v>
      </c>
      <c r="BY14" s="60"/>
    </row>
    <row r="15" spans="2:77" x14ac:dyDescent="0.3">
      <c r="B15" s="180">
        <f t="shared" si="6"/>
        <v>43915</v>
      </c>
      <c r="D15" s="17">
        <v>13355</v>
      </c>
      <c r="E15" s="16"/>
      <c r="F15" s="16"/>
      <c r="G15" s="16"/>
      <c r="H15" s="16">
        <f t="shared" si="0"/>
        <v>68211</v>
      </c>
      <c r="I15" s="16"/>
      <c r="J15" s="39">
        <f t="shared" si="1"/>
        <v>0.24345559282485052</v>
      </c>
      <c r="K15" s="64"/>
      <c r="L15" s="64"/>
      <c r="M15" s="64"/>
      <c r="N15" s="16">
        <f t="shared" si="2"/>
        <v>11368.5</v>
      </c>
      <c r="O15" s="43"/>
      <c r="P15" s="1"/>
      <c r="Q15" s="35">
        <v>247</v>
      </c>
      <c r="R15" s="34"/>
      <c r="S15" s="34"/>
      <c r="T15" s="34"/>
      <c r="U15" s="34">
        <f t="shared" si="3"/>
        <v>1027</v>
      </c>
      <c r="V15" s="34"/>
      <c r="W15" s="47">
        <f t="shared" si="4"/>
        <v>1.5056222603392415E-2</v>
      </c>
      <c r="X15" s="241"/>
      <c r="Y15" s="34">
        <f t="shared" si="5"/>
        <v>171.16666666666666</v>
      </c>
      <c r="Z15" s="53"/>
      <c r="AA15" s="1"/>
      <c r="AB15" s="23">
        <f t="shared" si="7"/>
        <v>16</v>
      </c>
      <c r="AC15" s="24"/>
      <c r="AD15" s="24"/>
      <c r="AE15" s="24"/>
      <c r="AF15" s="24">
        <v>394</v>
      </c>
      <c r="AG15" s="24"/>
      <c r="AH15" s="25">
        <f t="shared" si="8"/>
        <v>4.2328042328042326E-2</v>
      </c>
      <c r="AI15" s="25"/>
      <c r="AJ15" s="25"/>
      <c r="AK15" s="24"/>
      <c r="AL15" s="360">
        <f t="shared" si="9"/>
        <v>5.7761944554397381E-3</v>
      </c>
      <c r="AM15" s="360"/>
      <c r="AN15" s="24">
        <f t="shared" si="10"/>
        <v>65.666666666666671</v>
      </c>
      <c r="AO15" s="370"/>
      <c r="AP15" s="1"/>
      <c r="AQ15" s="70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5"/>
      <c r="BF15" s="71"/>
      <c r="BG15" s="71"/>
      <c r="BH15" s="193"/>
      <c r="BI15" s="1"/>
      <c r="BJ15">
        <f t="shared" si="11"/>
        <v>6</v>
      </c>
      <c r="BY15" s="60"/>
    </row>
    <row r="16" spans="2:77" x14ac:dyDescent="0.3">
      <c r="B16" s="180">
        <f t="shared" si="6"/>
        <v>43916</v>
      </c>
      <c r="D16" s="17">
        <v>17224</v>
      </c>
      <c r="E16" s="16"/>
      <c r="F16" s="16"/>
      <c r="G16" s="16"/>
      <c r="H16" s="16">
        <f t="shared" si="0"/>
        <v>85435</v>
      </c>
      <c r="I16" s="16"/>
      <c r="J16" s="39">
        <f t="shared" si="1"/>
        <v>0.25251059213323362</v>
      </c>
      <c r="K16" s="64"/>
      <c r="L16" s="64"/>
      <c r="M16" s="64"/>
      <c r="N16" s="16">
        <f t="shared" si="2"/>
        <v>12205</v>
      </c>
      <c r="O16" s="43"/>
      <c r="P16" s="1"/>
      <c r="Q16" s="35">
        <v>268</v>
      </c>
      <c r="R16" s="34"/>
      <c r="S16" s="34"/>
      <c r="T16" s="34"/>
      <c r="U16" s="34">
        <f t="shared" si="3"/>
        <v>1295</v>
      </c>
      <c r="V16" s="34"/>
      <c r="W16" s="47">
        <f t="shared" si="4"/>
        <v>1.5157722244981565E-2</v>
      </c>
      <c r="X16" s="241"/>
      <c r="Y16" s="34">
        <f t="shared" si="5"/>
        <v>185</v>
      </c>
      <c r="Z16" s="53"/>
      <c r="AA16" s="1"/>
      <c r="AB16" s="23">
        <f t="shared" si="7"/>
        <v>1474</v>
      </c>
      <c r="AC16" s="24"/>
      <c r="AD16" s="24"/>
      <c r="AE16" s="24"/>
      <c r="AF16" s="24">
        <v>1868</v>
      </c>
      <c r="AG16" s="24"/>
      <c r="AH16" s="25">
        <f t="shared" si="8"/>
        <v>3.7411167512690353</v>
      </c>
      <c r="AI16" s="25"/>
      <c r="AJ16" s="25"/>
      <c r="AK16" s="24"/>
      <c r="AL16" s="360">
        <f t="shared" si="9"/>
        <v>2.1864575408205068E-2</v>
      </c>
      <c r="AM16" s="360"/>
      <c r="AN16" s="24">
        <f t="shared" si="10"/>
        <v>266.85714285714283</v>
      </c>
      <c r="AO16" s="370"/>
      <c r="AP16" s="1"/>
      <c r="AQ16" s="70"/>
      <c r="AR16" s="71"/>
      <c r="AS16" s="71"/>
      <c r="AT16" s="71"/>
      <c r="AU16" s="71"/>
      <c r="AV16" s="71"/>
      <c r="AW16" s="71"/>
      <c r="AX16" s="71"/>
      <c r="AY16" s="71"/>
      <c r="AZ16" s="71"/>
      <c r="BA16" s="71"/>
      <c r="BB16" s="71"/>
      <c r="BC16" s="71"/>
      <c r="BD16" s="71"/>
      <c r="BE16" s="75"/>
      <c r="BF16" s="71"/>
      <c r="BG16" s="71"/>
      <c r="BH16" s="193"/>
      <c r="BI16" s="1"/>
      <c r="BJ16">
        <f t="shared" si="11"/>
        <v>7</v>
      </c>
      <c r="BY16" s="60"/>
    </row>
    <row r="17" spans="2:77" x14ac:dyDescent="0.3">
      <c r="B17" s="180">
        <f t="shared" si="6"/>
        <v>43917</v>
      </c>
      <c r="D17" s="17">
        <v>18691</v>
      </c>
      <c r="E17" s="16"/>
      <c r="F17" s="16"/>
      <c r="G17" s="16"/>
      <c r="H17" s="16">
        <f t="shared" si="0"/>
        <v>104126</v>
      </c>
      <c r="I17" s="16"/>
      <c r="J17" s="39">
        <f t="shared" si="1"/>
        <v>0.21877450693509687</v>
      </c>
      <c r="K17" s="64"/>
      <c r="L17" s="64"/>
      <c r="M17" s="64"/>
      <c r="N17" s="16">
        <f t="shared" si="2"/>
        <v>13015.75</v>
      </c>
      <c r="O17" s="43"/>
      <c r="P17" s="1"/>
      <c r="Q17" s="35">
        <f>401-1</f>
        <v>400</v>
      </c>
      <c r="R17" s="34"/>
      <c r="S17" s="34"/>
      <c r="T17" s="34"/>
      <c r="U17" s="34">
        <f t="shared" si="3"/>
        <v>1695</v>
      </c>
      <c r="V17" s="34"/>
      <c r="W17" s="47">
        <f t="shared" si="4"/>
        <v>1.6278355069819256E-2</v>
      </c>
      <c r="X17" s="241"/>
      <c r="Y17" s="34">
        <f t="shared" si="5"/>
        <v>211.875</v>
      </c>
      <c r="Z17" s="53"/>
      <c r="AA17" s="1"/>
      <c r="AB17" s="23">
        <f t="shared" si="7"/>
        <v>654</v>
      </c>
      <c r="AC17" s="24"/>
      <c r="AD17" s="24"/>
      <c r="AE17" s="24"/>
      <c r="AF17" s="24">
        <v>2522</v>
      </c>
      <c r="AG17" s="24"/>
      <c r="AH17" s="25">
        <f t="shared" si="8"/>
        <v>0.3501070663811563</v>
      </c>
      <c r="AI17" s="25"/>
      <c r="AJ17" s="25"/>
      <c r="AK17" s="24"/>
      <c r="AL17" s="360">
        <f t="shared" si="9"/>
        <v>2.4220655744002458E-2</v>
      </c>
      <c r="AM17" s="360"/>
      <c r="AN17" s="24">
        <f t="shared" si="10"/>
        <v>315.25</v>
      </c>
      <c r="AO17" s="370"/>
      <c r="AP17" s="1"/>
      <c r="AQ17" s="70"/>
      <c r="AR17" s="71"/>
      <c r="AS17" s="71"/>
      <c r="AT17" s="71"/>
      <c r="AU17" s="71"/>
      <c r="AV17" s="71"/>
      <c r="AW17" s="71"/>
      <c r="AX17" s="71"/>
      <c r="AY17" s="71"/>
      <c r="AZ17" s="71"/>
      <c r="BA17" s="71"/>
      <c r="BB17" s="71"/>
      <c r="BC17" s="71"/>
      <c r="BD17" s="71"/>
      <c r="BE17" s="75"/>
      <c r="BF17" s="71"/>
      <c r="BG17" s="71"/>
      <c r="BH17" s="193"/>
      <c r="BI17" s="1"/>
      <c r="BJ17">
        <f t="shared" si="11"/>
        <v>8</v>
      </c>
      <c r="BY17" s="60"/>
    </row>
    <row r="18" spans="2:77" x14ac:dyDescent="0.3">
      <c r="B18" s="180">
        <f t="shared" si="6"/>
        <v>43918</v>
      </c>
      <c r="D18" s="17">
        <v>19452</v>
      </c>
      <c r="E18" s="16"/>
      <c r="F18" s="16"/>
      <c r="G18" s="16"/>
      <c r="H18" s="16">
        <f t="shared" si="0"/>
        <v>123578</v>
      </c>
      <c r="I18" s="16"/>
      <c r="J18" s="39">
        <f t="shared" si="1"/>
        <v>0.18681213145612047</v>
      </c>
      <c r="K18" s="64"/>
      <c r="L18" s="64"/>
      <c r="M18" s="64"/>
      <c r="N18" s="16">
        <f t="shared" si="2"/>
        <v>13730.888888888889</v>
      </c>
      <c r="O18" s="43"/>
      <c r="P18" s="1"/>
      <c r="Q18" s="35">
        <v>525</v>
      </c>
      <c r="R18" s="34"/>
      <c r="S18" s="34"/>
      <c r="T18" s="34"/>
      <c r="U18" s="34">
        <f t="shared" si="3"/>
        <v>2220</v>
      </c>
      <c r="V18" s="34"/>
      <c r="W18" s="47">
        <f t="shared" si="4"/>
        <v>1.7964362588810307E-2</v>
      </c>
      <c r="X18" s="241"/>
      <c r="Y18" s="34">
        <f t="shared" si="5"/>
        <v>246.66666666666666</v>
      </c>
      <c r="Z18" s="53"/>
      <c r="AA18" s="1"/>
      <c r="AB18" s="23">
        <f t="shared" si="7"/>
        <v>709</v>
      </c>
      <c r="AC18" s="24"/>
      <c r="AD18" s="24"/>
      <c r="AE18" s="24"/>
      <c r="AF18" s="24">
        <v>3231</v>
      </c>
      <c r="AG18" s="24"/>
      <c r="AH18" s="25">
        <f t="shared" si="8"/>
        <v>0.28112609040444092</v>
      </c>
      <c r="AI18" s="25"/>
      <c r="AJ18" s="25"/>
      <c r="AK18" s="24"/>
      <c r="AL18" s="360">
        <f t="shared" si="9"/>
        <v>2.6145430416417162E-2</v>
      </c>
      <c r="AM18" s="360"/>
      <c r="AN18" s="24">
        <f t="shared" si="10"/>
        <v>359</v>
      </c>
      <c r="AO18" s="370"/>
      <c r="AP18" s="1"/>
      <c r="AQ18" s="70"/>
      <c r="AR18" s="71"/>
      <c r="AS18" s="71"/>
      <c r="AT18" s="71"/>
      <c r="AU18" s="71"/>
      <c r="AV18" s="71"/>
      <c r="AW18" s="71"/>
      <c r="AX18" s="71"/>
      <c r="AY18" s="71"/>
      <c r="AZ18" s="71"/>
      <c r="BA18" s="71"/>
      <c r="BB18" s="71"/>
      <c r="BC18" s="71"/>
      <c r="BD18" s="71"/>
      <c r="BE18" s="75"/>
      <c r="BF18" s="71"/>
      <c r="BG18" s="71"/>
      <c r="BH18" s="193"/>
      <c r="BI18" s="1"/>
      <c r="BJ18">
        <f t="shared" si="11"/>
        <v>9</v>
      </c>
      <c r="BY18" s="60"/>
    </row>
    <row r="19" spans="2:77" x14ac:dyDescent="0.3">
      <c r="B19" s="181">
        <f t="shared" si="6"/>
        <v>43919</v>
      </c>
      <c r="D19" s="17">
        <v>19913</v>
      </c>
      <c r="E19" s="16"/>
      <c r="F19" s="16"/>
      <c r="G19" s="16"/>
      <c r="H19" s="16">
        <f t="shared" si="0"/>
        <v>143491</v>
      </c>
      <c r="I19" s="16"/>
      <c r="J19" s="39">
        <f t="shared" si="1"/>
        <v>0.16113709559954037</v>
      </c>
      <c r="K19" s="64"/>
      <c r="L19" s="64"/>
      <c r="M19" s="64"/>
      <c r="N19" s="16">
        <f t="shared" si="2"/>
        <v>14349.1</v>
      </c>
      <c r="O19" s="43"/>
      <c r="P19" s="1"/>
      <c r="Q19" s="35">
        <v>363</v>
      </c>
      <c r="R19" s="34"/>
      <c r="S19" s="34"/>
      <c r="T19" s="34"/>
      <c r="U19" s="34">
        <f t="shared" si="3"/>
        <v>2583</v>
      </c>
      <c r="V19" s="34"/>
      <c r="W19" s="47">
        <f t="shared" si="4"/>
        <v>1.8001128990668403E-2</v>
      </c>
      <c r="X19" s="241"/>
      <c r="Y19" s="34">
        <f t="shared" si="5"/>
        <v>258.3</v>
      </c>
      <c r="Z19" s="53"/>
      <c r="AA19" s="1"/>
      <c r="AB19" s="23">
        <f t="shared" si="7"/>
        <v>1328</v>
      </c>
      <c r="AC19" s="24"/>
      <c r="AD19" s="24"/>
      <c r="AE19" s="24"/>
      <c r="AF19" s="24">
        <v>4559</v>
      </c>
      <c r="AG19" s="24"/>
      <c r="AH19" s="25">
        <f t="shared" si="8"/>
        <v>0.41101826060043328</v>
      </c>
      <c r="AI19" s="25"/>
      <c r="AJ19" s="25"/>
      <c r="AK19" s="24"/>
      <c r="AL19" s="360">
        <f t="shared" si="9"/>
        <v>3.1772027513920734E-2</v>
      </c>
      <c r="AM19" s="360"/>
      <c r="AN19" s="24">
        <f t="shared" si="10"/>
        <v>455.9</v>
      </c>
      <c r="AO19" s="370"/>
      <c r="AP19" s="1"/>
      <c r="AQ19" s="70"/>
      <c r="AR19" s="71"/>
      <c r="AS19" s="71"/>
      <c r="AT19" s="71"/>
      <c r="AU19" s="71"/>
      <c r="AV19" s="71"/>
      <c r="AW19" s="71"/>
      <c r="AX19" s="71"/>
      <c r="AY19" s="71"/>
      <c r="AZ19" s="71"/>
      <c r="BA19" s="71"/>
      <c r="BB19" s="71"/>
      <c r="BC19" s="71"/>
      <c r="BD19" s="71"/>
      <c r="BE19" s="75"/>
      <c r="BF19" s="71"/>
      <c r="BG19" s="71"/>
      <c r="BH19" s="193"/>
      <c r="BI19" s="1"/>
      <c r="BJ19">
        <f t="shared" si="11"/>
        <v>10</v>
      </c>
      <c r="BY19" s="60"/>
    </row>
    <row r="20" spans="2:77" x14ac:dyDescent="0.3">
      <c r="B20" s="411">
        <f t="shared" si="6"/>
        <v>43920</v>
      </c>
      <c r="D20" s="17">
        <v>20353</v>
      </c>
      <c r="E20" s="16"/>
      <c r="F20" s="16"/>
      <c r="G20" s="16"/>
      <c r="H20" s="16">
        <f t="shared" si="0"/>
        <v>163844</v>
      </c>
      <c r="I20" s="16"/>
      <c r="J20" s="39">
        <f t="shared" si="1"/>
        <v>0.14184164860513901</v>
      </c>
      <c r="K20" s="64"/>
      <c r="L20" s="64"/>
      <c r="M20" s="64"/>
      <c r="N20" s="16">
        <f t="shared" si="2"/>
        <v>14894.90909090909</v>
      </c>
      <c r="O20" s="43"/>
      <c r="P20" s="412"/>
      <c r="Q20" s="35">
        <f>573-15</f>
        <v>558</v>
      </c>
      <c r="R20" s="34"/>
      <c r="S20" s="34"/>
      <c r="T20" s="34"/>
      <c r="U20" s="34">
        <f t="shared" si="3"/>
        <v>3141</v>
      </c>
      <c r="V20" s="34"/>
      <c r="W20" s="47">
        <f t="shared" si="4"/>
        <v>1.9170674544078514E-2</v>
      </c>
      <c r="X20" s="241"/>
      <c r="Y20" s="34">
        <f t="shared" si="5"/>
        <v>285.54545454545456</v>
      </c>
      <c r="Z20" s="53"/>
      <c r="AA20" s="412"/>
      <c r="AB20" s="23">
        <f t="shared" si="7"/>
        <v>947</v>
      </c>
      <c r="AC20" s="24"/>
      <c r="AD20" s="24"/>
      <c r="AE20" s="24"/>
      <c r="AF20" s="24">
        <v>5506</v>
      </c>
      <c r="AG20" s="24"/>
      <c r="AH20" s="25">
        <f t="shared" si="8"/>
        <v>0.20772099144549244</v>
      </c>
      <c r="AI20" s="25"/>
      <c r="AJ20" s="25"/>
      <c r="AK20" s="24"/>
      <c r="AL20" s="360">
        <f t="shared" si="9"/>
        <v>3.3605136593344888E-2</v>
      </c>
      <c r="AM20" s="360"/>
      <c r="AN20" s="24">
        <f t="shared" si="10"/>
        <v>500.54545454545456</v>
      </c>
      <c r="AO20" s="370"/>
      <c r="AP20" s="412"/>
      <c r="AQ20" s="70"/>
      <c r="AR20" s="71"/>
      <c r="AS20" s="71"/>
      <c r="AT20" s="71"/>
      <c r="AU20" s="71"/>
      <c r="AV20" s="71"/>
      <c r="AW20" s="71"/>
      <c r="AX20" s="71"/>
      <c r="AY20" s="71"/>
      <c r="AZ20" s="71"/>
      <c r="BA20" s="71"/>
      <c r="BB20" s="71"/>
      <c r="BC20" s="71"/>
      <c r="BD20" s="71"/>
      <c r="BE20" s="75"/>
      <c r="BF20" s="71"/>
      <c r="BG20" s="71"/>
      <c r="BH20" s="193"/>
      <c r="BI20" s="1"/>
      <c r="BJ20">
        <f t="shared" si="11"/>
        <v>11</v>
      </c>
      <c r="BY20" s="60"/>
    </row>
    <row r="21" spans="2:77" x14ac:dyDescent="0.3">
      <c r="B21" s="181">
        <f t="shared" si="6"/>
        <v>43921</v>
      </c>
      <c r="D21" s="17">
        <v>24742</v>
      </c>
      <c r="E21" s="16"/>
      <c r="F21" s="16"/>
      <c r="G21" s="16"/>
      <c r="H21" s="16">
        <f t="shared" si="0"/>
        <v>188586</v>
      </c>
      <c r="I21" s="16"/>
      <c r="J21" s="39">
        <f t="shared" si="1"/>
        <v>0.1510094968384561</v>
      </c>
      <c r="K21" s="64"/>
      <c r="L21" s="64"/>
      <c r="M21" s="64"/>
      <c r="N21" s="16">
        <f t="shared" si="2"/>
        <v>15715.5</v>
      </c>
      <c r="O21" s="43"/>
      <c r="P21" s="1"/>
      <c r="Q21" s="35">
        <f>748+164</f>
        <v>912</v>
      </c>
      <c r="R21" s="34"/>
      <c r="S21" s="34"/>
      <c r="T21" s="34"/>
      <c r="U21" s="34">
        <f t="shared" si="3"/>
        <v>4053</v>
      </c>
      <c r="V21" s="34"/>
      <c r="W21" s="47">
        <f t="shared" si="4"/>
        <v>2.1491521109732431E-2</v>
      </c>
      <c r="X21" s="34"/>
      <c r="Y21" s="34">
        <f t="shared" si="5"/>
        <v>337.75</v>
      </c>
      <c r="Z21" s="54"/>
      <c r="AA21" s="1"/>
      <c r="AB21" s="23">
        <f t="shared" si="7"/>
        <v>1745</v>
      </c>
      <c r="AC21" s="24"/>
      <c r="AD21" s="24"/>
      <c r="AE21" s="24"/>
      <c r="AF21" s="24">
        <v>7251</v>
      </c>
      <c r="AG21" s="24"/>
      <c r="AH21" s="25">
        <f t="shared" si="8"/>
        <v>0.31692698873955683</v>
      </c>
      <c r="AI21" s="25"/>
      <c r="AJ21" s="25"/>
      <c r="AK21" s="24"/>
      <c r="AL21" s="360">
        <f t="shared" si="9"/>
        <v>3.8449301644872896E-2</v>
      </c>
      <c r="AM21" s="360"/>
      <c r="AN21" s="24">
        <f t="shared" si="10"/>
        <v>604.25</v>
      </c>
      <c r="AO21" s="370"/>
      <c r="AP21" s="1"/>
      <c r="AQ21" s="70"/>
      <c r="AR21" s="71"/>
      <c r="AS21" s="71"/>
      <c r="AT21" s="71"/>
      <c r="AU21" s="71"/>
      <c r="AV21" s="71"/>
      <c r="AW21" s="71"/>
      <c r="AX21" s="71"/>
      <c r="AY21" s="71"/>
      <c r="AZ21" s="71"/>
      <c r="BA21" s="71"/>
      <c r="BB21" s="71"/>
      <c r="BC21" s="71"/>
      <c r="BD21" s="71"/>
      <c r="BE21" s="75"/>
      <c r="BF21" s="71"/>
      <c r="BG21" s="71"/>
      <c r="BH21" s="193"/>
      <c r="BI21" s="1"/>
      <c r="BJ21">
        <f t="shared" si="11"/>
        <v>12</v>
      </c>
      <c r="BY21" s="60"/>
    </row>
    <row r="22" spans="2:77" x14ac:dyDescent="0.3">
      <c r="B22" s="181">
        <f t="shared" si="6"/>
        <v>43922</v>
      </c>
      <c r="D22" s="17">
        <v>26473</v>
      </c>
      <c r="E22" s="16"/>
      <c r="F22" s="16"/>
      <c r="G22" s="16"/>
      <c r="H22" s="16">
        <f t="shared" si="0"/>
        <v>215059</v>
      </c>
      <c r="I22" s="16"/>
      <c r="J22" s="39">
        <f t="shared" si="1"/>
        <v>0.14037627395458835</v>
      </c>
      <c r="K22" s="64"/>
      <c r="L22" s="64"/>
      <c r="M22" s="64"/>
      <c r="N22" s="16">
        <f t="shared" si="2"/>
        <v>16543</v>
      </c>
      <c r="O22" s="43"/>
      <c r="P22" s="1"/>
      <c r="Q22" s="35">
        <f>1046+3</f>
        <v>1049</v>
      </c>
      <c r="R22" s="34"/>
      <c r="S22" s="34"/>
      <c r="T22" s="34"/>
      <c r="U22" s="34">
        <f t="shared" si="3"/>
        <v>5102</v>
      </c>
      <c r="V22" s="34"/>
      <c r="W22" s="47">
        <f t="shared" si="4"/>
        <v>2.3723722327361328E-2</v>
      </c>
      <c r="X22" s="34"/>
      <c r="Y22" s="34">
        <f t="shared" si="5"/>
        <v>392.46153846153845</v>
      </c>
      <c r="Z22" s="54"/>
      <c r="AA22" s="1"/>
      <c r="AB22" s="23">
        <f t="shared" si="7"/>
        <v>1627</v>
      </c>
      <c r="AC22" s="24"/>
      <c r="AD22" s="24"/>
      <c r="AE22" s="24"/>
      <c r="AF22" s="24">
        <v>8878</v>
      </c>
      <c r="AG22" s="24"/>
      <c r="AH22" s="25">
        <f t="shared" si="8"/>
        <v>0.22438284374569026</v>
      </c>
      <c r="AI22" s="25"/>
      <c r="AJ22" s="25"/>
      <c r="AK22" s="24"/>
      <c r="AL22" s="360">
        <f t="shared" si="9"/>
        <v>4.1281694790731849E-2</v>
      </c>
      <c r="AM22" s="360"/>
      <c r="AN22" s="24">
        <f t="shared" si="10"/>
        <v>682.92307692307691</v>
      </c>
      <c r="AO22" s="370"/>
      <c r="AP22" s="1"/>
      <c r="AQ22" s="70"/>
      <c r="AR22" s="71"/>
      <c r="AS22" s="71"/>
      <c r="AT22" s="71"/>
      <c r="AU22" s="71"/>
      <c r="AV22" s="71"/>
      <c r="AW22" s="71"/>
      <c r="AX22" s="71"/>
      <c r="AY22" s="71"/>
      <c r="AZ22" s="71"/>
      <c r="BA22" s="71"/>
      <c r="BB22" s="71"/>
      <c r="BC22" s="71"/>
      <c r="BD22" s="71"/>
      <c r="BE22" s="75"/>
      <c r="BF22" s="71"/>
      <c r="BG22" s="71"/>
      <c r="BH22" s="193"/>
      <c r="BI22" s="1"/>
      <c r="BJ22">
        <f t="shared" si="11"/>
        <v>13</v>
      </c>
    </row>
    <row r="23" spans="2:77" x14ac:dyDescent="0.3">
      <c r="B23" s="181">
        <f t="shared" si="6"/>
        <v>43923</v>
      </c>
      <c r="D23" s="17">
        <f>29874-56</f>
        <v>29818</v>
      </c>
      <c r="E23" s="16"/>
      <c r="F23" s="16"/>
      <c r="G23" s="16"/>
      <c r="H23" s="16">
        <f t="shared" si="0"/>
        <v>244877</v>
      </c>
      <c r="I23" s="16"/>
      <c r="J23" s="39">
        <f t="shared" si="1"/>
        <v>0.1386503238646139</v>
      </c>
      <c r="K23" s="64"/>
      <c r="L23" s="64"/>
      <c r="M23" s="64"/>
      <c r="N23" s="16">
        <f t="shared" si="2"/>
        <v>17491.214285714286</v>
      </c>
      <c r="O23" s="43"/>
      <c r="P23" s="1"/>
      <c r="Q23" s="35">
        <f>968+6</f>
        <v>974</v>
      </c>
      <c r="R23" s="34"/>
      <c r="S23" s="34"/>
      <c r="T23" s="34"/>
      <c r="U23" s="34">
        <f t="shared" si="3"/>
        <v>6076</v>
      </c>
      <c r="V23" s="34"/>
      <c r="W23" s="47">
        <f t="shared" si="4"/>
        <v>2.4812456866100122E-2</v>
      </c>
      <c r="X23" s="34"/>
      <c r="Y23" s="34">
        <f t="shared" si="5"/>
        <v>434</v>
      </c>
      <c r="Z23" s="54"/>
      <c r="AA23" s="1"/>
      <c r="AB23" s="23">
        <f t="shared" si="7"/>
        <v>1525</v>
      </c>
      <c r="AC23" s="24"/>
      <c r="AD23" s="24"/>
      <c r="AE23" s="24"/>
      <c r="AF23" s="24">
        <v>10403</v>
      </c>
      <c r="AG23" s="24"/>
      <c r="AH23" s="25">
        <f t="shared" si="8"/>
        <v>0.17177292182924081</v>
      </c>
      <c r="AI23" s="25"/>
      <c r="AJ23" s="25"/>
      <c r="AK23" s="24"/>
      <c r="AL23" s="360">
        <f t="shared" si="9"/>
        <v>4.2482552465115141E-2</v>
      </c>
      <c r="AM23" s="360"/>
      <c r="AN23" s="24">
        <f t="shared" si="10"/>
        <v>743.07142857142856</v>
      </c>
      <c r="AO23" s="370"/>
      <c r="AP23" s="1"/>
      <c r="AQ23" s="70"/>
      <c r="AR23" s="71"/>
      <c r="AS23" s="71"/>
      <c r="AT23" s="71"/>
      <c r="AU23" s="71"/>
      <c r="AV23" s="71"/>
      <c r="AW23" s="71"/>
      <c r="AX23" s="71"/>
      <c r="AY23" s="71"/>
      <c r="AZ23" s="71"/>
      <c r="BA23" s="71"/>
      <c r="BB23" s="71"/>
      <c r="BC23" s="71"/>
      <c r="BD23" s="71"/>
      <c r="BE23" s="75"/>
      <c r="BF23" s="71"/>
      <c r="BG23" s="71"/>
      <c r="BH23" s="193"/>
      <c r="BI23" s="1"/>
      <c r="BJ23">
        <f t="shared" si="11"/>
        <v>14</v>
      </c>
    </row>
    <row r="24" spans="2:77" x14ac:dyDescent="0.3">
      <c r="B24" s="181">
        <f t="shared" si="6"/>
        <v>43924</v>
      </c>
      <c r="D24" s="17">
        <v>32284</v>
      </c>
      <c r="E24" s="16"/>
      <c r="F24" s="16"/>
      <c r="G24" s="16"/>
      <c r="H24" s="16">
        <f>+H23+D24+2310</f>
        <v>279471</v>
      </c>
      <c r="I24" s="347" t="s">
        <v>48</v>
      </c>
      <c r="J24" s="39">
        <f t="shared" si="1"/>
        <v>0.13183761643600664</v>
      </c>
      <c r="K24" s="64"/>
      <c r="L24" s="64"/>
      <c r="M24" s="64"/>
      <c r="N24" s="16">
        <f t="shared" si="2"/>
        <v>18631.400000000001</v>
      </c>
      <c r="O24" s="43"/>
      <c r="P24" s="1"/>
      <c r="Q24" s="35">
        <f>7121-6076</f>
        <v>1045</v>
      </c>
      <c r="R24" s="34"/>
      <c r="S24" s="34"/>
      <c r="T24" s="34"/>
      <c r="U24" s="34">
        <f>+U23+Q24+21</f>
        <v>7142</v>
      </c>
      <c r="V24" s="358" t="s">
        <v>48</v>
      </c>
      <c r="W24" s="47">
        <f t="shared" si="4"/>
        <v>2.5555424355299835E-2</v>
      </c>
      <c r="X24" s="34"/>
      <c r="Y24" s="34">
        <f t="shared" si="5"/>
        <v>476.13333333333333</v>
      </c>
      <c r="Z24" s="54"/>
      <c r="AA24" s="1"/>
      <c r="AB24" s="23">
        <f t="shared" si="7"/>
        <v>1835</v>
      </c>
      <c r="AC24" s="24"/>
      <c r="AD24" s="24"/>
      <c r="AE24" s="24"/>
      <c r="AF24" s="24">
        <v>12238</v>
      </c>
      <c r="AG24" s="24"/>
      <c r="AH24" s="25">
        <f t="shared" si="8"/>
        <v>0.17639142555032203</v>
      </c>
      <c r="AI24" s="25"/>
      <c r="AJ24" s="25"/>
      <c r="AK24" s="24"/>
      <c r="AL24" s="360">
        <f t="shared" si="9"/>
        <v>4.3789874441355278E-2</v>
      </c>
      <c r="AM24" s="360"/>
      <c r="AN24" s="24">
        <f t="shared" si="10"/>
        <v>815.86666666666667</v>
      </c>
      <c r="AO24" s="370"/>
      <c r="AP24" s="1"/>
      <c r="AQ24" s="70">
        <v>698344</v>
      </c>
      <c r="AR24" s="71"/>
      <c r="AS24" s="71">
        <f>+AQ24</f>
        <v>698344</v>
      </c>
      <c r="AT24" s="71"/>
      <c r="AU24" s="71">
        <f t="shared" ref="AU24:AU59" si="12">+D24</f>
        <v>32284</v>
      </c>
      <c r="AV24" s="71"/>
      <c r="AW24" s="71"/>
      <c r="AX24" s="71"/>
      <c r="AY24" s="71"/>
      <c r="AZ24" s="71"/>
      <c r="BA24" s="71"/>
      <c r="BB24" s="71"/>
      <c r="BC24" s="71">
        <f>+AU24</f>
        <v>32284</v>
      </c>
      <c r="BD24" s="71"/>
      <c r="BE24" s="80">
        <f t="shared" ref="BE24:BE59" si="13">+BC24/AS24</f>
        <v>4.6229365470312624E-2</v>
      </c>
      <c r="BF24" s="71"/>
      <c r="BG24" s="71"/>
      <c r="BH24" s="193"/>
      <c r="BI24" s="1"/>
      <c r="BJ24">
        <f t="shared" si="11"/>
        <v>15</v>
      </c>
    </row>
    <row r="25" spans="2:77" x14ac:dyDescent="0.3">
      <c r="B25" s="181">
        <f t="shared" si="6"/>
        <v>43925</v>
      </c>
      <c r="D25" s="17">
        <v>34196</v>
      </c>
      <c r="E25" s="16"/>
      <c r="F25" s="16"/>
      <c r="G25" s="16"/>
      <c r="H25" s="16">
        <f t="shared" ref="H25:H34" si="14">+H24+D25</f>
        <v>313667</v>
      </c>
      <c r="I25" s="16"/>
      <c r="J25" s="39">
        <f t="shared" si="1"/>
        <v>0.12235974394481001</v>
      </c>
      <c r="K25" s="16"/>
      <c r="L25" s="16"/>
      <c r="M25" s="16"/>
      <c r="N25" s="16">
        <f t="shared" si="2"/>
        <v>19604.1875</v>
      </c>
      <c r="O25" s="42"/>
      <c r="P25" s="1"/>
      <c r="Q25" s="35">
        <f>1331-1</f>
        <v>1330</v>
      </c>
      <c r="R25" s="34"/>
      <c r="S25" s="34"/>
      <c r="T25" s="34"/>
      <c r="U25" s="34">
        <f t="shared" ref="U25:U34" si="15">+U24+Q25</f>
        <v>8472</v>
      </c>
      <c r="V25" s="34"/>
      <c r="W25" s="47">
        <f t="shared" si="4"/>
        <v>2.7009535590291615E-2</v>
      </c>
      <c r="X25" s="34"/>
      <c r="Y25" s="34">
        <f t="shared" si="5"/>
        <v>529.5</v>
      </c>
      <c r="Z25" s="54"/>
      <c r="AA25" s="1"/>
      <c r="AB25" s="23">
        <f t="shared" si="7"/>
        <v>2587</v>
      </c>
      <c r="AC25" s="24"/>
      <c r="AD25" s="24"/>
      <c r="AE25" s="24"/>
      <c r="AF25" s="24">
        <v>14825</v>
      </c>
      <c r="AG25" s="24"/>
      <c r="AH25" s="25">
        <f t="shared" si="8"/>
        <v>0.21139075012256905</v>
      </c>
      <c r="AI25" s="25"/>
      <c r="AJ25" s="25"/>
      <c r="AK25" s="24"/>
      <c r="AL25" s="360">
        <f t="shared" si="9"/>
        <v>4.726349918862998E-2</v>
      </c>
      <c r="AM25" s="360"/>
      <c r="AN25" s="24">
        <f t="shared" si="10"/>
        <v>926.5625</v>
      </c>
      <c r="AO25" s="370"/>
      <c r="AP25" s="1"/>
      <c r="AQ25" s="70">
        <v>934611</v>
      </c>
      <c r="AR25" s="71"/>
      <c r="AS25" s="71">
        <f>+AS24+AQ25</f>
        <v>1632955</v>
      </c>
      <c r="AT25" s="71"/>
      <c r="AU25" s="71">
        <f t="shared" si="12"/>
        <v>34196</v>
      </c>
      <c r="AV25" s="71"/>
      <c r="AW25" s="71"/>
      <c r="AX25" s="71"/>
      <c r="AY25" s="71"/>
      <c r="AZ25" s="71"/>
      <c r="BA25" s="71"/>
      <c r="BB25" s="71"/>
      <c r="BC25" s="71">
        <f t="shared" ref="BC25:BC51" si="16">+BC24+AU25</f>
        <v>66480</v>
      </c>
      <c r="BD25" s="71"/>
      <c r="BE25" s="80">
        <f t="shared" si="13"/>
        <v>4.0711470922346296E-2</v>
      </c>
      <c r="BF25" s="71"/>
      <c r="BG25" s="92"/>
      <c r="BH25" s="193"/>
      <c r="BI25" s="1"/>
      <c r="BJ25">
        <f t="shared" si="11"/>
        <v>16</v>
      </c>
    </row>
    <row r="26" spans="2:77" x14ac:dyDescent="0.3">
      <c r="B26" s="181">
        <f t="shared" si="6"/>
        <v>43926</v>
      </c>
      <c r="D26" s="17">
        <v>25316</v>
      </c>
      <c r="E26" s="16"/>
      <c r="F26" s="16"/>
      <c r="G26" s="16"/>
      <c r="H26" s="16">
        <f t="shared" si="14"/>
        <v>338983</v>
      </c>
      <c r="I26" s="16"/>
      <c r="J26" s="39">
        <f t="shared" si="1"/>
        <v>8.0709797332840241E-2</v>
      </c>
      <c r="K26" s="16"/>
      <c r="L26" s="16"/>
      <c r="M26" s="16"/>
      <c r="N26" s="16">
        <f t="shared" si="2"/>
        <v>19940.176470588234</v>
      </c>
      <c r="O26" s="42"/>
      <c r="P26" s="1"/>
      <c r="Q26" s="35">
        <v>1165</v>
      </c>
      <c r="R26" s="34"/>
      <c r="S26" s="34"/>
      <c r="T26" s="34"/>
      <c r="U26" s="34">
        <f t="shared" si="15"/>
        <v>9637</v>
      </c>
      <c r="V26" s="34"/>
      <c r="W26" s="47">
        <f t="shared" si="4"/>
        <v>2.842915426437314E-2</v>
      </c>
      <c r="X26" s="34"/>
      <c r="Y26" s="34">
        <f t="shared" si="5"/>
        <v>566.88235294117646</v>
      </c>
      <c r="Z26" s="54"/>
      <c r="AA26" s="1"/>
      <c r="AB26" s="23">
        <f t="shared" si="7"/>
        <v>3152</v>
      </c>
      <c r="AC26" s="24"/>
      <c r="AD26" s="24"/>
      <c r="AE26" s="24"/>
      <c r="AF26" s="24">
        <v>17977</v>
      </c>
      <c r="AG26" s="24"/>
      <c r="AH26" s="25">
        <f t="shared" si="8"/>
        <v>0.21261382799325465</v>
      </c>
      <c r="AI26" s="25"/>
      <c r="AJ26" s="25"/>
      <c r="AK26" s="24"/>
      <c r="AL26" s="360">
        <f t="shared" si="9"/>
        <v>5.3032157954823696E-2</v>
      </c>
      <c r="AM26" s="360"/>
      <c r="AN26" s="24">
        <f t="shared" si="10"/>
        <v>1057.4705882352941</v>
      </c>
      <c r="AO26" s="370"/>
      <c r="AP26" s="1"/>
      <c r="AQ26" s="70">
        <v>139414</v>
      </c>
      <c r="AR26" s="71"/>
      <c r="AS26" s="71">
        <f>+AS25+AQ26</f>
        <v>1772369</v>
      </c>
      <c r="AT26" s="71"/>
      <c r="AU26" s="71">
        <f t="shared" si="12"/>
        <v>25316</v>
      </c>
      <c r="AV26" s="71"/>
      <c r="AW26" s="71"/>
      <c r="AX26" s="71"/>
      <c r="AY26" s="71"/>
      <c r="AZ26" s="71"/>
      <c r="BA26" s="71"/>
      <c r="BB26" s="71"/>
      <c r="BC26" s="71">
        <f t="shared" si="16"/>
        <v>91796</v>
      </c>
      <c r="BD26" s="71"/>
      <c r="BE26" s="80">
        <f t="shared" si="13"/>
        <v>5.1792826437384087E-2</v>
      </c>
      <c r="BF26" s="71"/>
      <c r="BG26" s="92"/>
      <c r="BH26" s="193"/>
      <c r="BI26" s="1"/>
      <c r="BJ26">
        <f t="shared" si="11"/>
        <v>17</v>
      </c>
    </row>
    <row r="27" spans="2:77" x14ac:dyDescent="0.3">
      <c r="B27" s="411">
        <f t="shared" si="6"/>
        <v>43927</v>
      </c>
      <c r="D27" s="17">
        <v>31210</v>
      </c>
      <c r="E27" s="16"/>
      <c r="F27" s="16"/>
      <c r="G27" s="16"/>
      <c r="H27" s="16">
        <f t="shared" si="14"/>
        <v>370193</v>
      </c>
      <c r="I27" s="16"/>
      <c r="J27" s="39">
        <f t="shared" si="1"/>
        <v>9.2069513810427078E-2</v>
      </c>
      <c r="K27" s="16"/>
      <c r="L27" s="16"/>
      <c r="M27" s="16"/>
      <c r="N27" s="16">
        <f t="shared" si="2"/>
        <v>20566.277777777777</v>
      </c>
      <c r="O27" s="42"/>
      <c r="P27" s="412"/>
      <c r="Q27" s="35">
        <v>1255</v>
      </c>
      <c r="R27" s="34"/>
      <c r="S27" s="34"/>
      <c r="T27" s="34"/>
      <c r="U27" s="34">
        <f t="shared" si="15"/>
        <v>10892</v>
      </c>
      <c r="V27" s="34"/>
      <c r="W27" s="47">
        <f t="shared" si="4"/>
        <v>2.9422490430667247E-2</v>
      </c>
      <c r="X27" s="34"/>
      <c r="Y27" s="34">
        <f t="shared" si="5"/>
        <v>605.11111111111109</v>
      </c>
      <c r="Z27" s="54"/>
      <c r="AA27" s="412"/>
      <c r="AB27" s="23">
        <f t="shared" si="7"/>
        <v>1694</v>
      </c>
      <c r="AC27" s="24"/>
      <c r="AD27" s="24"/>
      <c r="AE27" s="24"/>
      <c r="AF27" s="24">
        <v>19671</v>
      </c>
      <c r="AG27" s="24"/>
      <c r="AH27" s="25">
        <f t="shared" si="8"/>
        <v>9.4231518050842747E-2</v>
      </c>
      <c r="AI27" s="25"/>
      <c r="AJ27" s="25"/>
      <c r="AK27" s="24"/>
      <c r="AL27" s="360">
        <f t="shared" si="9"/>
        <v>5.3137147379880227E-2</v>
      </c>
      <c r="AM27" s="360"/>
      <c r="AN27" s="24">
        <f t="shared" si="10"/>
        <v>1092.8333333333333</v>
      </c>
      <c r="AO27" s="370"/>
      <c r="AP27" s="412"/>
      <c r="AQ27" s="70">
        <f t="shared" ref="AQ27:AQ51" si="17">+AS27-AS26</f>
        <v>142171</v>
      </c>
      <c r="AR27" s="71"/>
      <c r="AS27" s="71">
        <v>1914540</v>
      </c>
      <c r="AT27" s="71"/>
      <c r="AU27" s="71">
        <f t="shared" si="12"/>
        <v>31210</v>
      </c>
      <c r="AV27" s="71"/>
      <c r="AW27" s="71"/>
      <c r="AX27" s="71"/>
      <c r="AY27" s="71"/>
      <c r="AZ27" s="71"/>
      <c r="BA27" s="71"/>
      <c r="BB27" s="71"/>
      <c r="BC27" s="71">
        <f t="shared" si="16"/>
        <v>123006</v>
      </c>
      <c r="BD27" s="71"/>
      <c r="BE27" s="80">
        <f t="shared" si="13"/>
        <v>6.4248331191826755E-2</v>
      </c>
      <c r="BF27" s="71"/>
      <c r="BG27" s="92"/>
      <c r="BH27" s="193"/>
      <c r="BI27" s="1"/>
      <c r="BJ27">
        <f t="shared" si="11"/>
        <v>18</v>
      </c>
    </row>
    <row r="28" spans="2:77" x14ac:dyDescent="0.3">
      <c r="B28" s="181">
        <f t="shared" si="6"/>
        <v>43928</v>
      </c>
      <c r="D28" s="17">
        <v>33460</v>
      </c>
      <c r="E28" s="16"/>
      <c r="F28" s="16"/>
      <c r="G28" s="16"/>
      <c r="H28" s="16">
        <f t="shared" si="14"/>
        <v>403653</v>
      </c>
      <c r="I28" s="16"/>
      <c r="J28" s="39">
        <f t="shared" si="1"/>
        <v>9.0385285513232286E-2</v>
      </c>
      <c r="K28" s="16"/>
      <c r="L28" s="16"/>
      <c r="M28" s="16"/>
      <c r="N28" s="16">
        <f t="shared" si="2"/>
        <v>21244.894736842107</v>
      </c>
      <c r="O28" s="42"/>
      <c r="P28" s="1"/>
      <c r="Q28" s="35">
        <v>1970</v>
      </c>
      <c r="R28" s="34"/>
      <c r="S28" s="34"/>
      <c r="T28" s="34"/>
      <c r="U28" s="34">
        <f t="shared" si="15"/>
        <v>12862</v>
      </c>
      <c r="V28" s="34"/>
      <c r="W28" s="47">
        <f t="shared" si="4"/>
        <v>3.1864002001719301E-2</v>
      </c>
      <c r="X28" s="34"/>
      <c r="Y28" s="34">
        <f t="shared" si="5"/>
        <v>676.9473684210526</v>
      </c>
      <c r="Z28" s="54"/>
      <c r="AA28" s="1"/>
      <c r="AB28" s="23">
        <f t="shared" si="7"/>
        <v>2003</v>
      </c>
      <c r="AC28" s="24"/>
      <c r="AD28" s="24"/>
      <c r="AE28" s="24"/>
      <c r="AF28" s="24">
        <v>21674</v>
      </c>
      <c r="AG28" s="24"/>
      <c r="AH28" s="25">
        <f t="shared" si="8"/>
        <v>0.10182502160540897</v>
      </c>
      <c r="AI28" s="25"/>
      <c r="AJ28" s="25"/>
      <c r="AK28" s="24"/>
      <c r="AL28" s="360">
        <f t="shared" si="9"/>
        <v>5.3694633757212257E-2</v>
      </c>
      <c r="AM28" s="360"/>
      <c r="AN28" s="24">
        <f t="shared" si="10"/>
        <v>1140.7368421052631</v>
      </c>
      <c r="AO28" s="370"/>
      <c r="AP28" s="1"/>
      <c r="AQ28" s="70">
        <f t="shared" si="17"/>
        <v>161199</v>
      </c>
      <c r="AR28" s="71"/>
      <c r="AS28" s="71">
        <v>2075739</v>
      </c>
      <c r="AT28" s="71"/>
      <c r="AU28" s="71">
        <f t="shared" si="12"/>
        <v>33460</v>
      </c>
      <c r="AV28" s="71"/>
      <c r="AW28" s="71"/>
      <c r="AX28" s="71"/>
      <c r="AY28" s="71"/>
      <c r="AZ28" s="71"/>
      <c r="BA28" s="71"/>
      <c r="BB28" s="71"/>
      <c r="BC28" s="71">
        <f t="shared" si="16"/>
        <v>156466</v>
      </c>
      <c r="BD28" s="71"/>
      <c r="BE28" s="80">
        <f t="shared" si="13"/>
        <v>7.5378455576544059E-2</v>
      </c>
      <c r="BF28" s="71"/>
      <c r="BG28" s="92"/>
      <c r="BH28" s="193"/>
      <c r="BI28" s="1"/>
      <c r="BJ28">
        <f t="shared" si="11"/>
        <v>19</v>
      </c>
    </row>
    <row r="29" spans="2:77" x14ac:dyDescent="0.3">
      <c r="B29" s="181">
        <f t="shared" si="6"/>
        <v>43929</v>
      </c>
      <c r="D29" s="17">
        <v>31935</v>
      </c>
      <c r="E29" s="16"/>
      <c r="F29" s="16"/>
      <c r="G29" s="16"/>
      <c r="H29" s="16">
        <f t="shared" si="14"/>
        <v>435588</v>
      </c>
      <c r="I29" s="16"/>
      <c r="J29" s="39">
        <f t="shared" si="1"/>
        <v>7.9114982423021757E-2</v>
      </c>
      <c r="K29" s="16"/>
      <c r="L29" s="16"/>
      <c r="M29" s="16"/>
      <c r="N29" s="16">
        <f t="shared" si="2"/>
        <v>21779.4</v>
      </c>
      <c r="O29" s="42"/>
      <c r="P29" s="1"/>
      <c r="Q29" s="35">
        <f>1940+10</f>
        <v>1950</v>
      </c>
      <c r="R29" s="34"/>
      <c r="S29" s="34"/>
      <c r="T29" s="34"/>
      <c r="U29" s="34">
        <f t="shared" si="15"/>
        <v>14812</v>
      </c>
      <c r="V29" s="34"/>
      <c r="W29" s="47">
        <f t="shared" si="4"/>
        <v>3.4004609860694049E-2</v>
      </c>
      <c r="X29" s="34"/>
      <c r="Y29" s="34">
        <f t="shared" si="5"/>
        <v>740.6</v>
      </c>
      <c r="Z29" s="54"/>
      <c r="AA29" s="1"/>
      <c r="AB29" s="23">
        <f t="shared" si="7"/>
        <v>1217</v>
      </c>
      <c r="AC29" s="24"/>
      <c r="AD29" s="24"/>
      <c r="AE29" s="24"/>
      <c r="AF29" s="24">
        <v>22891</v>
      </c>
      <c r="AG29" s="24"/>
      <c r="AH29" s="25">
        <f t="shared" si="8"/>
        <v>5.6150226077327677E-2</v>
      </c>
      <c r="AI29" s="25"/>
      <c r="AJ29" s="25"/>
      <c r="AK29" s="24"/>
      <c r="AL29" s="360">
        <f t="shared" si="9"/>
        <v>5.2551952762702372E-2</v>
      </c>
      <c r="AM29" s="360"/>
      <c r="AN29" s="24">
        <f t="shared" si="10"/>
        <v>1144.55</v>
      </c>
      <c r="AO29" s="370"/>
      <c r="AP29" s="1"/>
      <c r="AQ29" s="70">
        <f t="shared" si="17"/>
        <v>133302</v>
      </c>
      <c r="AR29" s="71"/>
      <c r="AS29" s="71">
        <v>2209041</v>
      </c>
      <c r="AT29" s="71"/>
      <c r="AU29" s="71">
        <f t="shared" si="12"/>
        <v>31935</v>
      </c>
      <c r="AV29" s="71"/>
      <c r="AW29" s="71"/>
      <c r="AX29" s="71"/>
      <c r="AY29" s="71"/>
      <c r="AZ29" s="71"/>
      <c r="BA29" s="71"/>
      <c r="BB29" s="71"/>
      <c r="BC29" s="71">
        <f t="shared" si="16"/>
        <v>188401</v>
      </c>
      <c r="BD29" s="71"/>
      <c r="BE29" s="80">
        <f t="shared" si="13"/>
        <v>8.528633013149145E-2</v>
      </c>
      <c r="BF29" s="71"/>
      <c r="BG29" s="92"/>
      <c r="BH29" s="193"/>
      <c r="BI29" s="1"/>
      <c r="BJ29">
        <f t="shared" si="11"/>
        <v>20</v>
      </c>
    </row>
    <row r="30" spans="2:77" x14ac:dyDescent="0.3">
      <c r="B30" s="181">
        <f t="shared" si="6"/>
        <v>43930</v>
      </c>
      <c r="D30" s="17">
        <v>33536</v>
      </c>
      <c r="E30" s="16"/>
      <c r="F30" s="16"/>
      <c r="G30" s="16"/>
      <c r="H30" s="16">
        <f t="shared" si="14"/>
        <v>469124</v>
      </c>
      <c r="I30" s="16"/>
      <c r="J30" s="39">
        <f t="shared" si="1"/>
        <v>7.699018338429893E-2</v>
      </c>
      <c r="K30" s="16"/>
      <c r="L30" s="16"/>
      <c r="M30" s="16"/>
      <c r="N30" s="16">
        <f t="shared" si="2"/>
        <v>22339.238095238095</v>
      </c>
      <c r="O30" s="42"/>
      <c r="P30" s="1"/>
      <c r="Q30" s="35">
        <v>1900</v>
      </c>
      <c r="R30" s="34"/>
      <c r="S30" s="34"/>
      <c r="T30" s="34"/>
      <c r="U30" s="34">
        <f t="shared" si="15"/>
        <v>16712</v>
      </c>
      <c r="V30" s="34"/>
      <c r="W30" s="47">
        <f t="shared" si="4"/>
        <v>3.5623843589328193E-2</v>
      </c>
      <c r="X30" s="34"/>
      <c r="Y30" s="34">
        <f t="shared" si="5"/>
        <v>795.80952380952385</v>
      </c>
      <c r="Z30" s="54"/>
      <c r="AA30" s="1"/>
      <c r="AB30" s="23">
        <f t="shared" si="7"/>
        <v>3037</v>
      </c>
      <c r="AC30" s="24"/>
      <c r="AD30" s="24"/>
      <c r="AE30" s="24"/>
      <c r="AF30" s="24">
        <v>25928</v>
      </c>
      <c r="AG30" s="24"/>
      <c r="AH30" s="25">
        <f t="shared" si="8"/>
        <v>0.13267222926040803</v>
      </c>
      <c r="AI30" s="25"/>
      <c r="AJ30" s="25"/>
      <c r="AK30" s="24"/>
      <c r="AL30" s="360">
        <f t="shared" si="9"/>
        <v>5.5268969398282755E-2</v>
      </c>
      <c r="AM30" s="360"/>
      <c r="AN30" s="24">
        <f t="shared" si="10"/>
        <v>1234.6666666666667</v>
      </c>
      <c r="AO30" s="370"/>
      <c r="AP30" s="1"/>
      <c r="AQ30" s="70">
        <f t="shared" si="17"/>
        <v>144055</v>
      </c>
      <c r="AR30" s="71"/>
      <c r="AS30" s="71">
        <v>2353096</v>
      </c>
      <c r="AT30" s="71"/>
      <c r="AU30" s="71">
        <f t="shared" si="12"/>
        <v>33536</v>
      </c>
      <c r="AV30" s="71"/>
      <c r="AW30" s="71"/>
      <c r="AX30" s="71"/>
      <c r="AY30" s="71"/>
      <c r="AZ30" s="71"/>
      <c r="BA30" s="71"/>
      <c r="BB30" s="71"/>
      <c r="BC30" s="71">
        <f t="shared" si="16"/>
        <v>221937</v>
      </c>
      <c r="BD30" s="71"/>
      <c r="BE30" s="80">
        <f t="shared" si="13"/>
        <v>9.4317018940153735E-2</v>
      </c>
      <c r="BF30" s="71"/>
      <c r="BG30" s="92"/>
      <c r="BH30" s="193"/>
      <c r="BI30" s="1"/>
      <c r="BJ30">
        <f t="shared" si="11"/>
        <v>21</v>
      </c>
    </row>
    <row r="31" spans="2:77" x14ac:dyDescent="0.3">
      <c r="B31" s="181">
        <f t="shared" si="6"/>
        <v>43931</v>
      </c>
      <c r="D31" s="17">
        <v>33752</v>
      </c>
      <c r="E31" s="16"/>
      <c r="F31" s="16"/>
      <c r="G31" s="16"/>
      <c r="H31" s="16">
        <f t="shared" si="14"/>
        <v>502876</v>
      </c>
      <c r="I31" s="16"/>
      <c r="J31" s="39">
        <f t="shared" si="1"/>
        <v>7.1946862663176472E-2</v>
      </c>
      <c r="K31" s="16"/>
      <c r="L31" s="16"/>
      <c r="M31" s="16"/>
      <c r="N31" s="16">
        <f t="shared" si="2"/>
        <v>22858</v>
      </c>
      <c r="O31" s="42"/>
      <c r="P31" s="1"/>
      <c r="Q31" s="35">
        <v>2035</v>
      </c>
      <c r="R31" s="34"/>
      <c r="S31" s="34"/>
      <c r="T31" s="34"/>
      <c r="U31" s="34">
        <f t="shared" si="15"/>
        <v>18747</v>
      </c>
      <c r="V31" s="34"/>
      <c r="W31" s="47">
        <f t="shared" si="4"/>
        <v>3.7279567925293709E-2</v>
      </c>
      <c r="X31" s="34"/>
      <c r="Y31" s="34">
        <f t="shared" si="5"/>
        <v>852.13636363636363</v>
      </c>
      <c r="Z31" s="54"/>
      <c r="AA31" s="1"/>
      <c r="AB31" s="23">
        <f t="shared" si="7"/>
        <v>1386</v>
      </c>
      <c r="AC31" s="24"/>
      <c r="AD31" s="24"/>
      <c r="AE31" s="24"/>
      <c r="AF31" s="24">
        <v>27314</v>
      </c>
      <c r="AG31" s="24"/>
      <c r="AH31" s="25">
        <f t="shared" si="8"/>
        <v>5.3455723542116633E-2</v>
      </c>
      <c r="AI31" s="25"/>
      <c r="AJ31" s="25"/>
      <c r="AK31" s="24"/>
      <c r="AL31" s="360">
        <f t="shared" si="9"/>
        <v>5.4315576802233555E-2</v>
      </c>
      <c r="AM31" s="360"/>
      <c r="AN31" s="24">
        <f t="shared" si="10"/>
        <v>1241.5454545454545</v>
      </c>
      <c r="AO31" s="370"/>
      <c r="AP31" s="1"/>
      <c r="AQ31" s="70">
        <f t="shared" si="17"/>
        <v>185792</v>
      </c>
      <c r="AR31" s="71"/>
      <c r="AS31" s="71">
        <v>2538888</v>
      </c>
      <c r="AT31" s="71"/>
      <c r="AU31" s="71">
        <f t="shared" si="12"/>
        <v>33752</v>
      </c>
      <c r="AV31" s="71"/>
      <c r="AW31" s="71"/>
      <c r="AX31" s="71"/>
      <c r="AY31" s="71"/>
      <c r="AZ31" s="71"/>
      <c r="BA31" s="71"/>
      <c r="BB31" s="71"/>
      <c r="BC31" s="71">
        <f t="shared" si="16"/>
        <v>255689</v>
      </c>
      <c r="BD31" s="71"/>
      <c r="BE31" s="80">
        <f t="shared" si="13"/>
        <v>0.10070905057647285</v>
      </c>
      <c r="BF31" s="71"/>
      <c r="BG31" s="92"/>
      <c r="BH31" s="193"/>
      <c r="BI31" s="1"/>
      <c r="BJ31">
        <f t="shared" si="11"/>
        <v>22</v>
      </c>
    </row>
    <row r="32" spans="2:77" x14ac:dyDescent="0.3">
      <c r="B32" s="181">
        <f t="shared" si="6"/>
        <v>43932</v>
      </c>
      <c r="D32" s="17">
        <v>30003</v>
      </c>
      <c r="E32" s="16"/>
      <c r="F32" s="16"/>
      <c r="G32" s="16"/>
      <c r="H32" s="16">
        <f t="shared" si="14"/>
        <v>532879</v>
      </c>
      <c r="I32" s="16"/>
      <c r="J32" s="39">
        <f t="shared" si="1"/>
        <v>5.9662819462451978E-2</v>
      </c>
      <c r="K32" s="16"/>
      <c r="L32" s="16"/>
      <c r="M32" s="16"/>
      <c r="N32" s="16">
        <f t="shared" si="2"/>
        <v>23168.652173913044</v>
      </c>
      <c r="O32" s="42"/>
      <c r="P32" s="1"/>
      <c r="Q32" s="35">
        <v>1830</v>
      </c>
      <c r="R32" s="34"/>
      <c r="S32" s="34"/>
      <c r="T32" s="34"/>
      <c r="U32" s="34">
        <f t="shared" si="15"/>
        <v>20577</v>
      </c>
      <c r="V32" s="34"/>
      <c r="W32" s="47">
        <f t="shared" si="4"/>
        <v>3.8614769957157256E-2</v>
      </c>
      <c r="X32" s="34"/>
      <c r="Y32" s="34">
        <f t="shared" si="5"/>
        <v>894.6521739130435</v>
      </c>
      <c r="Z32" s="54"/>
      <c r="AA32" s="1"/>
      <c r="AB32" s="23">
        <f t="shared" si="7"/>
        <v>3139</v>
      </c>
      <c r="AC32" s="24"/>
      <c r="AD32" s="24"/>
      <c r="AE32" s="24"/>
      <c r="AF32" s="24">
        <v>30453</v>
      </c>
      <c r="AG32" s="24"/>
      <c r="AH32" s="25">
        <f t="shared" si="8"/>
        <v>0.1149227502379732</v>
      </c>
      <c r="AI32" s="25"/>
      <c r="AJ32" s="25"/>
      <c r="AK32" s="24"/>
      <c r="AL32" s="360">
        <f t="shared" si="9"/>
        <v>5.7148058001910376E-2</v>
      </c>
      <c r="AM32" s="360"/>
      <c r="AN32" s="24">
        <f t="shared" si="10"/>
        <v>1324.0434782608695</v>
      </c>
      <c r="AO32" s="370"/>
      <c r="AP32" s="1"/>
      <c r="AQ32" s="70">
        <f t="shared" si="17"/>
        <v>131786</v>
      </c>
      <c r="AR32" s="71"/>
      <c r="AS32" s="71">
        <v>2670674</v>
      </c>
      <c r="AT32" s="71"/>
      <c r="AU32" s="71">
        <f t="shared" si="12"/>
        <v>30003</v>
      </c>
      <c r="AV32" s="71"/>
      <c r="AW32" s="71"/>
      <c r="AX32" s="71"/>
      <c r="AY32" s="71"/>
      <c r="AZ32" s="71"/>
      <c r="BA32" s="71"/>
      <c r="BB32" s="71"/>
      <c r="BC32" s="71">
        <f t="shared" si="16"/>
        <v>285692</v>
      </c>
      <c r="BD32" s="71"/>
      <c r="BE32" s="80">
        <f t="shared" si="13"/>
        <v>0.10697374520439409</v>
      </c>
      <c r="BF32" s="71"/>
      <c r="BG32" s="92"/>
      <c r="BH32" s="193"/>
      <c r="BI32" s="1"/>
      <c r="BJ32">
        <f t="shared" si="11"/>
        <v>23</v>
      </c>
    </row>
    <row r="33" spans="2:62" x14ac:dyDescent="0.3">
      <c r="B33" s="181">
        <f t="shared" si="6"/>
        <v>43933</v>
      </c>
      <c r="D33" s="17">
        <v>27421</v>
      </c>
      <c r="E33" s="16"/>
      <c r="F33" s="16"/>
      <c r="G33" s="16"/>
      <c r="H33" s="16">
        <f t="shared" si="14"/>
        <v>560300</v>
      </c>
      <c r="I33" s="16"/>
      <c r="J33" s="39">
        <f t="shared" si="1"/>
        <v>5.14582109634645E-2</v>
      </c>
      <c r="K33" s="16"/>
      <c r="L33" s="16"/>
      <c r="M33" s="16"/>
      <c r="N33" s="16">
        <f t="shared" si="2"/>
        <v>23345.833333333332</v>
      </c>
      <c r="O33" s="42"/>
      <c r="P33" s="1"/>
      <c r="Q33" s="35">
        <v>1528</v>
      </c>
      <c r="R33" s="34"/>
      <c r="S33" s="34"/>
      <c r="T33" s="34"/>
      <c r="U33" s="34">
        <f t="shared" si="15"/>
        <v>22105</v>
      </c>
      <c r="V33" s="34"/>
      <c r="W33" s="47">
        <f t="shared" si="4"/>
        <v>3.9452079243262536E-2</v>
      </c>
      <c r="X33" s="34"/>
      <c r="Y33" s="34">
        <f t="shared" si="5"/>
        <v>921.04166666666663</v>
      </c>
      <c r="Z33" s="54"/>
      <c r="AA33" s="1"/>
      <c r="AB33" s="23">
        <f t="shared" si="7"/>
        <v>2181</v>
      </c>
      <c r="AC33" s="24"/>
      <c r="AD33" s="24"/>
      <c r="AE33" s="24"/>
      <c r="AF33" s="24">
        <v>32634</v>
      </c>
      <c r="AG33" s="24"/>
      <c r="AH33" s="25">
        <f t="shared" si="8"/>
        <v>7.1618559747808092E-2</v>
      </c>
      <c r="AI33" s="25"/>
      <c r="AJ33" s="25"/>
      <c r="AK33" s="24"/>
      <c r="AL33" s="360">
        <f t="shared" si="9"/>
        <v>5.8243797965375689E-2</v>
      </c>
      <c r="AM33" s="360"/>
      <c r="AN33" s="24">
        <f t="shared" si="10"/>
        <v>1359.75</v>
      </c>
      <c r="AO33" s="370"/>
      <c r="AP33" s="1"/>
      <c r="AQ33" s="70">
        <f t="shared" si="17"/>
        <v>161584</v>
      </c>
      <c r="AR33" s="71"/>
      <c r="AS33" s="71">
        <v>2832258</v>
      </c>
      <c r="AT33" s="71"/>
      <c r="AU33" s="71">
        <f t="shared" si="12"/>
        <v>27421</v>
      </c>
      <c r="AV33" s="71"/>
      <c r="AW33" s="71"/>
      <c r="AX33" s="71"/>
      <c r="AY33" s="71"/>
      <c r="AZ33" s="71"/>
      <c r="BA33" s="71"/>
      <c r="BB33" s="71"/>
      <c r="BC33" s="71">
        <f t="shared" si="16"/>
        <v>313113</v>
      </c>
      <c r="BD33" s="71"/>
      <c r="BE33" s="80">
        <f t="shared" si="13"/>
        <v>0.1105524284863879</v>
      </c>
      <c r="BF33" s="71"/>
      <c r="BG33" s="92"/>
      <c r="BH33" s="193"/>
      <c r="BI33" s="1"/>
      <c r="BJ33">
        <f t="shared" si="11"/>
        <v>24</v>
      </c>
    </row>
    <row r="34" spans="2:62" x14ac:dyDescent="0.3">
      <c r="B34" s="411">
        <f t="shared" si="6"/>
        <v>43934</v>
      </c>
      <c r="D34" s="17">
        <v>26641</v>
      </c>
      <c r="E34" s="16"/>
      <c r="F34" s="16"/>
      <c r="G34" s="16"/>
      <c r="H34" s="16">
        <f t="shared" si="14"/>
        <v>586941</v>
      </c>
      <c r="I34" s="16"/>
      <c r="J34" s="39">
        <f t="shared" si="1"/>
        <v>4.7547742280920936E-2</v>
      </c>
      <c r="K34" s="16"/>
      <c r="L34" s="16"/>
      <c r="M34" s="16"/>
      <c r="N34" s="16">
        <f t="shared" si="2"/>
        <v>23477.64</v>
      </c>
      <c r="O34" s="42"/>
      <c r="P34" s="412"/>
      <c r="Q34" s="35">
        <v>1535</v>
      </c>
      <c r="R34" s="34"/>
      <c r="S34" s="34"/>
      <c r="T34" s="34"/>
      <c r="U34" s="34">
        <f t="shared" si="15"/>
        <v>23640</v>
      </c>
      <c r="V34" s="34"/>
      <c r="W34" s="47">
        <f t="shared" si="4"/>
        <v>4.0276620648412705E-2</v>
      </c>
      <c r="X34" s="34"/>
      <c r="Y34" s="34">
        <f t="shared" si="5"/>
        <v>945.6</v>
      </c>
      <c r="Z34" s="54"/>
      <c r="AA34" s="412"/>
      <c r="AB34" s="23">
        <f t="shared" si="7"/>
        <v>3620</v>
      </c>
      <c r="AC34" s="24"/>
      <c r="AD34" s="24"/>
      <c r="AE34" s="24"/>
      <c r="AF34" s="24">
        <v>36254</v>
      </c>
      <c r="AG34" s="24"/>
      <c r="AH34" s="25">
        <f t="shared" si="8"/>
        <v>0.11092725378439665</v>
      </c>
      <c r="AI34" s="25"/>
      <c r="AJ34" s="25"/>
      <c r="AK34" s="24"/>
      <c r="AL34" s="360">
        <f t="shared" si="9"/>
        <v>6.1767707486783167E-2</v>
      </c>
      <c r="AM34" s="360"/>
      <c r="AN34" s="24">
        <f t="shared" si="10"/>
        <v>1450.16</v>
      </c>
      <c r="AO34" s="370"/>
      <c r="AP34" s="412"/>
      <c r="AQ34" s="70">
        <f t="shared" si="17"/>
        <v>111697</v>
      </c>
      <c r="AR34" s="71"/>
      <c r="AS34" s="71">
        <v>2943955</v>
      </c>
      <c r="AT34" s="71"/>
      <c r="AU34" s="71">
        <f t="shared" si="12"/>
        <v>26641</v>
      </c>
      <c r="AV34" s="71"/>
      <c r="AW34" s="71"/>
      <c r="AX34" s="71"/>
      <c r="AY34" s="71"/>
      <c r="AZ34" s="71"/>
      <c r="BA34" s="71"/>
      <c r="BB34" s="71"/>
      <c r="BC34" s="71">
        <f t="shared" si="16"/>
        <v>339754</v>
      </c>
      <c r="BD34" s="71"/>
      <c r="BE34" s="80">
        <f t="shared" si="13"/>
        <v>0.11540733469091749</v>
      </c>
      <c r="BF34" s="71"/>
      <c r="BG34" s="92"/>
      <c r="BH34" s="193"/>
      <c r="BI34" s="1"/>
      <c r="BJ34">
        <f t="shared" si="11"/>
        <v>25</v>
      </c>
    </row>
    <row r="35" spans="2:62" x14ac:dyDescent="0.3">
      <c r="B35" s="181">
        <f t="shared" si="6"/>
        <v>43935</v>
      </c>
      <c r="D35" s="17">
        <v>30720</v>
      </c>
      <c r="E35" s="16"/>
      <c r="F35" s="16"/>
      <c r="G35" s="16"/>
      <c r="H35" s="16">
        <f>+H34+D35+5109-168</f>
        <v>622602</v>
      </c>
      <c r="I35" s="348" t="s">
        <v>70</v>
      </c>
      <c r="J35" s="39">
        <f t="shared" si="1"/>
        <v>5.2339161857835798E-2</v>
      </c>
      <c r="K35" s="16"/>
      <c r="L35" s="16"/>
      <c r="M35" s="16"/>
      <c r="N35" s="16">
        <f t="shared" si="2"/>
        <v>23946.23076923077</v>
      </c>
      <c r="O35" s="42"/>
      <c r="P35" s="1"/>
      <c r="Q35" s="35">
        <v>2407</v>
      </c>
      <c r="R35" s="34"/>
      <c r="S35" s="34"/>
      <c r="T35" s="34"/>
      <c r="U35" s="34">
        <f>+U34+Q35+3778+317</f>
        <v>30142</v>
      </c>
      <c r="V35" s="359" t="s">
        <v>70</v>
      </c>
      <c r="W35" s="47">
        <f t="shared" si="4"/>
        <v>4.8412950809666531E-2</v>
      </c>
      <c r="X35" s="34"/>
      <c r="Y35" s="34">
        <f t="shared" si="5"/>
        <v>1159.3076923076924</v>
      </c>
      <c r="Z35" s="54"/>
      <c r="AA35" s="1"/>
      <c r="AB35" s="23">
        <f t="shared" si="7"/>
        <v>2566</v>
      </c>
      <c r="AC35" s="24"/>
      <c r="AD35" s="24"/>
      <c r="AE35" s="24"/>
      <c r="AF35" s="24">
        <v>38820</v>
      </c>
      <c r="AG35" s="24"/>
      <c r="AH35" s="25">
        <f t="shared" si="8"/>
        <v>7.0778396866552656E-2</v>
      </c>
      <c r="AI35" s="25"/>
      <c r="AJ35" s="25"/>
      <c r="AK35" s="24"/>
      <c r="AL35" s="360">
        <f t="shared" si="9"/>
        <v>6.23512291961799E-2</v>
      </c>
      <c r="AM35" s="360"/>
      <c r="AN35" s="24">
        <f t="shared" si="10"/>
        <v>1493.0769230769231</v>
      </c>
      <c r="AO35" s="370"/>
      <c r="AP35" s="1"/>
      <c r="AQ35" s="70">
        <f t="shared" si="17"/>
        <v>121064</v>
      </c>
      <c r="AR35" s="71"/>
      <c r="AS35" s="71">
        <v>3065019</v>
      </c>
      <c r="AT35" s="71"/>
      <c r="AU35" s="71">
        <f t="shared" si="12"/>
        <v>30720</v>
      </c>
      <c r="AV35" s="71"/>
      <c r="AW35" s="71"/>
      <c r="AX35" s="71"/>
      <c r="AY35" s="71"/>
      <c r="AZ35" s="71"/>
      <c r="BA35" s="71"/>
      <c r="BB35" s="71"/>
      <c r="BC35" s="71">
        <f t="shared" si="16"/>
        <v>370474</v>
      </c>
      <c r="BD35" s="71"/>
      <c r="BE35" s="80">
        <f t="shared" si="13"/>
        <v>0.12087168138272553</v>
      </c>
      <c r="BF35" s="71"/>
      <c r="BG35" s="92"/>
      <c r="BH35" s="193"/>
      <c r="BI35" s="1"/>
      <c r="BJ35">
        <f t="shared" si="11"/>
        <v>26</v>
      </c>
    </row>
    <row r="36" spans="2:62" x14ac:dyDescent="0.3">
      <c r="B36" s="181">
        <f t="shared" si="6"/>
        <v>43936</v>
      </c>
      <c r="D36" s="17">
        <v>30342</v>
      </c>
      <c r="E36" s="16"/>
      <c r="F36" s="16"/>
      <c r="G36" s="16"/>
      <c r="H36" s="16">
        <f t="shared" ref="H36:H45" si="18">+H35+D36</f>
        <v>652944</v>
      </c>
      <c r="I36" s="16"/>
      <c r="J36" s="39">
        <f t="shared" si="1"/>
        <v>4.8734183314541234E-2</v>
      </c>
      <c r="K36" s="16"/>
      <c r="L36" s="16"/>
      <c r="M36" s="16"/>
      <c r="N36" s="16">
        <f t="shared" si="2"/>
        <v>24183.111111111109</v>
      </c>
      <c r="O36" s="42"/>
      <c r="P36" s="1"/>
      <c r="Q36" s="35">
        <v>2618</v>
      </c>
      <c r="R36" s="34"/>
      <c r="S36" s="34"/>
      <c r="T36" s="34"/>
      <c r="U36" s="34">
        <f t="shared" ref="U36:U51" si="19">+U35+Q36</f>
        <v>32760</v>
      </c>
      <c r="V36" s="34"/>
      <c r="W36" s="47">
        <f t="shared" si="4"/>
        <v>5.0172756009703744E-2</v>
      </c>
      <c r="X36" s="34"/>
      <c r="Y36" s="34">
        <f t="shared" si="5"/>
        <v>1213.3333333333333</v>
      </c>
      <c r="Z36" s="54"/>
      <c r="AA36" s="1"/>
      <c r="AB36" s="23">
        <f t="shared" si="7"/>
        <v>9881</v>
      </c>
      <c r="AC36" s="24"/>
      <c r="AD36" s="24"/>
      <c r="AE36" s="24"/>
      <c r="AF36" s="24">
        <v>48701</v>
      </c>
      <c r="AG36" s="24"/>
      <c r="AH36" s="25">
        <f t="shared" si="8"/>
        <v>0.25453374549201441</v>
      </c>
      <c r="AI36" s="25"/>
      <c r="AJ36" s="25"/>
      <c r="AK36" s="24"/>
      <c r="AL36" s="360">
        <f t="shared" si="9"/>
        <v>7.4586794579627039E-2</v>
      </c>
      <c r="AM36" s="360"/>
      <c r="AN36" s="24">
        <f t="shared" si="10"/>
        <v>1803.7407407407406</v>
      </c>
      <c r="AO36" s="370"/>
      <c r="AP36" s="1"/>
      <c r="AQ36" s="70">
        <f t="shared" si="17"/>
        <v>193860</v>
      </c>
      <c r="AR36" s="71"/>
      <c r="AS36" s="71">
        <v>3258879</v>
      </c>
      <c r="AT36" s="71"/>
      <c r="AU36" s="71">
        <f t="shared" si="12"/>
        <v>30342</v>
      </c>
      <c r="AV36" s="71"/>
      <c r="AW36" s="71"/>
      <c r="AX36" s="71"/>
      <c r="AY36" s="71"/>
      <c r="AZ36" s="71"/>
      <c r="BA36" s="71"/>
      <c r="BB36" s="71"/>
      <c r="BC36" s="71">
        <f t="shared" si="16"/>
        <v>400816</v>
      </c>
      <c r="BD36" s="71"/>
      <c r="BE36" s="80">
        <f t="shared" si="13"/>
        <v>0.12299198589453612</v>
      </c>
      <c r="BF36" s="71"/>
      <c r="BG36" s="92"/>
      <c r="BH36" s="193"/>
      <c r="BI36" s="1"/>
      <c r="BJ36">
        <f t="shared" si="11"/>
        <v>27</v>
      </c>
    </row>
    <row r="37" spans="2:62" x14ac:dyDescent="0.3">
      <c r="B37" s="181">
        <f t="shared" si="6"/>
        <v>43937</v>
      </c>
      <c r="D37" s="17">
        <v>29567</v>
      </c>
      <c r="E37" s="16"/>
      <c r="F37" s="16"/>
      <c r="G37" s="16"/>
      <c r="H37" s="16">
        <f t="shared" si="18"/>
        <v>682511</v>
      </c>
      <c r="I37" s="16"/>
      <c r="J37" s="39">
        <f t="shared" si="1"/>
        <v>4.5282596976157219E-2</v>
      </c>
      <c r="K37" s="16"/>
      <c r="L37" s="16"/>
      <c r="M37" s="16"/>
      <c r="N37" s="16">
        <f t="shared" si="2"/>
        <v>24375.392857142859</v>
      </c>
      <c r="O37" s="42"/>
      <c r="P37" s="10"/>
      <c r="Q37" s="35">
        <v>2176</v>
      </c>
      <c r="R37" s="34"/>
      <c r="S37" s="34"/>
      <c r="T37" s="34"/>
      <c r="U37" s="34">
        <f t="shared" si="19"/>
        <v>34936</v>
      </c>
      <c r="V37" s="34"/>
      <c r="W37" s="47">
        <f t="shared" si="4"/>
        <v>5.1187453389029629E-2</v>
      </c>
      <c r="X37" s="34"/>
      <c r="Y37" s="34">
        <f t="shared" si="5"/>
        <v>1247.7142857142858</v>
      </c>
      <c r="Z37" s="54"/>
      <c r="AA37" s="10"/>
      <c r="AB37" s="23">
        <f t="shared" si="7"/>
        <v>8807</v>
      </c>
      <c r="AC37" s="24"/>
      <c r="AD37" s="24"/>
      <c r="AE37" s="24"/>
      <c r="AF37" s="24">
        <v>57508</v>
      </c>
      <c r="AG37" s="24"/>
      <c r="AH37" s="25">
        <f t="shared" si="8"/>
        <v>0.1808381758074783</v>
      </c>
      <c r="AI37" s="25"/>
      <c r="AJ37" s="25"/>
      <c r="AK37" s="24"/>
      <c r="AL37" s="360">
        <f t="shared" si="9"/>
        <v>8.4259447833075221E-2</v>
      </c>
      <c r="AM37" s="360"/>
      <c r="AN37" s="24">
        <f t="shared" si="10"/>
        <v>2053.8571428571427</v>
      </c>
      <c r="AO37" s="370"/>
      <c r="AP37" s="1"/>
      <c r="AQ37" s="70">
        <f t="shared" si="17"/>
        <v>139261</v>
      </c>
      <c r="AR37" s="71"/>
      <c r="AS37" s="71">
        <v>3398140</v>
      </c>
      <c r="AT37" s="71"/>
      <c r="AU37" s="71">
        <f t="shared" si="12"/>
        <v>29567</v>
      </c>
      <c r="AV37" s="71"/>
      <c r="AW37" s="71"/>
      <c r="AX37" s="71"/>
      <c r="AY37" s="71"/>
      <c r="AZ37" s="71"/>
      <c r="BA37" s="71"/>
      <c r="BB37" s="71"/>
      <c r="BC37" s="71">
        <f t="shared" si="16"/>
        <v>430383</v>
      </c>
      <c r="BD37" s="71"/>
      <c r="BE37" s="80">
        <f t="shared" si="13"/>
        <v>0.12665252167362145</v>
      </c>
      <c r="BF37" s="71"/>
      <c r="BG37" s="92"/>
      <c r="BH37" s="193"/>
      <c r="BI37" s="1"/>
      <c r="BJ37">
        <f t="shared" si="11"/>
        <v>28</v>
      </c>
    </row>
    <row r="38" spans="2:62" x14ac:dyDescent="0.3">
      <c r="B38" s="181">
        <f t="shared" si="6"/>
        <v>43938</v>
      </c>
      <c r="D38" s="17">
        <v>32165</v>
      </c>
      <c r="E38" s="16"/>
      <c r="F38" s="16"/>
      <c r="G38" s="16"/>
      <c r="H38" s="16">
        <f t="shared" si="18"/>
        <v>714676</v>
      </c>
      <c r="I38" s="16"/>
      <c r="J38" s="39">
        <f t="shared" si="1"/>
        <v>4.7127445564979907E-2</v>
      </c>
      <c r="K38" s="16"/>
      <c r="L38" s="16"/>
      <c r="M38" s="16"/>
      <c r="N38" s="16">
        <f t="shared" si="2"/>
        <v>24644</v>
      </c>
      <c r="O38" s="42"/>
      <c r="P38" s="10"/>
      <c r="Q38" s="35">
        <v>2528</v>
      </c>
      <c r="R38" s="34"/>
      <c r="S38" s="34"/>
      <c r="T38" s="34"/>
      <c r="U38" s="34">
        <f t="shared" si="19"/>
        <v>37464</v>
      </c>
      <c r="V38" s="34"/>
      <c r="W38" s="47">
        <f t="shared" si="4"/>
        <v>5.2420957188991937E-2</v>
      </c>
      <c r="X38" s="34"/>
      <c r="Y38" s="34">
        <f t="shared" si="5"/>
        <v>1291.8620689655172</v>
      </c>
      <c r="Z38" s="54"/>
      <c r="AA38" s="10"/>
      <c r="AB38" s="23">
        <f t="shared" si="7"/>
        <v>3002</v>
      </c>
      <c r="AC38" s="24"/>
      <c r="AD38" s="24"/>
      <c r="AE38" s="24"/>
      <c r="AF38" s="24">
        <v>60510</v>
      </c>
      <c r="AG38" s="24"/>
      <c r="AH38" s="25">
        <f t="shared" si="8"/>
        <v>5.2201432844126032E-2</v>
      </c>
      <c r="AI38" s="25"/>
      <c r="AJ38" s="25"/>
      <c r="AK38" s="24"/>
      <c r="AL38" s="360">
        <f t="shared" si="9"/>
        <v>8.4667737548203656E-2</v>
      </c>
      <c r="AM38" s="360"/>
      <c r="AN38" s="24">
        <f t="shared" si="10"/>
        <v>2086.5517241379312</v>
      </c>
      <c r="AO38" s="370"/>
      <c r="AP38" s="1"/>
      <c r="AQ38" s="70">
        <f t="shared" si="17"/>
        <v>174117</v>
      </c>
      <c r="AR38" s="71"/>
      <c r="AS38" s="71">
        <v>3572257</v>
      </c>
      <c r="AT38" s="71"/>
      <c r="AU38" s="71">
        <f t="shared" si="12"/>
        <v>32165</v>
      </c>
      <c r="AV38" s="71"/>
      <c r="AW38" s="71"/>
      <c r="AX38" s="71"/>
      <c r="AY38" s="71"/>
      <c r="AZ38" s="71"/>
      <c r="BA38" s="71"/>
      <c r="BB38" s="71"/>
      <c r="BC38" s="71">
        <f t="shared" si="16"/>
        <v>462548</v>
      </c>
      <c r="BD38" s="71"/>
      <c r="BE38" s="80">
        <f t="shared" si="13"/>
        <v>0.12948340502936939</v>
      </c>
      <c r="BF38" s="71"/>
      <c r="BG38" s="92"/>
      <c r="BH38" s="193"/>
      <c r="BI38" s="1"/>
      <c r="BJ38">
        <f t="shared" si="11"/>
        <v>29</v>
      </c>
    </row>
    <row r="39" spans="2:62" x14ac:dyDescent="0.3">
      <c r="B39" s="350">
        <f t="shared" si="6"/>
        <v>43939</v>
      </c>
      <c r="C39" s="116"/>
      <c r="D39" s="17">
        <v>29057</v>
      </c>
      <c r="E39" s="16"/>
      <c r="F39" s="16"/>
      <c r="G39" s="16"/>
      <c r="H39" s="16">
        <f t="shared" si="18"/>
        <v>743733</v>
      </c>
      <c r="I39" s="16"/>
      <c r="J39" s="39">
        <f t="shared" si="1"/>
        <v>4.0657584695722254E-2</v>
      </c>
      <c r="K39" s="16"/>
      <c r="L39" s="16"/>
      <c r="M39" s="16"/>
      <c r="N39" s="16">
        <f t="shared" si="2"/>
        <v>24791.1</v>
      </c>
      <c r="O39" s="42"/>
      <c r="P39" s="96"/>
      <c r="Q39" s="35">
        <v>1867</v>
      </c>
      <c r="R39" s="34"/>
      <c r="S39" s="34"/>
      <c r="T39" s="34"/>
      <c r="U39" s="34">
        <f t="shared" si="19"/>
        <v>39331</v>
      </c>
      <c r="V39" s="34"/>
      <c r="W39" s="47">
        <f t="shared" si="4"/>
        <v>5.2883225566164205E-2</v>
      </c>
      <c r="X39" s="34"/>
      <c r="Y39" s="34">
        <f t="shared" si="5"/>
        <v>1311.0333333333333</v>
      </c>
      <c r="Z39" s="54"/>
      <c r="AA39" s="96"/>
      <c r="AB39" s="23">
        <f t="shared" si="7"/>
        <v>7759</v>
      </c>
      <c r="AC39" s="24"/>
      <c r="AD39" s="24"/>
      <c r="AE39" s="24"/>
      <c r="AF39" s="24">
        <v>68269</v>
      </c>
      <c r="AG39" s="24"/>
      <c r="AH39" s="25">
        <f t="shared" si="8"/>
        <v>0.12822673938192033</v>
      </c>
      <c r="AI39" s="25"/>
      <c r="AJ39" s="25"/>
      <c r="AK39" s="24"/>
      <c r="AL39" s="360">
        <f t="shared" si="9"/>
        <v>9.1792350211702317E-2</v>
      </c>
      <c r="AM39" s="360"/>
      <c r="AN39" s="24">
        <f t="shared" si="10"/>
        <v>2275.6333333333332</v>
      </c>
      <c r="AO39" s="370"/>
      <c r="AP39" s="96"/>
      <c r="AQ39" s="70">
        <f t="shared" si="17"/>
        <v>149888</v>
      </c>
      <c r="AR39" s="71"/>
      <c r="AS39" s="71">
        <v>3722145</v>
      </c>
      <c r="AT39" s="71"/>
      <c r="AU39" s="71">
        <f t="shared" si="12"/>
        <v>29057</v>
      </c>
      <c r="AV39" s="71"/>
      <c r="AW39" s="71"/>
      <c r="AX39" s="71"/>
      <c r="AY39" s="71"/>
      <c r="AZ39" s="71"/>
      <c r="BA39" s="71"/>
      <c r="BB39" s="71"/>
      <c r="BC39" s="71">
        <f t="shared" si="16"/>
        <v>491605</v>
      </c>
      <c r="BD39" s="71"/>
      <c r="BE39" s="80">
        <f t="shared" si="13"/>
        <v>0.13207572515310392</v>
      </c>
      <c r="BF39" s="71"/>
      <c r="BG39" s="92"/>
      <c r="BH39" s="193"/>
      <c r="BI39" s="96"/>
      <c r="BJ39" s="116">
        <f t="shared" si="11"/>
        <v>30</v>
      </c>
    </row>
    <row r="40" spans="2:62" x14ac:dyDescent="0.3">
      <c r="B40" s="181">
        <f t="shared" si="6"/>
        <v>43940</v>
      </c>
      <c r="C40" s="65"/>
      <c r="D40" s="17">
        <v>26183</v>
      </c>
      <c r="E40" s="16"/>
      <c r="F40" s="16"/>
      <c r="G40" s="16"/>
      <c r="H40" s="16">
        <f t="shared" si="18"/>
        <v>769916</v>
      </c>
      <c r="I40" s="16"/>
      <c r="J40" s="39">
        <f t="shared" si="1"/>
        <v>3.5204838295463559E-2</v>
      </c>
      <c r="K40" s="16"/>
      <c r="L40" s="16"/>
      <c r="M40" s="16"/>
      <c r="N40" s="16">
        <f t="shared" si="2"/>
        <v>24836</v>
      </c>
      <c r="O40" s="42"/>
      <c r="P40" s="10"/>
      <c r="Q40" s="35">
        <v>1570</v>
      </c>
      <c r="R40" s="34"/>
      <c r="S40" s="34"/>
      <c r="T40" s="34"/>
      <c r="U40" s="34">
        <f t="shared" si="19"/>
        <v>40901</v>
      </c>
      <c r="V40" s="34"/>
      <c r="W40" s="47">
        <f t="shared" si="4"/>
        <v>5.312397716114485E-2</v>
      </c>
      <c r="X40" s="34"/>
      <c r="Y40" s="34">
        <f t="shared" si="5"/>
        <v>1319.3870967741937</v>
      </c>
      <c r="Z40" s="54"/>
      <c r="AA40" s="10"/>
      <c r="AB40" s="23">
        <f t="shared" si="7"/>
        <v>2734</v>
      </c>
      <c r="AC40" s="24"/>
      <c r="AD40" s="24"/>
      <c r="AE40" s="24"/>
      <c r="AF40" s="24">
        <v>71003</v>
      </c>
      <c r="AG40" s="24"/>
      <c r="AH40" s="25">
        <f t="shared" si="8"/>
        <v>4.004745931535543E-2</v>
      </c>
      <c r="AI40" s="25"/>
      <c r="AJ40" s="25"/>
      <c r="AK40" s="24"/>
      <c r="AL40" s="360">
        <f t="shared" si="9"/>
        <v>9.2221748866110065E-2</v>
      </c>
      <c r="AM40" s="360"/>
      <c r="AN40" s="24">
        <f t="shared" si="10"/>
        <v>2290.4193548387098</v>
      </c>
      <c r="AO40" s="370"/>
      <c r="AP40" s="1"/>
      <c r="AQ40" s="70">
        <f t="shared" si="17"/>
        <v>139404</v>
      </c>
      <c r="AR40" s="71"/>
      <c r="AS40" s="71">
        <v>3861549</v>
      </c>
      <c r="AT40" s="71"/>
      <c r="AU40" s="71">
        <f t="shared" si="12"/>
        <v>26183</v>
      </c>
      <c r="AV40" s="71"/>
      <c r="AW40" s="165">
        <f t="shared" ref="AW40:AW51" si="20">+AU40/AQ40</f>
        <v>0.18782100944018823</v>
      </c>
      <c r="AX40" s="71"/>
      <c r="AY40" s="71"/>
      <c r="AZ40" s="71"/>
      <c r="BA40" s="71">
        <f>+AS40/BJ40</f>
        <v>124566.09677419355</v>
      </c>
      <c r="BB40" s="71"/>
      <c r="BC40" s="71">
        <f t="shared" si="16"/>
        <v>517788</v>
      </c>
      <c r="BD40" s="71"/>
      <c r="BE40" s="80">
        <f t="shared" si="13"/>
        <v>0.13408815995860729</v>
      </c>
      <c r="BF40" s="71"/>
      <c r="BG40" s="92"/>
      <c r="BH40" s="193"/>
      <c r="BI40" s="1"/>
      <c r="BJ40">
        <f t="shared" si="11"/>
        <v>31</v>
      </c>
    </row>
    <row r="41" spans="2:62" x14ac:dyDescent="0.3">
      <c r="B41" s="411">
        <f t="shared" si="6"/>
        <v>43941</v>
      </c>
      <c r="C41" s="65"/>
      <c r="D41" s="17">
        <v>28143</v>
      </c>
      <c r="E41" s="16"/>
      <c r="F41" s="16"/>
      <c r="G41" s="16"/>
      <c r="H41" s="16">
        <f t="shared" si="18"/>
        <v>798059</v>
      </c>
      <c r="I41" s="16"/>
      <c r="J41" s="39">
        <f t="shared" si="1"/>
        <v>3.6553338286254601E-2</v>
      </c>
      <c r="K41" s="16"/>
      <c r="L41" s="16"/>
      <c r="M41" s="16"/>
      <c r="N41" s="16">
        <f t="shared" si="2"/>
        <v>24939.34375</v>
      </c>
      <c r="O41" s="42"/>
      <c r="P41" s="412"/>
      <c r="Q41" s="35">
        <v>1952</v>
      </c>
      <c r="R41" s="34"/>
      <c r="S41" s="34"/>
      <c r="T41" s="34"/>
      <c r="U41" s="34">
        <f t="shared" si="19"/>
        <v>42853</v>
      </c>
      <c r="V41" s="34"/>
      <c r="W41" s="47">
        <f t="shared" si="4"/>
        <v>5.369653120884546E-2</v>
      </c>
      <c r="X41" s="34"/>
      <c r="Y41" s="34">
        <f t="shared" si="5"/>
        <v>1339.15625</v>
      </c>
      <c r="Z41" s="54"/>
      <c r="AA41" s="412"/>
      <c r="AB41" s="23">
        <f t="shared" si="7"/>
        <v>1386</v>
      </c>
      <c r="AC41" s="24"/>
      <c r="AD41" s="24"/>
      <c r="AE41" s="24"/>
      <c r="AF41" s="24">
        <v>72389</v>
      </c>
      <c r="AG41" s="24"/>
      <c r="AH41" s="25">
        <f t="shared" si="8"/>
        <v>1.9520301959072152E-2</v>
      </c>
      <c r="AI41" s="25"/>
      <c r="AJ41" s="25"/>
      <c r="AK41" s="24"/>
      <c r="AL41" s="360">
        <f t="shared" si="9"/>
        <v>9.0706326224000988E-2</v>
      </c>
      <c r="AM41" s="360"/>
      <c r="AN41" s="24">
        <f t="shared" si="10"/>
        <v>2262.15625</v>
      </c>
      <c r="AO41" s="370"/>
      <c r="AP41" s="412"/>
      <c r="AQ41" s="70">
        <f t="shared" si="17"/>
        <v>164811</v>
      </c>
      <c r="AR41" s="71"/>
      <c r="AS41" s="71">
        <v>4026360</v>
      </c>
      <c r="AT41" s="71"/>
      <c r="AU41" s="71">
        <f t="shared" si="12"/>
        <v>28143</v>
      </c>
      <c r="AV41" s="71"/>
      <c r="AW41" s="165">
        <f t="shared" si="20"/>
        <v>0.17075923330360232</v>
      </c>
      <c r="AX41" s="71"/>
      <c r="AY41" s="71"/>
      <c r="AZ41" s="71"/>
      <c r="BA41" s="71">
        <f t="shared" ref="BA41:BA59" si="21">+AS41/BJ41</f>
        <v>125823.75</v>
      </c>
      <c r="BB41" s="71"/>
      <c r="BC41" s="71">
        <f t="shared" si="16"/>
        <v>545931</v>
      </c>
      <c r="BD41" s="71"/>
      <c r="BE41" s="80">
        <f t="shared" si="13"/>
        <v>0.13558921705957738</v>
      </c>
      <c r="BF41" s="71"/>
      <c r="BG41" s="92"/>
      <c r="BH41" s="193"/>
      <c r="BI41" s="1"/>
      <c r="BJ41">
        <f t="shared" si="11"/>
        <v>32</v>
      </c>
    </row>
    <row r="42" spans="2:62" x14ac:dyDescent="0.3">
      <c r="B42" s="181">
        <f t="shared" si="6"/>
        <v>43942</v>
      </c>
      <c r="C42" s="65"/>
      <c r="D42" s="17">
        <v>26105</v>
      </c>
      <c r="E42" s="16"/>
      <c r="F42" s="16"/>
      <c r="G42" s="16"/>
      <c r="H42" s="16">
        <f t="shared" si="18"/>
        <v>824164</v>
      </c>
      <c r="I42" s="16"/>
      <c r="J42" s="39">
        <f t="shared" si="1"/>
        <v>3.2710614127526912E-2</v>
      </c>
      <c r="K42" s="16"/>
      <c r="L42" s="16"/>
      <c r="M42" s="16"/>
      <c r="N42" s="16">
        <f t="shared" ref="N42:N59" si="22">+H42/BJ42</f>
        <v>24974.666666666668</v>
      </c>
      <c r="O42" s="42"/>
      <c r="P42" s="1"/>
      <c r="Q42" s="35">
        <v>2683</v>
      </c>
      <c r="R42" s="34"/>
      <c r="S42" s="34"/>
      <c r="T42" s="34"/>
      <c r="U42" s="34">
        <f t="shared" si="19"/>
        <v>45536</v>
      </c>
      <c r="V42" s="34"/>
      <c r="W42" s="47">
        <f t="shared" si="4"/>
        <v>5.5251139336345678E-2</v>
      </c>
      <c r="X42" s="34"/>
      <c r="Y42" s="34">
        <f t="shared" ref="Y42:Y59" si="23">+U42/BJ42</f>
        <v>1379.878787878788</v>
      </c>
      <c r="Z42" s="54"/>
      <c r="AA42" s="1"/>
      <c r="AB42" s="23">
        <f t="shared" si="7"/>
        <v>10534</v>
      </c>
      <c r="AC42" s="24"/>
      <c r="AD42" s="24"/>
      <c r="AE42" s="24"/>
      <c r="AF42" s="24">
        <v>82923</v>
      </c>
      <c r="AG42" s="24"/>
      <c r="AH42" s="25">
        <f t="shared" si="8"/>
        <v>0.14551934686209231</v>
      </c>
      <c r="AI42" s="25"/>
      <c r="AJ42" s="25"/>
      <c r="AK42" s="24"/>
      <c r="AL42" s="360">
        <f t="shared" si="9"/>
        <v>0.10061468348532573</v>
      </c>
      <c r="AM42" s="360"/>
      <c r="AN42" s="24">
        <f t="shared" si="10"/>
        <v>2512.818181818182</v>
      </c>
      <c r="AO42" s="370"/>
      <c r="AP42" s="1"/>
      <c r="AQ42" s="70">
        <f t="shared" si="17"/>
        <v>161032</v>
      </c>
      <c r="AR42" s="71"/>
      <c r="AS42" s="71">
        <v>4187392</v>
      </c>
      <c r="AT42" s="71"/>
      <c r="AU42" s="71">
        <f t="shared" si="12"/>
        <v>26105</v>
      </c>
      <c r="AV42" s="71"/>
      <c r="AW42" s="165">
        <f t="shared" si="20"/>
        <v>0.16211063639525064</v>
      </c>
      <c r="AX42" s="71"/>
      <c r="AY42" s="71"/>
      <c r="AZ42" s="71"/>
      <c r="BA42" s="71">
        <f t="shared" si="21"/>
        <v>126890.66666666667</v>
      </c>
      <c r="BB42" s="71"/>
      <c r="BC42" s="71">
        <f t="shared" si="16"/>
        <v>572036</v>
      </c>
      <c r="BD42" s="71"/>
      <c r="BE42" s="80">
        <f t="shared" si="13"/>
        <v>0.13660913523262211</v>
      </c>
      <c r="BF42" s="71"/>
      <c r="BG42" s="92"/>
      <c r="BH42" s="193"/>
      <c r="BI42" s="1"/>
      <c r="BJ42">
        <f t="shared" si="11"/>
        <v>33</v>
      </c>
    </row>
    <row r="43" spans="2:62" x14ac:dyDescent="0.3">
      <c r="B43" s="181">
        <f t="shared" si="6"/>
        <v>43943</v>
      </c>
      <c r="C43" s="65"/>
      <c r="D43" s="17">
        <v>30210</v>
      </c>
      <c r="E43" s="16"/>
      <c r="F43" s="16"/>
      <c r="G43" s="16"/>
      <c r="H43" s="16">
        <f t="shared" si="18"/>
        <v>854374</v>
      </c>
      <c r="I43" s="16"/>
      <c r="J43" s="39">
        <f t="shared" si="1"/>
        <v>3.6655325881741981E-2</v>
      </c>
      <c r="K43" s="16"/>
      <c r="L43" s="16"/>
      <c r="M43" s="16"/>
      <c r="N43" s="16">
        <f t="shared" si="22"/>
        <v>25128.647058823528</v>
      </c>
      <c r="O43" s="42"/>
      <c r="P43" s="1"/>
      <c r="Q43" s="35">
        <v>2358</v>
      </c>
      <c r="R43" s="34"/>
      <c r="S43" s="34"/>
      <c r="T43" s="34"/>
      <c r="U43" s="34">
        <f t="shared" si="19"/>
        <v>47894</v>
      </c>
      <c r="V43" s="34"/>
      <c r="W43" s="47">
        <f t="shared" si="4"/>
        <v>5.6057417477591784E-2</v>
      </c>
      <c r="X43" s="34"/>
      <c r="Y43" s="34">
        <f t="shared" si="23"/>
        <v>1408.6470588235295</v>
      </c>
      <c r="Z43" s="54"/>
      <c r="AA43" s="1"/>
      <c r="AB43" s="23">
        <f t="shared" si="7"/>
        <v>1127</v>
      </c>
      <c r="AC43" s="24"/>
      <c r="AD43" s="24"/>
      <c r="AE43" s="24"/>
      <c r="AF43" s="24">
        <v>84050</v>
      </c>
      <c r="AG43" s="24"/>
      <c r="AH43" s="25">
        <f t="shared" si="8"/>
        <v>1.3590921698443134E-2</v>
      </c>
      <c r="AI43" s="25"/>
      <c r="AJ43" s="25"/>
      <c r="AK43" s="24"/>
      <c r="AL43" s="360">
        <f t="shared" si="9"/>
        <v>9.8376120996191363E-2</v>
      </c>
      <c r="AM43" s="360"/>
      <c r="AN43" s="24">
        <f t="shared" si="10"/>
        <v>2472.0588235294117</v>
      </c>
      <c r="AO43" s="370"/>
      <c r="AP43" s="1"/>
      <c r="AQ43" s="70">
        <f t="shared" si="17"/>
        <v>137950</v>
      </c>
      <c r="AR43" s="71"/>
      <c r="AS43" s="71">
        <v>4325342</v>
      </c>
      <c r="AT43" s="71"/>
      <c r="AU43" s="71">
        <f t="shared" si="12"/>
        <v>30210</v>
      </c>
      <c r="AV43" s="71"/>
      <c r="AW43" s="165">
        <f t="shared" si="20"/>
        <v>0.21899238854657485</v>
      </c>
      <c r="AX43" s="71"/>
      <c r="AY43" s="71"/>
      <c r="AZ43" s="71"/>
      <c r="BA43" s="71">
        <f t="shared" si="21"/>
        <v>127215.94117647059</v>
      </c>
      <c r="BB43" s="71"/>
      <c r="BC43" s="71">
        <f t="shared" si="16"/>
        <v>602246</v>
      </c>
      <c r="BD43" s="71"/>
      <c r="BE43" s="80">
        <f t="shared" si="13"/>
        <v>0.13923661990196382</v>
      </c>
      <c r="BF43" s="71"/>
      <c r="BG43" s="92"/>
      <c r="BH43" s="193"/>
      <c r="BI43" s="1"/>
      <c r="BJ43">
        <f t="shared" si="11"/>
        <v>34</v>
      </c>
    </row>
    <row r="44" spans="2:62" x14ac:dyDescent="0.3">
      <c r="B44" s="181">
        <f t="shared" si="6"/>
        <v>43944</v>
      </c>
      <c r="C44" s="65"/>
      <c r="D44" s="17">
        <v>31900</v>
      </c>
      <c r="E44" s="16"/>
      <c r="F44" s="16"/>
      <c r="G44" s="16"/>
      <c r="H44" s="16">
        <f t="shared" si="18"/>
        <v>886274</v>
      </c>
      <c r="I44" s="16"/>
      <c r="J44" s="39">
        <f t="shared" si="1"/>
        <v>3.7337278522052403E-2</v>
      </c>
      <c r="K44" s="16"/>
      <c r="L44" s="16"/>
      <c r="M44" s="16"/>
      <c r="N44" s="16">
        <f t="shared" si="22"/>
        <v>25322.114285714284</v>
      </c>
      <c r="O44" s="42"/>
      <c r="P44" s="1"/>
      <c r="Q44" s="35">
        <v>2340</v>
      </c>
      <c r="R44" s="34"/>
      <c r="S44" s="34"/>
      <c r="T44" s="34"/>
      <c r="U44" s="34">
        <f t="shared" si="19"/>
        <v>50234</v>
      </c>
      <c r="V44" s="34"/>
      <c r="W44" s="47">
        <f t="shared" si="4"/>
        <v>5.6679988355745517E-2</v>
      </c>
      <c r="X44" s="34"/>
      <c r="Y44" s="34">
        <f t="shared" si="23"/>
        <v>1435.2571428571428</v>
      </c>
      <c r="Z44" s="54"/>
      <c r="AA44" s="1"/>
      <c r="AB44" s="23">
        <f t="shared" si="7"/>
        <v>1872</v>
      </c>
      <c r="AC44" s="24"/>
      <c r="AD44" s="24"/>
      <c r="AE44" s="24"/>
      <c r="AF44" s="24">
        <v>85922</v>
      </c>
      <c r="AG44" s="24"/>
      <c r="AH44" s="25">
        <f t="shared" si="8"/>
        <v>2.2272456870910173E-2</v>
      </c>
      <c r="AI44" s="25"/>
      <c r="AJ44" s="25"/>
      <c r="AK44" s="24"/>
      <c r="AL44" s="360">
        <f t="shared" si="9"/>
        <v>9.6947445146760486E-2</v>
      </c>
      <c r="AM44" s="360"/>
      <c r="AN44" s="24">
        <f t="shared" si="10"/>
        <v>2454.9142857142856</v>
      </c>
      <c r="AO44" s="370"/>
      <c r="AP44" s="1"/>
      <c r="AQ44" s="70">
        <f t="shared" si="17"/>
        <v>371362</v>
      </c>
      <c r="AR44" s="71"/>
      <c r="AS44" s="71">
        <v>4696704</v>
      </c>
      <c r="AT44" s="71"/>
      <c r="AU44" s="71">
        <f t="shared" si="12"/>
        <v>31900</v>
      </c>
      <c r="AV44" s="71"/>
      <c r="AW44" s="165">
        <f t="shared" si="20"/>
        <v>8.590001130971936E-2</v>
      </c>
      <c r="AX44" s="71"/>
      <c r="AY44" s="71"/>
      <c r="AZ44" s="71"/>
      <c r="BA44" s="71">
        <f t="shared" si="21"/>
        <v>134191.54285714286</v>
      </c>
      <c r="BB44" s="71"/>
      <c r="BC44" s="71">
        <f t="shared" si="16"/>
        <v>634146</v>
      </c>
      <c r="BD44" s="71"/>
      <c r="BE44" s="80">
        <f t="shared" si="13"/>
        <v>0.13501936677295398</v>
      </c>
      <c r="BF44" s="71"/>
      <c r="BG44" s="92"/>
      <c r="BH44" s="193"/>
      <c r="BI44" s="1"/>
      <c r="BJ44">
        <f t="shared" si="11"/>
        <v>35</v>
      </c>
    </row>
    <row r="45" spans="2:62" x14ac:dyDescent="0.3">
      <c r="B45" s="181">
        <f t="shared" si="6"/>
        <v>43945</v>
      </c>
      <c r="C45" s="65"/>
      <c r="D45" s="17">
        <v>38764</v>
      </c>
      <c r="E45" s="16"/>
      <c r="F45" s="16"/>
      <c r="G45" s="16"/>
      <c r="H45" s="16">
        <f t="shared" si="18"/>
        <v>925038</v>
      </c>
      <c r="I45" s="16"/>
      <c r="J45" s="39">
        <f t="shared" si="1"/>
        <v>4.3738166752042819E-2</v>
      </c>
      <c r="K45" s="16"/>
      <c r="L45" s="16"/>
      <c r="M45" s="16"/>
      <c r="N45" s="16">
        <f t="shared" si="22"/>
        <v>25695.5</v>
      </c>
      <c r="O45" s="42"/>
      <c r="P45" s="1"/>
      <c r="Q45" s="35">
        <v>1957</v>
      </c>
      <c r="R45" s="34"/>
      <c r="S45" s="34"/>
      <c r="T45" s="34"/>
      <c r="U45" s="34">
        <f t="shared" si="19"/>
        <v>52191</v>
      </c>
      <c r="V45" s="34"/>
      <c r="W45" s="47">
        <f t="shared" si="4"/>
        <v>5.6420384892296317E-2</v>
      </c>
      <c r="X45" s="34"/>
      <c r="Y45" s="34">
        <f t="shared" si="23"/>
        <v>1449.75</v>
      </c>
      <c r="Z45" s="54"/>
      <c r="AA45" s="1"/>
      <c r="AB45" s="23">
        <f t="shared" si="7"/>
        <v>24510</v>
      </c>
      <c r="AC45" s="24"/>
      <c r="AD45" s="24"/>
      <c r="AE45" s="24"/>
      <c r="AF45" s="24">
        <v>110432</v>
      </c>
      <c r="AG45" s="24"/>
      <c r="AH45" s="25">
        <f t="shared" si="8"/>
        <v>0.28525872302786248</v>
      </c>
      <c r="AI45" s="25"/>
      <c r="AJ45" s="25"/>
      <c r="AK45" s="24"/>
      <c r="AL45" s="360">
        <f t="shared" si="9"/>
        <v>0.11938104164369463</v>
      </c>
      <c r="AM45" s="360"/>
      <c r="AN45" s="24">
        <f t="shared" si="10"/>
        <v>3067.5555555555557</v>
      </c>
      <c r="AO45" s="370"/>
      <c r="AP45" s="1"/>
      <c r="AQ45" s="70">
        <f t="shared" si="17"/>
        <v>318898</v>
      </c>
      <c r="AR45" s="71"/>
      <c r="AS45" s="71">
        <v>5015602</v>
      </c>
      <c r="AT45" s="71"/>
      <c r="AU45" s="71">
        <f t="shared" si="12"/>
        <v>38764</v>
      </c>
      <c r="AV45" s="71"/>
      <c r="AW45" s="165">
        <f t="shared" si="20"/>
        <v>0.12155610884985167</v>
      </c>
      <c r="AX45" s="71"/>
      <c r="AY45" s="71"/>
      <c r="AZ45" s="71"/>
      <c r="BA45" s="71">
        <f t="shared" si="21"/>
        <v>139322.27777777778</v>
      </c>
      <c r="BB45" s="71"/>
      <c r="BC45" s="71">
        <f t="shared" si="16"/>
        <v>672910</v>
      </c>
      <c r="BD45" s="71"/>
      <c r="BE45" s="80">
        <f t="shared" si="13"/>
        <v>0.13416335666187229</v>
      </c>
      <c r="BF45" s="71"/>
      <c r="BG45" s="92"/>
      <c r="BH45" s="193"/>
      <c r="BI45" s="1"/>
      <c r="BJ45">
        <f t="shared" si="11"/>
        <v>36</v>
      </c>
    </row>
    <row r="46" spans="2:62" x14ac:dyDescent="0.3">
      <c r="B46" s="181">
        <f t="shared" si="6"/>
        <v>43946</v>
      </c>
      <c r="C46" s="65"/>
      <c r="D46" s="17">
        <v>35419</v>
      </c>
      <c r="E46" s="16"/>
      <c r="F46" s="16"/>
      <c r="G46" s="16"/>
      <c r="H46" s="16">
        <f>+H45+D46+194</f>
        <v>960651</v>
      </c>
      <c r="I46" s="16"/>
      <c r="J46" s="39">
        <f t="shared" si="1"/>
        <v>3.8289237847526261E-2</v>
      </c>
      <c r="K46" s="16"/>
      <c r="L46" s="16"/>
      <c r="M46" s="16"/>
      <c r="N46" s="16">
        <f t="shared" si="22"/>
        <v>25963.54054054054</v>
      </c>
      <c r="O46" s="42"/>
      <c r="P46" s="1"/>
      <c r="Q46" s="35">
        <v>2065</v>
      </c>
      <c r="R46" s="34"/>
      <c r="S46" s="34"/>
      <c r="T46" s="34"/>
      <c r="U46" s="34">
        <f t="shared" si="19"/>
        <v>54256</v>
      </c>
      <c r="V46" s="34"/>
      <c r="W46" s="47">
        <f t="shared" si="4"/>
        <v>5.6478367273859083E-2</v>
      </c>
      <c r="X46" s="34"/>
      <c r="Y46" s="34">
        <f t="shared" si="23"/>
        <v>1466.3783783783783</v>
      </c>
      <c r="Z46" s="54"/>
      <c r="AA46" s="1"/>
      <c r="AB46" s="23">
        <f t="shared" si="7"/>
        <v>7730</v>
      </c>
      <c r="AC46" s="24"/>
      <c r="AD46" s="24"/>
      <c r="AE46" s="24"/>
      <c r="AF46" s="24">
        <v>118162</v>
      </c>
      <c r="AG46" s="24"/>
      <c r="AH46" s="25">
        <f t="shared" si="8"/>
        <v>6.9997826716893655E-2</v>
      </c>
      <c r="AI46" s="25"/>
      <c r="AJ46" s="25"/>
      <c r="AK46" s="24"/>
      <c r="AL46" s="360">
        <f t="shared" si="9"/>
        <v>0.12300200593139445</v>
      </c>
      <c r="AM46" s="360"/>
      <c r="AN46" s="24">
        <f t="shared" si="10"/>
        <v>3193.5675675675675</v>
      </c>
      <c r="AO46" s="370"/>
      <c r="AP46" s="1"/>
      <c r="AQ46" s="70">
        <f t="shared" si="17"/>
        <v>263635</v>
      </c>
      <c r="AR46" s="71"/>
      <c r="AS46" s="71">
        <v>5279237</v>
      </c>
      <c r="AT46" s="71"/>
      <c r="AU46" s="71">
        <f t="shared" si="12"/>
        <v>35419</v>
      </c>
      <c r="AV46" s="71"/>
      <c r="AW46" s="165">
        <f t="shared" si="20"/>
        <v>0.13434862594116867</v>
      </c>
      <c r="AX46" s="71"/>
      <c r="AY46" s="71"/>
      <c r="AZ46" s="71"/>
      <c r="BA46" s="71">
        <f t="shared" si="21"/>
        <v>142682.08108108109</v>
      </c>
      <c r="BB46" s="71"/>
      <c r="BC46" s="71">
        <f t="shared" si="16"/>
        <v>708329</v>
      </c>
      <c r="BD46" s="71"/>
      <c r="BE46" s="80">
        <f t="shared" si="13"/>
        <v>0.13417260865537955</v>
      </c>
      <c r="BF46" s="71"/>
      <c r="BG46" s="92"/>
      <c r="BH46" s="193"/>
      <c r="BI46" s="1"/>
      <c r="BJ46">
        <f t="shared" si="11"/>
        <v>37</v>
      </c>
    </row>
    <row r="47" spans="2:62" x14ac:dyDescent="0.3">
      <c r="B47" s="181">
        <f t="shared" si="6"/>
        <v>43947</v>
      </c>
      <c r="C47" s="65"/>
      <c r="D47" s="17">
        <v>26509</v>
      </c>
      <c r="E47" s="16"/>
      <c r="F47" s="16"/>
      <c r="G47" s="16"/>
      <c r="H47" s="16">
        <f t="shared" ref="H47:H52" si="24">+H46+D47</f>
        <v>987160</v>
      </c>
      <c r="I47" s="16"/>
      <c r="J47" s="39">
        <f t="shared" si="1"/>
        <v>2.759482892330305E-2</v>
      </c>
      <c r="K47" s="16"/>
      <c r="L47" s="16"/>
      <c r="M47" s="16"/>
      <c r="N47" s="16">
        <f t="shared" si="22"/>
        <v>25977.894736842107</v>
      </c>
      <c r="O47" s="42"/>
      <c r="P47" s="1"/>
      <c r="Q47" s="35">
        <v>1156</v>
      </c>
      <c r="R47" s="34"/>
      <c r="S47" s="34"/>
      <c r="T47" s="34"/>
      <c r="U47" s="34">
        <f t="shared" si="19"/>
        <v>55412</v>
      </c>
      <c r="V47" s="34"/>
      <c r="W47" s="47">
        <f t="shared" si="4"/>
        <v>5.6132744438591516E-2</v>
      </c>
      <c r="X47" s="34"/>
      <c r="Y47" s="34">
        <f t="shared" si="23"/>
        <v>1458.2105263157894</v>
      </c>
      <c r="Z47" s="54"/>
      <c r="AA47" s="1"/>
      <c r="AB47" s="23">
        <f t="shared" si="7"/>
        <v>619</v>
      </c>
      <c r="AC47" s="24"/>
      <c r="AD47" s="24"/>
      <c r="AE47" s="24"/>
      <c r="AF47" s="24">
        <v>118781</v>
      </c>
      <c r="AG47" s="24"/>
      <c r="AH47" s="25">
        <f t="shared" si="8"/>
        <v>5.238570775714697E-3</v>
      </c>
      <c r="AI47" s="25"/>
      <c r="AJ47" s="25"/>
      <c r="AK47" s="24"/>
      <c r="AL47" s="360">
        <f t="shared" si="9"/>
        <v>0.12032598565582074</v>
      </c>
      <c r="AM47" s="360"/>
      <c r="AN47" s="24">
        <f t="shared" si="10"/>
        <v>3125.8157894736842</v>
      </c>
      <c r="AO47" s="370"/>
      <c r="AP47" s="1"/>
      <c r="AQ47" s="70">
        <f t="shared" si="17"/>
        <v>191227</v>
      </c>
      <c r="AR47" s="71"/>
      <c r="AS47" s="71">
        <v>5470464</v>
      </c>
      <c r="AT47" s="71"/>
      <c r="AU47" s="71">
        <f t="shared" si="12"/>
        <v>26509</v>
      </c>
      <c r="AV47" s="71"/>
      <c r="AW47" s="165">
        <f t="shared" si="20"/>
        <v>0.13862582166744236</v>
      </c>
      <c r="AX47" s="71"/>
      <c r="AY47" s="71"/>
      <c r="AZ47" s="71"/>
      <c r="BA47" s="71">
        <f t="shared" si="21"/>
        <v>143959.57894736843</v>
      </c>
      <c r="BB47" s="71"/>
      <c r="BC47" s="71">
        <f t="shared" si="16"/>
        <v>734838</v>
      </c>
      <c r="BD47" s="71"/>
      <c r="BE47" s="80">
        <f t="shared" si="13"/>
        <v>0.13432827635827602</v>
      </c>
      <c r="BF47" s="71"/>
      <c r="BG47" s="92"/>
      <c r="BH47" s="193"/>
      <c r="BI47" s="1"/>
      <c r="BJ47">
        <f t="shared" si="11"/>
        <v>38</v>
      </c>
    </row>
    <row r="48" spans="2:62" x14ac:dyDescent="0.3">
      <c r="B48" s="411">
        <f t="shared" si="6"/>
        <v>43948</v>
      </c>
      <c r="C48" s="65"/>
      <c r="D48" s="17">
        <v>23196</v>
      </c>
      <c r="E48" s="16"/>
      <c r="F48" s="16"/>
      <c r="G48" s="16"/>
      <c r="H48" s="16">
        <f t="shared" si="24"/>
        <v>1010356</v>
      </c>
      <c r="I48" s="16"/>
      <c r="J48" s="39">
        <f t="shared" si="1"/>
        <v>2.3497710604157382E-2</v>
      </c>
      <c r="K48" s="16"/>
      <c r="L48" s="16"/>
      <c r="M48" s="16"/>
      <c r="N48" s="16">
        <f t="shared" si="22"/>
        <v>25906.564102564102</v>
      </c>
      <c r="O48" s="42"/>
      <c r="P48" s="412"/>
      <c r="Q48" s="35">
        <f>1384-1</f>
        <v>1383</v>
      </c>
      <c r="R48" s="34"/>
      <c r="S48" s="34"/>
      <c r="T48" s="34"/>
      <c r="U48" s="34">
        <f t="shared" si="19"/>
        <v>56795</v>
      </c>
      <c r="V48" s="34"/>
      <c r="W48" s="47">
        <f t="shared" si="4"/>
        <v>5.6212859625716087E-2</v>
      </c>
      <c r="X48" s="34"/>
      <c r="Y48" s="34">
        <f t="shared" si="23"/>
        <v>1456.2820512820513</v>
      </c>
      <c r="Z48" s="54"/>
      <c r="AA48" s="412"/>
      <c r="AB48" s="23">
        <f t="shared" si="7"/>
        <v>19024</v>
      </c>
      <c r="AC48" s="24"/>
      <c r="AD48" s="24"/>
      <c r="AE48" s="24"/>
      <c r="AF48" s="24">
        <v>137805</v>
      </c>
      <c r="AG48" s="24"/>
      <c r="AH48" s="25">
        <f t="shared" si="8"/>
        <v>0.16016029499667456</v>
      </c>
      <c r="AI48" s="25"/>
      <c r="AJ48" s="25"/>
      <c r="AK48" s="24"/>
      <c r="AL48" s="360">
        <f t="shared" si="9"/>
        <v>0.13639251907248534</v>
      </c>
      <c r="AM48" s="360"/>
      <c r="AN48" s="24">
        <f t="shared" si="10"/>
        <v>3533.4615384615386</v>
      </c>
      <c r="AO48" s="370"/>
      <c r="AP48" s="412"/>
      <c r="AQ48" s="70">
        <f t="shared" si="17"/>
        <v>202776</v>
      </c>
      <c r="AR48" s="71"/>
      <c r="AS48" s="71">
        <v>5673240</v>
      </c>
      <c r="AT48" s="71"/>
      <c r="AU48" s="71">
        <f t="shared" si="12"/>
        <v>23196</v>
      </c>
      <c r="AV48" s="71"/>
      <c r="AW48" s="165">
        <f t="shared" si="20"/>
        <v>0.11439223576754645</v>
      </c>
      <c r="AX48" s="71"/>
      <c r="AY48" s="71"/>
      <c r="AZ48" s="71"/>
      <c r="BA48" s="71">
        <f t="shared" si="21"/>
        <v>145467.69230769231</v>
      </c>
      <c r="BB48" s="71"/>
      <c r="BC48" s="71">
        <f t="shared" si="16"/>
        <v>758034</v>
      </c>
      <c r="BD48" s="71"/>
      <c r="BE48" s="80">
        <f t="shared" si="13"/>
        <v>0.133615711656831</v>
      </c>
      <c r="BF48" s="71"/>
      <c r="BG48" s="92"/>
      <c r="BH48" s="193"/>
      <c r="BI48" s="1"/>
      <c r="BJ48">
        <f t="shared" si="11"/>
        <v>39</v>
      </c>
    </row>
    <row r="49" spans="2:66" x14ac:dyDescent="0.3">
      <c r="B49" s="181">
        <f t="shared" si="6"/>
        <v>43949</v>
      </c>
      <c r="C49" s="65"/>
      <c r="D49" s="17">
        <v>25409</v>
      </c>
      <c r="E49" s="16"/>
      <c r="F49" s="16"/>
      <c r="G49" s="16"/>
      <c r="H49" s="16">
        <f t="shared" si="24"/>
        <v>1035765</v>
      </c>
      <c r="I49" s="16"/>
      <c r="J49" s="39">
        <f t="shared" si="1"/>
        <v>2.5148561497135662E-2</v>
      </c>
      <c r="K49" s="16"/>
      <c r="L49" s="16"/>
      <c r="M49" s="16"/>
      <c r="N49" s="16">
        <f t="shared" si="22"/>
        <v>25894.125</v>
      </c>
      <c r="O49" s="42"/>
      <c r="P49" s="1"/>
      <c r="Q49" s="35">
        <v>2470</v>
      </c>
      <c r="R49" s="34"/>
      <c r="S49" s="34"/>
      <c r="T49" s="34"/>
      <c r="U49" s="34">
        <f t="shared" si="19"/>
        <v>59265</v>
      </c>
      <c r="V49" s="34"/>
      <c r="W49" s="47">
        <f t="shared" si="4"/>
        <v>5.7218577573098145E-2</v>
      </c>
      <c r="X49" s="34"/>
      <c r="Y49" s="34">
        <f t="shared" si="23"/>
        <v>1481.625</v>
      </c>
      <c r="Z49" s="54"/>
      <c r="AA49" s="1"/>
      <c r="AB49" s="23">
        <f t="shared" si="7"/>
        <v>4146</v>
      </c>
      <c r="AC49" s="24"/>
      <c r="AD49" s="24"/>
      <c r="AE49" s="24"/>
      <c r="AF49" s="24">
        <v>141951</v>
      </c>
      <c r="AG49" s="24"/>
      <c r="AH49" s="25">
        <f t="shared" si="8"/>
        <v>3.0085991074344183E-2</v>
      </c>
      <c r="AI49" s="25"/>
      <c r="AJ49" s="25"/>
      <c r="AK49" s="24"/>
      <c r="AL49" s="360">
        <f t="shared" si="9"/>
        <v>0.13704942723494229</v>
      </c>
      <c r="AM49" s="360"/>
      <c r="AN49" s="24">
        <f t="shared" si="10"/>
        <v>3548.7750000000001</v>
      </c>
      <c r="AO49" s="370"/>
      <c r="AP49" s="1"/>
      <c r="AQ49" s="70">
        <f t="shared" si="17"/>
        <v>187926</v>
      </c>
      <c r="AR49" s="71"/>
      <c r="AS49" s="71">
        <v>5861166</v>
      </c>
      <c r="AT49" s="71"/>
      <c r="AU49" s="71">
        <f t="shared" si="12"/>
        <v>25409</v>
      </c>
      <c r="AV49" s="71"/>
      <c r="AW49" s="165">
        <f t="shared" si="20"/>
        <v>0.13520747528282409</v>
      </c>
      <c r="AX49" s="71"/>
      <c r="AY49" s="71"/>
      <c r="AZ49" s="71"/>
      <c r="BA49" s="71">
        <f t="shared" si="21"/>
        <v>146529.15</v>
      </c>
      <c r="BB49" s="71"/>
      <c r="BC49" s="71">
        <f t="shared" si="16"/>
        <v>783443</v>
      </c>
      <c r="BD49" s="71"/>
      <c r="BE49" s="80">
        <f t="shared" si="13"/>
        <v>0.13366674822040528</v>
      </c>
      <c r="BF49" s="71"/>
      <c r="BG49" s="92"/>
      <c r="BH49" s="193"/>
      <c r="BI49" s="1"/>
      <c r="BJ49">
        <f t="shared" si="11"/>
        <v>40</v>
      </c>
    </row>
    <row r="50" spans="2:66" x14ac:dyDescent="0.3">
      <c r="B50" s="181">
        <f t="shared" si="6"/>
        <v>43950</v>
      </c>
      <c r="C50" s="65"/>
      <c r="D50" s="17">
        <v>28429</v>
      </c>
      <c r="E50" s="16"/>
      <c r="F50" s="16"/>
      <c r="G50" s="16"/>
      <c r="H50" s="16">
        <f t="shared" si="24"/>
        <v>1064194</v>
      </c>
      <c r="I50" s="16"/>
      <c r="J50" s="39">
        <f t="shared" si="1"/>
        <v>2.7447345681694206E-2</v>
      </c>
      <c r="K50" s="16"/>
      <c r="L50" s="16"/>
      <c r="M50" s="16"/>
      <c r="N50" s="16">
        <f t="shared" si="22"/>
        <v>25955.951219512193</v>
      </c>
      <c r="O50" s="42"/>
      <c r="P50" s="1"/>
      <c r="Q50" s="35">
        <v>2390</v>
      </c>
      <c r="R50" s="34"/>
      <c r="S50" s="34"/>
      <c r="T50" s="34"/>
      <c r="U50" s="34">
        <f t="shared" si="19"/>
        <v>61655</v>
      </c>
      <c r="V50" s="34"/>
      <c r="W50" s="47">
        <f t="shared" si="4"/>
        <v>5.7935865077232161E-2</v>
      </c>
      <c r="X50" s="34"/>
      <c r="Y50" s="34">
        <f t="shared" si="23"/>
        <v>1503.780487804878</v>
      </c>
      <c r="Z50" s="54"/>
      <c r="AA50" s="1"/>
      <c r="AB50" s="23">
        <f t="shared" si="7"/>
        <v>5460</v>
      </c>
      <c r="AC50" s="24"/>
      <c r="AD50" s="24"/>
      <c r="AE50" s="24"/>
      <c r="AF50" s="24">
        <v>147411</v>
      </c>
      <c r="AG50" s="24"/>
      <c r="AH50" s="25">
        <f t="shared" si="8"/>
        <v>3.8463977006150007E-2</v>
      </c>
      <c r="AI50" s="25"/>
      <c r="AJ50" s="25"/>
      <c r="AK50" s="24"/>
      <c r="AL50" s="360">
        <f t="shared" si="9"/>
        <v>0.13851891666369101</v>
      </c>
      <c r="AM50" s="360"/>
      <c r="AN50" s="24">
        <f t="shared" si="10"/>
        <v>3595.3902439024391</v>
      </c>
      <c r="AO50" s="370"/>
      <c r="AP50" s="1"/>
      <c r="AQ50" s="70">
        <f t="shared" si="17"/>
        <v>278745</v>
      </c>
      <c r="AR50" s="71"/>
      <c r="AS50" s="71">
        <v>6139911</v>
      </c>
      <c r="AT50" s="71"/>
      <c r="AU50" s="71">
        <f t="shared" si="12"/>
        <v>28429</v>
      </c>
      <c r="AV50" s="71"/>
      <c r="AW50" s="165">
        <f t="shared" si="20"/>
        <v>0.10198927335019463</v>
      </c>
      <c r="AX50" s="71"/>
      <c r="AY50" s="71"/>
      <c r="AZ50" s="71"/>
      <c r="BA50" s="71">
        <f t="shared" si="21"/>
        <v>149753.92682926828</v>
      </c>
      <c r="BB50" s="71"/>
      <c r="BC50" s="71">
        <f t="shared" si="16"/>
        <v>811872</v>
      </c>
      <c r="BD50" s="71"/>
      <c r="BE50" s="80">
        <f t="shared" si="13"/>
        <v>0.13222862676673977</v>
      </c>
      <c r="BF50" s="71"/>
      <c r="BG50" s="92"/>
      <c r="BH50" s="193"/>
      <c r="BI50" s="1"/>
      <c r="BJ50">
        <f t="shared" si="11"/>
        <v>41</v>
      </c>
    </row>
    <row r="51" spans="2:66" x14ac:dyDescent="0.3">
      <c r="B51" s="181">
        <f t="shared" si="6"/>
        <v>43951</v>
      </c>
      <c r="C51" s="65"/>
      <c r="D51" s="17">
        <v>30829</v>
      </c>
      <c r="E51" s="16"/>
      <c r="F51" s="16"/>
      <c r="G51" s="16"/>
      <c r="H51" s="16">
        <f t="shared" si="24"/>
        <v>1095023</v>
      </c>
      <c r="I51" s="16"/>
      <c r="J51" s="39">
        <f t="shared" si="1"/>
        <v>2.8969342056053688E-2</v>
      </c>
      <c r="K51" s="16"/>
      <c r="L51" s="16"/>
      <c r="M51" s="16"/>
      <c r="N51" s="16">
        <f t="shared" si="22"/>
        <v>26071.976190476191</v>
      </c>
      <c r="O51" s="42"/>
      <c r="P51" s="1"/>
      <c r="Q51" s="35">
        <v>2201</v>
      </c>
      <c r="R51" s="34"/>
      <c r="S51" s="34"/>
      <c r="T51" s="34"/>
      <c r="U51" s="34">
        <f t="shared" si="19"/>
        <v>63856</v>
      </c>
      <c r="V51" s="34"/>
      <c r="W51" s="47">
        <f t="shared" si="4"/>
        <v>5.8314756858988348E-2</v>
      </c>
      <c r="X51" s="34"/>
      <c r="Y51" s="34">
        <f t="shared" si="23"/>
        <v>1520.3809523809523</v>
      </c>
      <c r="Z51" s="54"/>
      <c r="AA51" s="1"/>
      <c r="AB51" s="23">
        <f t="shared" si="7"/>
        <v>4913</v>
      </c>
      <c r="AC51" s="24"/>
      <c r="AD51" s="24"/>
      <c r="AE51" s="24"/>
      <c r="AF51" s="24">
        <v>152324</v>
      </c>
      <c r="AG51" s="24"/>
      <c r="AH51" s="25">
        <f t="shared" si="8"/>
        <v>3.3328584705347636E-2</v>
      </c>
      <c r="AI51" s="25"/>
      <c r="AJ51" s="25"/>
      <c r="AK51" s="24"/>
      <c r="AL51" s="360">
        <f t="shared" si="9"/>
        <v>0.13910575394306787</v>
      </c>
      <c r="AM51" s="360"/>
      <c r="AN51" s="24">
        <f t="shared" si="10"/>
        <v>3626.7619047619046</v>
      </c>
      <c r="AO51" s="370"/>
      <c r="AP51" s="1"/>
      <c r="AQ51" s="70">
        <f t="shared" si="17"/>
        <v>236535</v>
      </c>
      <c r="AR51" s="71"/>
      <c r="AS51" s="71">
        <v>6376446</v>
      </c>
      <c r="AT51" s="71"/>
      <c r="AU51" s="71">
        <f t="shared" si="12"/>
        <v>30829</v>
      </c>
      <c r="AV51" s="71"/>
      <c r="AW51" s="165">
        <f t="shared" si="20"/>
        <v>0.13033589109434121</v>
      </c>
      <c r="AX51" s="71"/>
      <c r="AY51" s="71"/>
      <c r="AZ51" s="71"/>
      <c r="BA51" s="71">
        <f t="shared" si="21"/>
        <v>151820.14285714287</v>
      </c>
      <c r="BB51" s="71"/>
      <c r="BC51" s="71">
        <f t="shared" si="16"/>
        <v>842701</v>
      </c>
      <c r="BD51" s="71"/>
      <c r="BE51" s="80">
        <f t="shared" si="13"/>
        <v>0.13215841551861335</v>
      </c>
      <c r="BF51" s="71"/>
      <c r="BG51" s="92"/>
      <c r="BH51" s="193"/>
      <c r="BI51" s="1"/>
      <c r="BJ51">
        <f t="shared" si="11"/>
        <v>42</v>
      </c>
    </row>
    <row r="52" spans="2:66" x14ac:dyDescent="0.3">
      <c r="B52" s="181">
        <f t="shared" si="6"/>
        <v>43952</v>
      </c>
      <c r="C52" s="65"/>
      <c r="D52" s="17">
        <v>36007</v>
      </c>
      <c r="E52" s="16"/>
      <c r="F52" s="16"/>
      <c r="G52" s="16"/>
      <c r="H52" s="16">
        <f t="shared" si="24"/>
        <v>1131030</v>
      </c>
      <c r="I52" s="16"/>
      <c r="J52" s="39">
        <f t="shared" ref="J52" si="25">+D52/H51</f>
        <v>3.2882414341981858E-2</v>
      </c>
      <c r="K52" s="16"/>
      <c r="L52" s="16"/>
      <c r="M52" s="16"/>
      <c r="N52" s="16">
        <f t="shared" si="22"/>
        <v>26303.023255813954</v>
      </c>
      <c r="O52" s="42"/>
      <c r="P52" s="1"/>
      <c r="Q52" s="35">
        <v>1897</v>
      </c>
      <c r="R52" s="34"/>
      <c r="S52" s="34"/>
      <c r="T52" s="34"/>
      <c r="U52" s="34">
        <f t="shared" ref="U52" si="26">+U51+Q52</f>
        <v>65753</v>
      </c>
      <c r="V52" s="34"/>
      <c r="W52" s="47">
        <f t="shared" ref="W52" si="27">+U52/H52</f>
        <v>5.8135504805354413E-2</v>
      </c>
      <c r="X52" s="34"/>
      <c r="Y52" s="34">
        <f t="shared" si="23"/>
        <v>1529.1395348837209</v>
      </c>
      <c r="Z52" s="54"/>
      <c r="AA52" s="1"/>
      <c r="AB52" s="23">
        <f t="shared" ref="AB52" si="28">+AF52-AF51</f>
        <v>9239</v>
      </c>
      <c r="AC52" s="24"/>
      <c r="AD52" s="24"/>
      <c r="AE52" s="24"/>
      <c r="AF52" s="24">
        <v>161563</v>
      </c>
      <c r="AG52" s="24"/>
      <c r="AH52" s="25">
        <f t="shared" ref="AH52" si="29">+AB52/AF51</f>
        <v>6.0653606785536093E-2</v>
      </c>
      <c r="AI52" s="25"/>
      <c r="AJ52" s="25"/>
      <c r="AK52" s="24"/>
      <c r="AL52" s="360">
        <f t="shared" si="9"/>
        <v>0.14284590152339019</v>
      </c>
      <c r="AM52" s="360"/>
      <c r="AN52" s="24">
        <f t="shared" si="10"/>
        <v>3757.2790697674418</v>
      </c>
      <c r="AO52" s="370"/>
      <c r="AP52" s="1"/>
      <c r="AQ52" s="70">
        <f t="shared" ref="AQ52" si="30">+AS52-AS51</f>
        <v>323432</v>
      </c>
      <c r="AR52" s="71"/>
      <c r="AS52" s="71">
        <v>6699878</v>
      </c>
      <c r="AT52" s="71"/>
      <c r="AU52" s="71">
        <f t="shared" si="12"/>
        <v>36007</v>
      </c>
      <c r="AV52" s="71"/>
      <c r="AW52" s="165">
        <f t="shared" ref="AW52" si="31">+AU52/AQ52</f>
        <v>0.11132788344999876</v>
      </c>
      <c r="AX52" s="71"/>
      <c r="AY52" s="71"/>
      <c r="AZ52" s="71"/>
      <c r="BA52" s="71">
        <f t="shared" si="21"/>
        <v>155811.11627906977</v>
      </c>
      <c r="BB52" s="71"/>
      <c r="BC52" s="71">
        <f t="shared" ref="BC52" si="32">+BC51+AU52</f>
        <v>878708</v>
      </c>
      <c r="BD52" s="71"/>
      <c r="BE52" s="80">
        <f t="shared" si="13"/>
        <v>0.13115283591731072</v>
      </c>
      <c r="BF52" s="71"/>
      <c r="BG52" s="92"/>
      <c r="BH52" s="193"/>
      <c r="BI52" s="1"/>
      <c r="BJ52">
        <f t="shared" si="11"/>
        <v>43</v>
      </c>
    </row>
    <row r="53" spans="2:66" x14ac:dyDescent="0.3">
      <c r="B53" s="181">
        <f t="shared" si="6"/>
        <v>43953</v>
      </c>
      <c r="C53" s="65"/>
      <c r="D53" s="17">
        <v>29744</v>
      </c>
      <c r="E53" s="16"/>
      <c r="F53" s="16"/>
      <c r="G53" s="16"/>
      <c r="H53" s="16">
        <f t="shared" ref="H53" si="33">+H52+D53</f>
        <v>1160774</v>
      </c>
      <c r="I53" s="16"/>
      <c r="J53" s="39">
        <f t="shared" ref="J53" si="34">+D53/H52</f>
        <v>2.6298153010972301E-2</v>
      </c>
      <c r="K53" s="16"/>
      <c r="L53" s="16"/>
      <c r="M53" s="16"/>
      <c r="N53" s="16">
        <f t="shared" si="22"/>
        <v>26381.227272727272</v>
      </c>
      <c r="O53" s="42"/>
      <c r="P53" s="1"/>
      <c r="Q53" s="35">
        <v>1691</v>
      </c>
      <c r="R53" s="34"/>
      <c r="S53" s="34"/>
      <c r="T53" s="34"/>
      <c r="U53" s="34">
        <f t="shared" ref="U53" si="35">+U52+Q53</f>
        <v>67444</v>
      </c>
      <c r="V53" s="34"/>
      <c r="W53" s="47">
        <f t="shared" ref="W53" si="36">+U53/H53</f>
        <v>5.810261084414365E-2</v>
      </c>
      <c r="X53" s="34"/>
      <c r="Y53" s="34">
        <f t="shared" si="23"/>
        <v>1532.8181818181818</v>
      </c>
      <c r="Z53" s="54"/>
      <c r="AA53" s="1"/>
      <c r="AB53" s="23">
        <f t="shared" ref="AB53" si="37">+AF53-AF52</f>
        <v>11755</v>
      </c>
      <c r="AC53" s="24"/>
      <c r="AD53" s="24"/>
      <c r="AE53" s="24"/>
      <c r="AF53" s="24">
        <v>173318</v>
      </c>
      <c r="AG53" s="24"/>
      <c r="AH53" s="25">
        <f t="shared" ref="AH53" si="38">+AB53/AF52</f>
        <v>7.2757995333089881E-2</v>
      </c>
      <c r="AI53" s="25"/>
      <c r="AJ53" s="25"/>
      <c r="AK53" s="24"/>
      <c r="AL53" s="360">
        <f t="shared" si="9"/>
        <v>0.14931244152608519</v>
      </c>
      <c r="AM53" s="360"/>
      <c r="AN53" s="24">
        <f t="shared" si="10"/>
        <v>3939.0454545454545</v>
      </c>
      <c r="AO53" s="370"/>
      <c r="AP53" s="1"/>
      <c r="AQ53" s="70">
        <f t="shared" ref="AQ53" si="39">+AS53-AS52</f>
        <v>231254</v>
      </c>
      <c r="AR53" s="71"/>
      <c r="AS53" s="71">
        <v>6931132</v>
      </c>
      <c r="AT53" s="71"/>
      <c r="AU53" s="71">
        <f t="shared" si="12"/>
        <v>29744</v>
      </c>
      <c r="AV53" s="71"/>
      <c r="AW53" s="165">
        <f t="shared" ref="AW53" si="40">+AU53/AQ53</f>
        <v>0.12862047791605766</v>
      </c>
      <c r="AX53" s="71"/>
      <c r="AY53" s="71"/>
      <c r="AZ53" s="71"/>
      <c r="BA53" s="71">
        <f t="shared" si="21"/>
        <v>157525.72727272726</v>
      </c>
      <c r="BB53" s="71"/>
      <c r="BC53" s="71">
        <f t="shared" ref="BC53" si="41">+BC52+AU53</f>
        <v>908452</v>
      </c>
      <c r="BD53" s="71"/>
      <c r="BE53" s="80">
        <f t="shared" si="13"/>
        <v>0.13106834496875835</v>
      </c>
      <c r="BF53" s="71"/>
      <c r="BG53" s="92"/>
      <c r="BH53" s="193"/>
      <c r="BI53" s="1"/>
      <c r="BJ53">
        <f t="shared" si="11"/>
        <v>44</v>
      </c>
    </row>
    <row r="54" spans="2:66" x14ac:dyDescent="0.3">
      <c r="B54" s="181">
        <f t="shared" si="6"/>
        <v>43954</v>
      </c>
      <c r="C54" s="65"/>
      <c r="D54" s="17">
        <v>27348</v>
      </c>
      <c r="E54" s="16"/>
      <c r="F54" s="16"/>
      <c r="G54" s="16"/>
      <c r="H54" s="16">
        <f t="shared" ref="H54" si="42">+H53+D54</f>
        <v>1188122</v>
      </c>
      <c r="I54" s="16"/>
      <c r="J54" s="39">
        <f t="shared" ref="J54" si="43">+D54/H53</f>
        <v>2.356014176747584E-2</v>
      </c>
      <c r="K54" s="16"/>
      <c r="L54" s="16"/>
      <c r="M54" s="16"/>
      <c r="N54" s="16">
        <f t="shared" si="22"/>
        <v>26402.711111111112</v>
      </c>
      <c r="O54" s="42"/>
      <c r="P54" s="1"/>
      <c r="Q54" s="35">
        <v>1153</v>
      </c>
      <c r="R54" s="34"/>
      <c r="S54" s="34"/>
      <c r="T54" s="34"/>
      <c r="U54" s="34">
        <f t="shared" ref="U54" si="44">+U53+Q54</f>
        <v>68597</v>
      </c>
      <c r="V54" s="34"/>
      <c r="W54" s="47">
        <f t="shared" ref="W54" si="45">+U54/H54</f>
        <v>5.7735653409330019E-2</v>
      </c>
      <c r="X54" s="34"/>
      <c r="Y54" s="34">
        <f t="shared" si="23"/>
        <v>1524.3777777777777</v>
      </c>
      <c r="Z54" s="54"/>
      <c r="AA54" s="10"/>
      <c r="AB54" s="23">
        <f t="shared" ref="AB54" si="46">+AF54-AF53</f>
        <v>4945</v>
      </c>
      <c r="AC54" s="24"/>
      <c r="AD54" s="24"/>
      <c r="AE54" s="24">
        <v>178263</v>
      </c>
      <c r="AF54" s="24">
        <v>178263</v>
      </c>
      <c r="AG54" s="24"/>
      <c r="AH54" s="25">
        <f t="shared" ref="AH54" si="47">+AB54/AF53</f>
        <v>2.8531370082738088E-2</v>
      </c>
      <c r="AI54" s="25"/>
      <c r="AJ54" s="25"/>
      <c r="AK54" s="24"/>
      <c r="AL54" s="360">
        <f t="shared" si="9"/>
        <v>0.15003762239904656</v>
      </c>
      <c r="AM54" s="360"/>
      <c r="AN54" s="24">
        <f t="shared" si="10"/>
        <v>3961.4</v>
      </c>
      <c r="AO54" s="370"/>
      <c r="AP54" s="1"/>
      <c r="AQ54" s="70">
        <f t="shared" ref="AQ54" si="48">+AS54-AS53</f>
        <v>265608</v>
      </c>
      <c r="AR54" s="71"/>
      <c r="AS54" s="71">
        <v>7196740</v>
      </c>
      <c r="AT54" s="71"/>
      <c r="AU54" s="71">
        <f t="shared" si="12"/>
        <v>27348</v>
      </c>
      <c r="AV54" s="71"/>
      <c r="AW54" s="165">
        <f t="shared" ref="AW54" si="49">+AU54/AQ54</f>
        <v>0.10296376615162194</v>
      </c>
      <c r="AX54" s="71"/>
      <c r="AY54" s="71"/>
      <c r="AZ54" s="71"/>
      <c r="BA54" s="71">
        <f t="shared" si="21"/>
        <v>159927.55555555556</v>
      </c>
      <c r="BB54" s="71"/>
      <c r="BC54" s="71">
        <f t="shared" ref="BC54" si="50">+BC53+AU54</f>
        <v>935800</v>
      </c>
      <c r="BD54" s="71"/>
      <c r="BE54" s="80">
        <f t="shared" si="13"/>
        <v>0.13003109741355112</v>
      </c>
      <c r="BF54" s="71"/>
      <c r="BG54" s="92"/>
      <c r="BH54" s="193"/>
      <c r="BI54" s="1"/>
      <c r="BJ54">
        <f t="shared" si="11"/>
        <v>45</v>
      </c>
    </row>
    <row r="55" spans="2:66" x14ac:dyDescent="0.3">
      <c r="B55" s="411">
        <f t="shared" si="6"/>
        <v>43955</v>
      </c>
      <c r="C55" s="65"/>
      <c r="D55" s="17">
        <v>24713</v>
      </c>
      <c r="E55" s="16"/>
      <c r="F55" s="16"/>
      <c r="G55" s="16"/>
      <c r="H55" s="16">
        <f t="shared" ref="H55" si="51">+H54+D55</f>
        <v>1212835</v>
      </c>
      <c r="I55" s="16"/>
      <c r="J55" s="39">
        <f t="shared" ref="J55" si="52">+D55/H54</f>
        <v>2.0800052519859072E-2</v>
      </c>
      <c r="K55" s="16"/>
      <c r="L55" s="16"/>
      <c r="M55" s="16"/>
      <c r="N55" s="16">
        <f t="shared" si="22"/>
        <v>26365.978260869564</v>
      </c>
      <c r="O55" s="42"/>
      <c r="P55" s="412"/>
      <c r="Q55" s="35">
        <v>1324</v>
      </c>
      <c r="R55" s="34"/>
      <c r="S55" s="34"/>
      <c r="T55" s="34"/>
      <c r="U55" s="34">
        <f t="shared" ref="U55" si="53">+U54+Q55</f>
        <v>69921</v>
      </c>
      <c r="V55" s="34"/>
      <c r="W55" s="47">
        <f t="shared" ref="W55" si="54">+U55/H55</f>
        <v>5.7650875840489432E-2</v>
      </c>
      <c r="X55" s="34"/>
      <c r="Y55" s="34">
        <f t="shared" si="23"/>
        <v>1520.0217391304348</v>
      </c>
      <c r="Z55" s="54"/>
      <c r="AA55" s="412"/>
      <c r="AB55" s="23">
        <f t="shared" ref="AB55" si="55">+AF55-AF54</f>
        <v>9764</v>
      </c>
      <c r="AC55" s="24"/>
      <c r="AD55" s="24"/>
      <c r="AE55" s="24">
        <v>178263</v>
      </c>
      <c r="AF55" s="24">
        <v>188027</v>
      </c>
      <c r="AG55" s="24"/>
      <c r="AH55" s="25">
        <f t="shared" ref="AH55" si="56">+AB55/AF54</f>
        <v>5.4773003932392025E-2</v>
      </c>
      <c r="AI55" s="25"/>
      <c r="AJ55" s="25"/>
      <c r="AK55" s="24"/>
      <c r="AL55" s="360">
        <f t="shared" si="9"/>
        <v>0.15503098113098648</v>
      </c>
      <c r="AM55" s="360"/>
      <c r="AN55" s="24">
        <f t="shared" si="10"/>
        <v>4087.5434782608695</v>
      </c>
      <c r="AO55" s="370"/>
      <c r="AP55" s="412"/>
      <c r="AQ55" s="70">
        <f t="shared" ref="AQ55" si="57">+AS55-AS54</f>
        <v>265691</v>
      </c>
      <c r="AR55" s="71"/>
      <c r="AS55" s="71">
        <v>7462431</v>
      </c>
      <c r="AT55" s="71"/>
      <c r="AU55" s="71">
        <f t="shared" si="12"/>
        <v>24713</v>
      </c>
      <c r="AV55" s="71"/>
      <c r="AW55" s="165">
        <f t="shared" ref="AW55" si="58">+AU55/AQ55</f>
        <v>9.3014065211091082E-2</v>
      </c>
      <c r="AX55" s="71"/>
      <c r="AY55" s="71"/>
      <c r="AZ55" s="71"/>
      <c r="BA55" s="71">
        <f t="shared" si="21"/>
        <v>162226.76086956522</v>
      </c>
      <c r="BB55" s="71"/>
      <c r="BC55" s="71">
        <f t="shared" ref="BC55" si="59">+BC54+AU55</f>
        <v>960513</v>
      </c>
      <c r="BD55" s="71"/>
      <c r="BE55" s="80">
        <f t="shared" si="13"/>
        <v>0.12871314991053184</v>
      </c>
      <c r="BF55" s="71"/>
      <c r="BG55" s="92"/>
      <c r="BH55" s="193"/>
      <c r="BI55" s="1"/>
      <c r="BJ55">
        <f t="shared" si="11"/>
        <v>46</v>
      </c>
    </row>
    <row r="56" spans="2:66" x14ac:dyDescent="0.3">
      <c r="B56" s="181">
        <f t="shared" si="6"/>
        <v>43956</v>
      </c>
      <c r="C56" s="65"/>
      <c r="D56" s="17">
        <v>24798</v>
      </c>
      <c r="E56" s="16"/>
      <c r="F56" s="16"/>
      <c r="G56" s="16"/>
      <c r="H56" s="16">
        <f t="shared" ref="H56" si="60">+H55+D56</f>
        <v>1237633</v>
      </c>
      <c r="I56" s="16"/>
      <c r="J56" s="39">
        <f t="shared" ref="J56" si="61">+D56/H55</f>
        <v>2.0446309679387549E-2</v>
      </c>
      <c r="K56" s="16"/>
      <c r="L56" s="16"/>
      <c r="M56" s="16"/>
      <c r="N56" s="16">
        <f t="shared" si="22"/>
        <v>26332.617021276597</v>
      </c>
      <c r="O56" s="42"/>
      <c r="P56" s="1"/>
      <c r="Q56" s="35">
        <v>2350</v>
      </c>
      <c r="R56" s="34"/>
      <c r="S56" s="34"/>
      <c r="T56" s="34"/>
      <c r="U56" s="34">
        <f t="shared" ref="U56" si="62">+U55+Q56</f>
        <v>72271</v>
      </c>
      <c r="V56" s="34"/>
      <c r="W56" s="47">
        <f t="shared" ref="W56" si="63">+U56/H56</f>
        <v>5.839453214321208E-2</v>
      </c>
      <c r="X56" s="34"/>
      <c r="Y56" s="34">
        <f t="shared" si="23"/>
        <v>1537.6808510638298</v>
      </c>
      <c r="Z56" s="54"/>
      <c r="AA56" s="1"/>
      <c r="AB56" s="23">
        <f t="shared" ref="AB56" si="64">+AF56-AF55</f>
        <v>12599</v>
      </c>
      <c r="AC56" s="24"/>
      <c r="AD56" s="24"/>
      <c r="AE56" s="24">
        <v>178263</v>
      </c>
      <c r="AF56" s="24">
        <v>200626</v>
      </c>
      <c r="AG56" s="24"/>
      <c r="AH56" s="25">
        <f t="shared" ref="AH56" si="65">+AB56/AF55</f>
        <v>6.7006334196684517E-2</v>
      </c>
      <c r="AI56" s="25"/>
      <c r="AJ56" s="25"/>
      <c r="AK56" s="24"/>
      <c r="AL56" s="360">
        <f t="shared" si="9"/>
        <v>0.16210459805128014</v>
      </c>
      <c r="AM56" s="360"/>
      <c r="AN56" s="24">
        <f t="shared" si="10"/>
        <v>4268.6382978723404</v>
      </c>
      <c r="AO56" s="370"/>
      <c r="AP56" s="1"/>
      <c r="AQ56" s="70">
        <f t="shared" ref="AQ56" si="66">+AS56-AS55</f>
        <v>265380</v>
      </c>
      <c r="AR56" s="71"/>
      <c r="AS56" s="71">
        <v>7727811</v>
      </c>
      <c r="AT56" s="71"/>
      <c r="AU56" s="71">
        <f t="shared" si="12"/>
        <v>24798</v>
      </c>
      <c r="AV56" s="71"/>
      <c r="AW56" s="165">
        <f t="shared" ref="AW56" si="67">+AU56/AQ56</f>
        <v>9.344336423242143E-2</v>
      </c>
      <c r="AX56" s="71"/>
      <c r="AY56" s="71"/>
      <c r="AZ56" s="71"/>
      <c r="BA56" s="71">
        <f t="shared" si="21"/>
        <v>164421.51063829788</v>
      </c>
      <c r="BB56" s="71"/>
      <c r="BC56" s="71">
        <f t="shared" ref="BC56" si="68">+BC55+AU56</f>
        <v>985311</v>
      </c>
      <c r="BD56" s="71"/>
      <c r="BE56" s="80">
        <f t="shared" si="13"/>
        <v>0.12750195365802813</v>
      </c>
      <c r="BF56" s="71"/>
      <c r="BG56" s="92"/>
      <c r="BH56" s="193"/>
      <c r="BI56" s="1"/>
      <c r="BJ56">
        <f t="shared" si="11"/>
        <v>47</v>
      </c>
    </row>
    <row r="57" spans="2:66" x14ac:dyDescent="0.3">
      <c r="B57" s="181">
        <f t="shared" si="6"/>
        <v>43957</v>
      </c>
      <c r="C57" s="65"/>
      <c r="D57" s="17">
        <v>25459</v>
      </c>
      <c r="E57" s="16"/>
      <c r="F57" s="16"/>
      <c r="G57" s="16"/>
      <c r="H57" s="16">
        <f t="shared" ref="H57" si="69">+H56+D57</f>
        <v>1263092</v>
      </c>
      <c r="I57" s="16"/>
      <c r="J57" s="39">
        <f t="shared" ref="J57" si="70">+D57/H56</f>
        <v>2.0570718460157414E-2</v>
      </c>
      <c r="K57" s="16"/>
      <c r="L57" s="16"/>
      <c r="M57" s="16"/>
      <c r="N57" s="16">
        <f t="shared" si="22"/>
        <v>26314.416666666668</v>
      </c>
      <c r="O57" s="42"/>
      <c r="P57" s="1"/>
      <c r="Q57" s="35">
        <v>2528</v>
      </c>
      <c r="R57" s="34"/>
      <c r="S57" s="34"/>
      <c r="T57" s="34"/>
      <c r="U57" s="34">
        <f t="shared" ref="U57" si="71">+U56+Q57</f>
        <v>74799</v>
      </c>
      <c r="V57" s="34"/>
      <c r="W57" s="47">
        <f t="shared" ref="W57" si="72">+U57/H57</f>
        <v>5.921896425596869E-2</v>
      </c>
      <c r="X57" s="34"/>
      <c r="Y57" s="34">
        <f t="shared" si="23"/>
        <v>1558.3125</v>
      </c>
      <c r="Z57" s="54"/>
      <c r="AA57" s="1"/>
      <c r="AB57" s="23">
        <f t="shared" ref="AB57" si="73">+AF57-AF56</f>
        <v>5682</v>
      </c>
      <c r="AC57" s="24"/>
      <c r="AD57" s="24"/>
      <c r="AE57" s="24">
        <v>178263</v>
      </c>
      <c r="AF57" s="24">
        <v>206308</v>
      </c>
      <c r="AG57" s="24"/>
      <c r="AH57" s="25">
        <f t="shared" ref="AH57" si="74">+AB57/AF56</f>
        <v>2.8321354161474584E-2</v>
      </c>
      <c r="AI57" s="25"/>
      <c r="AJ57" s="25"/>
      <c r="AK57" s="24"/>
      <c r="AL57" s="360">
        <f t="shared" si="9"/>
        <v>0.16333568734502316</v>
      </c>
      <c r="AM57" s="360"/>
      <c r="AN57" s="24">
        <f t="shared" si="10"/>
        <v>4298.083333333333</v>
      </c>
      <c r="AO57" s="370"/>
      <c r="AP57" s="1"/>
      <c r="AQ57" s="70">
        <f t="shared" ref="AQ57" si="75">+AS57-AS56</f>
        <v>244534</v>
      </c>
      <c r="AR57" s="71"/>
      <c r="AS57" s="71">
        <v>7972345</v>
      </c>
      <c r="AT57" s="71"/>
      <c r="AU57" s="71">
        <f t="shared" si="12"/>
        <v>25459</v>
      </c>
      <c r="AV57" s="71"/>
      <c r="AW57" s="165">
        <f t="shared" ref="AW57" si="76">+AU57/AQ57</f>
        <v>0.10411231158039373</v>
      </c>
      <c r="AX57" s="71"/>
      <c r="AY57" s="71"/>
      <c r="AZ57" s="71"/>
      <c r="BA57" s="71">
        <f t="shared" si="21"/>
        <v>166090.52083333334</v>
      </c>
      <c r="BB57" s="71"/>
      <c r="BC57" s="71">
        <f t="shared" ref="BC57" si="77">+BC56+AU57</f>
        <v>1010770</v>
      </c>
      <c r="BD57" s="71"/>
      <c r="BE57" s="80">
        <f t="shared" si="13"/>
        <v>0.12678452826615005</v>
      </c>
      <c r="BF57" s="71"/>
      <c r="BG57" s="92"/>
      <c r="BH57" s="193"/>
      <c r="BI57" s="1"/>
      <c r="BJ57">
        <f t="shared" si="11"/>
        <v>48</v>
      </c>
    </row>
    <row r="58" spans="2:66" x14ac:dyDescent="0.3">
      <c r="B58" s="181">
        <f t="shared" si="6"/>
        <v>43958</v>
      </c>
      <c r="C58" s="65"/>
      <c r="D58" s="17">
        <v>29531</v>
      </c>
      <c r="E58" s="16"/>
      <c r="F58" s="16"/>
      <c r="G58" s="16"/>
      <c r="H58" s="16">
        <f t="shared" ref="H58" si="78">+H57+D58</f>
        <v>1292623</v>
      </c>
      <c r="I58" s="16"/>
      <c r="J58" s="39">
        <f t="shared" ref="J58" si="79">+D58/H57</f>
        <v>2.3379927986243283E-2</v>
      </c>
      <c r="K58" s="16"/>
      <c r="L58" s="16"/>
      <c r="M58" s="16"/>
      <c r="N58" s="16">
        <f t="shared" si="22"/>
        <v>26380.061224489797</v>
      </c>
      <c r="O58" s="42"/>
      <c r="P58" s="1"/>
      <c r="Q58" s="35">
        <v>2129</v>
      </c>
      <c r="R58" s="34"/>
      <c r="S58" s="34"/>
      <c r="T58" s="34"/>
      <c r="U58" s="34">
        <f t="shared" ref="U58" si="80">+U57+Q58</f>
        <v>76928</v>
      </c>
      <c r="V58" s="34"/>
      <c r="W58" s="47">
        <f t="shared" ref="W58" si="81">+U58/H58</f>
        <v>5.9513098560059659E-2</v>
      </c>
      <c r="X58" s="34"/>
      <c r="Y58" s="34">
        <f t="shared" si="23"/>
        <v>1569.9591836734694</v>
      </c>
      <c r="Z58" s="54"/>
      <c r="AA58" s="1"/>
      <c r="AB58" s="23">
        <f t="shared" ref="AB58" si="82">+AF58-AF57</f>
        <v>10942</v>
      </c>
      <c r="AC58" s="24"/>
      <c r="AD58" s="24"/>
      <c r="AE58" s="24">
        <v>178263</v>
      </c>
      <c r="AF58" s="24">
        <v>217250</v>
      </c>
      <c r="AG58" s="24"/>
      <c r="AH58" s="25">
        <f t="shared" ref="AH58" si="83">+AB58/AF57</f>
        <v>5.3037206506776277E-2</v>
      </c>
      <c r="AI58" s="25"/>
      <c r="AJ58" s="25"/>
      <c r="AK58" s="24"/>
      <c r="AL58" s="360">
        <f t="shared" si="9"/>
        <v>0.16806911218506865</v>
      </c>
      <c r="AM58" s="360"/>
      <c r="AN58" s="24">
        <f t="shared" si="10"/>
        <v>4433.6734693877552</v>
      </c>
      <c r="AO58" s="370"/>
      <c r="AP58" s="1"/>
      <c r="AQ58" s="70">
        <f t="shared" ref="AQ58" si="84">+AS58-AS57</f>
        <v>325217</v>
      </c>
      <c r="AR58" s="71"/>
      <c r="AS58" s="71">
        <v>8297562</v>
      </c>
      <c r="AT58" s="71"/>
      <c r="AU58" s="71">
        <f t="shared" si="12"/>
        <v>29531</v>
      </c>
      <c r="AV58" s="71"/>
      <c r="AW58" s="165">
        <f t="shared" ref="AW58" si="85">+AU58/AQ58</f>
        <v>9.0803986261480799E-2</v>
      </c>
      <c r="AX58" s="71"/>
      <c r="AY58" s="71"/>
      <c r="AZ58" s="71"/>
      <c r="BA58" s="71">
        <f t="shared" si="21"/>
        <v>169338</v>
      </c>
      <c r="BB58" s="71"/>
      <c r="BC58" s="71">
        <f t="shared" ref="BC58" si="86">+BC57+AU58</f>
        <v>1040301</v>
      </c>
      <c r="BD58" s="71"/>
      <c r="BE58" s="80">
        <f t="shared" si="13"/>
        <v>0.12537429669100394</v>
      </c>
      <c r="BF58" s="71"/>
      <c r="BG58" s="92"/>
      <c r="BH58" s="193"/>
      <c r="BI58" s="1"/>
      <c r="BJ58">
        <f t="shared" si="11"/>
        <v>49</v>
      </c>
      <c r="BL58" s="1"/>
      <c r="BN58" s="1"/>
    </row>
    <row r="59" spans="2:66" x14ac:dyDescent="0.3">
      <c r="B59" s="181">
        <f t="shared" si="6"/>
        <v>43959</v>
      </c>
      <c r="C59" s="65"/>
      <c r="D59" s="17">
        <v>29162</v>
      </c>
      <c r="E59" s="16"/>
      <c r="F59" s="16"/>
      <c r="G59" s="16"/>
      <c r="H59" s="16">
        <f t="shared" ref="H59" si="87">+H58+D59</f>
        <v>1321785</v>
      </c>
      <c r="I59" s="16"/>
      <c r="J59" s="39">
        <f t="shared" ref="J59" si="88">+D59/H58</f>
        <v>2.256032888166155E-2</v>
      </c>
      <c r="K59" s="16"/>
      <c r="L59" s="16"/>
      <c r="M59" s="16"/>
      <c r="N59" s="16">
        <f t="shared" si="22"/>
        <v>26435.7</v>
      </c>
      <c r="O59" s="42"/>
      <c r="P59" s="1"/>
      <c r="Q59" s="35">
        <v>1687</v>
      </c>
      <c r="R59" s="34"/>
      <c r="S59" s="34"/>
      <c r="T59" s="34"/>
      <c r="U59" s="34">
        <f t="shared" ref="U59" si="89">+U58+Q59</f>
        <v>78615</v>
      </c>
      <c r="V59" s="34"/>
      <c r="W59" s="47">
        <f t="shared" ref="W59" si="90">+U59/H59</f>
        <v>5.9476389881864294E-2</v>
      </c>
      <c r="X59" s="34"/>
      <c r="Y59" s="34">
        <f t="shared" si="23"/>
        <v>1572.3</v>
      </c>
      <c r="Z59" s="54"/>
      <c r="AA59" s="1"/>
      <c r="AB59" s="23">
        <f t="shared" ref="AB59" si="91">+AF59-AF58</f>
        <v>6110</v>
      </c>
      <c r="AC59" s="24"/>
      <c r="AD59" s="24"/>
      <c r="AE59" s="24">
        <v>178263</v>
      </c>
      <c r="AF59" s="24">
        <v>223360</v>
      </c>
      <c r="AG59" s="24"/>
      <c r="AH59" s="25">
        <f t="shared" ref="AH59" si="92">+AB59/AF58</f>
        <v>2.8124280782508632E-2</v>
      </c>
      <c r="AI59" s="25"/>
      <c r="AJ59" s="25"/>
      <c r="AK59" s="24"/>
      <c r="AL59" s="360">
        <f t="shared" si="9"/>
        <v>0.16898360928592773</v>
      </c>
      <c r="AM59" s="360"/>
      <c r="AN59" s="24">
        <f t="shared" si="10"/>
        <v>4467.2</v>
      </c>
      <c r="AO59" s="370" t="e">
        <f>+AG59/BK59</f>
        <v>#DIV/0!</v>
      </c>
      <c r="AP59" s="1"/>
      <c r="AQ59" s="70">
        <f t="shared" ref="AQ59" si="93">+AS59-AS58</f>
        <v>338873</v>
      </c>
      <c r="AR59" s="71"/>
      <c r="AS59" s="71">
        <v>8636435</v>
      </c>
      <c r="AT59" s="71"/>
      <c r="AU59" s="71">
        <f t="shared" si="12"/>
        <v>29162</v>
      </c>
      <c r="AV59" s="71"/>
      <c r="AW59" s="165">
        <f t="shared" ref="AW59" si="94">+AU59/AQ59</f>
        <v>8.6055838027815731E-2</v>
      </c>
      <c r="AX59" s="71"/>
      <c r="AY59" s="71"/>
      <c r="AZ59" s="71"/>
      <c r="BA59" s="71">
        <f t="shared" si="21"/>
        <v>172728.7</v>
      </c>
      <c r="BB59" s="71"/>
      <c r="BC59" s="71">
        <f t="shared" ref="BC59" si="95">+BC58+AU59</f>
        <v>1069463</v>
      </c>
      <c r="BD59" s="71"/>
      <c r="BE59" s="80">
        <f t="shared" si="13"/>
        <v>0.12383153465521364</v>
      </c>
      <c r="BF59" s="71"/>
      <c r="BG59" s="92"/>
      <c r="BH59" s="193"/>
      <c r="BI59" s="1"/>
      <c r="BJ59">
        <f t="shared" si="11"/>
        <v>50</v>
      </c>
    </row>
    <row r="60" spans="2:66" x14ac:dyDescent="0.3">
      <c r="B60" s="181">
        <f t="shared" si="6"/>
        <v>43960</v>
      </c>
      <c r="C60" s="65"/>
      <c r="D60" s="17">
        <v>25524</v>
      </c>
      <c r="E60" s="16"/>
      <c r="F60" s="16"/>
      <c r="G60" s="16"/>
      <c r="H60" s="16">
        <f t="shared" ref="H60" si="96">+H59+D60</f>
        <v>1347309</v>
      </c>
      <c r="I60" s="16"/>
      <c r="J60" s="39">
        <f t="shared" ref="J60" si="97">+D60/H59</f>
        <v>1.9310250910700304E-2</v>
      </c>
      <c r="K60" s="16"/>
      <c r="L60" s="16"/>
      <c r="M60" s="16"/>
      <c r="N60" s="16">
        <f t="shared" ref="N60" si="98">+H60/BJ60</f>
        <v>26417.823529411766</v>
      </c>
      <c r="O60" s="42"/>
      <c r="P60" s="1"/>
      <c r="Q60" s="35">
        <v>1422</v>
      </c>
      <c r="R60" s="34"/>
      <c r="S60" s="34"/>
      <c r="T60" s="34"/>
      <c r="U60" s="34">
        <f t="shared" ref="U60" si="99">+U59+Q60</f>
        <v>80037</v>
      </c>
      <c r="V60" s="34"/>
      <c r="W60" s="47">
        <f t="shared" ref="W60" si="100">+U60/H60</f>
        <v>5.9405080794383468E-2</v>
      </c>
      <c r="X60" s="34"/>
      <c r="Y60" s="34">
        <f t="shared" ref="Y60" si="101">+U60/BJ60</f>
        <v>1569.3529411764705</v>
      </c>
      <c r="Z60" s="54"/>
      <c r="AA60" s="1"/>
      <c r="AB60" s="23">
        <f t="shared" ref="AB60" si="102">+AF60-AF59</f>
        <v>14718</v>
      </c>
      <c r="AC60" s="24"/>
      <c r="AD60" s="24"/>
      <c r="AE60" s="24">
        <v>178263</v>
      </c>
      <c r="AF60" s="24">
        <v>238078</v>
      </c>
      <c r="AG60" s="24"/>
      <c r="AH60" s="25">
        <f t="shared" ref="AH60" si="103">+AB60/AF59</f>
        <v>6.5893624641833806E-2</v>
      </c>
      <c r="AI60" s="25"/>
      <c r="AJ60" s="25"/>
      <c r="AK60" s="24"/>
      <c r="AL60" s="360">
        <f t="shared" ref="AL60" si="104">+AF60/H60</f>
        <v>0.17670630864931505</v>
      </c>
      <c r="AM60" s="360"/>
      <c r="AN60" s="24">
        <f t="shared" ref="AN60" si="105">+AF60/BJ60</f>
        <v>4668.1960784313724</v>
      </c>
      <c r="AO60" s="370" t="e">
        <f>+AG60/BK60</f>
        <v>#DIV/0!</v>
      </c>
      <c r="AP60" s="1"/>
      <c r="AQ60" s="70">
        <f t="shared" ref="AQ60" si="106">+AS60-AS59</f>
        <v>281828</v>
      </c>
      <c r="AR60" s="71"/>
      <c r="AS60" s="71">
        <v>8918263</v>
      </c>
      <c r="AT60" s="71"/>
      <c r="AU60" s="71">
        <f t="shared" ref="AU60" si="107">+D60</f>
        <v>25524</v>
      </c>
      <c r="AV60" s="71"/>
      <c r="AW60" s="165">
        <f t="shared" ref="AW60" si="108">+AU60/AQ60</f>
        <v>9.0565877059766944E-2</v>
      </c>
      <c r="AX60" s="71"/>
      <c r="AY60" s="71"/>
      <c r="AZ60" s="71"/>
      <c r="BA60" s="71">
        <f t="shared" ref="BA60" si="109">+AS60/BJ60</f>
        <v>174867.90196078431</v>
      </c>
      <c r="BB60" s="71"/>
      <c r="BC60" s="71">
        <f t="shared" ref="BC60" si="110">+BC59+AU60</f>
        <v>1094987</v>
      </c>
      <c r="BD60" s="71"/>
      <c r="BE60" s="80">
        <f t="shared" ref="BE60" si="111">+BC60/AS60</f>
        <v>0.12278029925782633</v>
      </c>
      <c r="BF60" s="71"/>
      <c r="BG60" s="92"/>
      <c r="BH60" s="193"/>
      <c r="BI60" s="1"/>
      <c r="BJ60">
        <f t="shared" si="11"/>
        <v>51</v>
      </c>
    </row>
    <row r="61" spans="2:66" x14ac:dyDescent="0.3">
      <c r="B61" s="181">
        <f t="shared" si="6"/>
        <v>43961</v>
      </c>
      <c r="C61" s="65"/>
      <c r="D61" s="17">
        <v>20329</v>
      </c>
      <c r="E61" s="16"/>
      <c r="F61" s="16"/>
      <c r="G61" s="16"/>
      <c r="H61" s="16">
        <f t="shared" ref="H61" si="112">+H60+D61</f>
        <v>1367638</v>
      </c>
      <c r="I61" s="16"/>
      <c r="J61" s="39">
        <f t="shared" ref="J61" si="113">+D61/H60</f>
        <v>1.508859511812064E-2</v>
      </c>
      <c r="K61" s="16"/>
      <c r="L61" s="16"/>
      <c r="M61" s="16"/>
      <c r="N61" s="16">
        <f t="shared" ref="N61" si="114">+H61/BJ61</f>
        <v>26300.73076923077</v>
      </c>
      <c r="O61" s="42"/>
      <c r="P61" s="1"/>
      <c r="Q61" s="35">
        <v>750</v>
      </c>
      <c r="R61" s="34"/>
      <c r="S61" s="34"/>
      <c r="T61" s="34"/>
      <c r="U61" s="34">
        <f t="shared" ref="U61" si="115">+U60+Q61</f>
        <v>80787</v>
      </c>
      <c r="V61" s="34"/>
      <c r="W61" s="47">
        <f t="shared" ref="W61" si="116">+U61/H61</f>
        <v>5.9070455778502791E-2</v>
      </c>
      <c r="X61" s="34"/>
      <c r="Y61" s="34">
        <f t="shared" ref="Y61" si="117">+U61/BJ61</f>
        <v>1553.5961538461538</v>
      </c>
      <c r="Z61" s="54"/>
      <c r="AA61" s="1"/>
      <c r="AB61" s="23">
        <f t="shared" ref="AB61" si="118">+AF61-AF60</f>
        <v>18258</v>
      </c>
      <c r="AC61" s="24"/>
      <c r="AD61" s="24"/>
      <c r="AE61" s="24">
        <v>178263</v>
      </c>
      <c r="AF61" s="24">
        <v>256336</v>
      </c>
      <c r="AG61" s="24"/>
      <c r="AH61" s="25">
        <f t="shared" ref="AH61" si="119">+AB61/AF60</f>
        <v>7.6689152294626126E-2</v>
      </c>
      <c r="AI61" s="25"/>
      <c r="AJ61" s="25"/>
      <c r="AK61" s="24"/>
      <c r="AL61" s="360">
        <f t="shared" ref="AL61" si="120">+AF61/H61</f>
        <v>0.18742971458821706</v>
      </c>
      <c r="AM61" s="360"/>
      <c r="AN61" s="24">
        <f t="shared" ref="AN61" si="121">+AF61/BJ61</f>
        <v>4929.5384615384619</v>
      </c>
      <c r="AO61" s="370" t="e">
        <f>+AG61/BK61</f>
        <v>#DIV/0!</v>
      </c>
      <c r="AP61" s="1"/>
      <c r="AQ61" s="70">
        <f t="shared" ref="AQ61" si="122">+AS61-AS60</f>
        <v>526262</v>
      </c>
      <c r="AR61" s="71"/>
      <c r="AS61" s="71">
        <v>9444525</v>
      </c>
      <c r="AT61" s="71"/>
      <c r="AU61" s="71">
        <f t="shared" ref="AU61" si="123">+D61</f>
        <v>20329</v>
      </c>
      <c r="AV61" s="71"/>
      <c r="AW61" s="165">
        <f t="shared" ref="AW61" si="124">+AU61/AQ61</f>
        <v>3.8629047888694222E-2</v>
      </c>
      <c r="AX61" s="71"/>
      <c r="AY61" s="71"/>
      <c r="AZ61" s="71"/>
      <c r="BA61" s="71">
        <f t="shared" ref="BA61" si="125">+AS61/BJ61</f>
        <v>181625.48076923078</v>
      </c>
      <c r="BB61" s="71"/>
      <c r="BC61" s="71">
        <f t="shared" ref="BC61" si="126">+BC60+AU61</f>
        <v>1115316</v>
      </c>
      <c r="BD61" s="71"/>
      <c r="BE61" s="80">
        <f t="shared" ref="BE61" si="127">+BC61/AS61</f>
        <v>0.11809127510383</v>
      </c>
      <c r="BF61" s="71"/>
      <c r="BG61" s="92"/>
      <c r="BH61" s="193"/>
      <c r="BI61" s="1"/>
      <c r="BJ61">
        <f t="shared" si="11"/>
        <v>52</v>
      </c>
    </row>
    <row r="62" spans="2:66" x14ac:dyDescent="0.3">
      <c r="B62" s="181">
        <f t="shared" si="6"/>
        <v>43962</v>
      </c>
      <c r="C62" s="65"/>
      <c r="D62" s="17">
        <v>18196</v>
      </c>
      <c r="E62" s="16"/>
      <c r="F62" s="16"/>
      <c r="G62" s="16"/>
      <c r="H62" s="16">
        <f t="shared" ref="H62" si="128">+H61+D62</f>
        <v>1385834</v>
      </c>
      <c r="I62" s="16"/>
      <c r="J62" s="39">
        <f t="shared" ref="J62" si="129">+D62/H61</f>
        <v>1.3304690276228066E-2</v>
      </c>
      <c r="K62" s="16"/>
      <c r="L62" s="16"/>
      <c r="M62" s="16"/>
      <c r="N62" s="16">
        <f t="shared" ref="N62" si="130">+H62/BJ62</f>
        <v>26147.811320754718</v>
      </c>
      <c r="O62" s="42"/>
      <c r="P62" s="1"/>
      <c r="Q62" s="35">
        <v>1008</v>
      </c>
      <c r="R62" s="34"/>
      <c r="S62" s="34"/>
      <c r="T62" s="34"/>
      <c r="U62" s="34">
        <f t="shared" ref="U62" si="131">+U61+Q62</f>
        <v>81795</v>
      </c>
      <c r="V62" s="34"/>
      <c r="W62" s="47">
        <f t="shared" ref="W62" si="132">+U62/H62</f>
        <v>5.9022220554554153E-2</v>
      </c>
      <c r="X62" s="34"/>
      <c r="Y62" s="34">
        <f t="shared" ref="Y62" si="133">+U62/BJ62</f>
        <v>1543.3018867924529</v>
      </c>
      <c r="Z62" s="54"/>
      <c r="AA62" s="1"/>
      <c r="AB62" s="23">
        <f t="shared" ref="AB62" si="134">+AF62-AF61</f>
        <v>5889</v>
      </c>
      <c r="AC62" s="24"/>
      <c r="AD62" s="24"/>
      <c r="AE62" s="24">
        <v>178263</v>
      </c>
      <c r="AF62" s="24">
        <v>262225</v>
      </c>
      <c r="AG62" s="24"/>
      <c r="AH62" s="25">
        <f t="shared" ref="AH62" si="135">+AB62/AF61</f>
        <v>2.297375319892641E-2</v>
      </c>
      <c r="AI62" s="25"/>
      <c r="AJ62" s="25"/>
      <c r="AK62" s="24"/>
      <c r="AL62" s="360">
        <f t="shared" ref="AL62" si="136">+AF62/H62</f>
        <v>0.18921818919149047</v>
      </c>
      <c r="AM62" s="360"/>
      <c r="AN62" s="24">
        <f t="shared" ref="AN62" si="137">+AF62/BJ62</f>
        <v>4947.6415094339627</v>
      </c>
      <c r="AO62" s="370" t="e">
        <f>+AG62/BK62</f>
        <v>#DIV/0!</v>
      </c>
      <c r="AP62" s="1"/>
      <c r="AQ62" s="70">
        <f t="shared" ref="AQ62" si="138">+AS62-AS61</f>
        <v>175330</v>
      </c>
      <c r="AR62" s="71"/>
      <c r="AS62" s="71">
        <v>9619855</v>
      </c>
      <c r="AT62" s="71"/>
      <c r="AU62" s="71">
        <f t="shared" ref="AU62" si="139">+D62</f>
        <v>18196</v>
      </c>
      <c r="AV62" s="71"/>
      <c r="AW62" s="165">
        <f t="shared" ref="AW62" si="140">+AU62/AQ62</f>
        <v>0.10378144071180061</v>
      </c>
      <c r="AX62" s="71"/>
      <c r="AY62" s="71"/>
      <c r="AZ62" s="71"/>
      <c r="BA62" s="71">
        <f t="shared" ref="BA62" si="141">+AS62/BJ62</f>
        <v>181506.69811320756</v>
      </c>
      <c r="BB62" s="71"/>
      <c r="BC62" s="71">
        <f t="shared" ref="BC62" si="142">+BC61+AU62</f>
        <v>1133512</v>
      </c>
      <c r="BD62" s="71"/>
      <c r="BE62" s="80">
        <f t="shared" ref="BE62" si="143">+BC62/AS62</f>
        <v>0.11783046625962658</v>
      </c>
      <c r="BF62" s="71"/>
      <c r="BG62" s="92"/>
      <c r="BH62" s="193"/>
      <c r="BI62" s="1"/>
      <c r="BJ62">
        <f t="shared" si="11"/>
        <v>53</v>
      </c>
    </row>
    <row r="63" spans="2:66" x14ac:dyDescent="0.3">
      <c r="B63" s="181">
        <f t="shared" si="6"/>
        <v>43963</v>
      </c>
      <c r="C63" s="65"/>
      <c r="D63" s="17">
        <v>21562</v>
      </c>
      <c r="E63" s="16"/>
      <c r="F63" s="16"/>
      <c r="G63" s="16"/>
      <c r="H63" s="16">
        <f t="shared" ref="H63" si="144">+H62+D63</f>
        <v>1407396</v>
      </c>
      <c r="I63" s="16"/>
      <c r="J63" s="39">
        <f t="shared" ref="J63" si="145">+D63/H62</f>
        <v>1.5558862028208284E-2</v>
      </c>
      <c r="K63" s="16"/>
      <c r="L63" s="16"/>
      <c r="M63" s="16"/>
      <c r="N63" s="16">
        <f t="shared" ref="N63" si="146">+H63/BJ63</f>
        <v>26062.888888888891</v>
      </c>
      <c r="O63" s="42"/>
      <c r="P63" s="1"/>
      <c r="Q63" s="35">
        <v>1516</v>
      </c>
      <c r="R63" s="34"/>
      <c r="S63" s="34"/>
      <c r="T63" s="34"/>
      <c r="U63" s="34">
        <f t="shared" ref="U63" si="147">+U62+Q63</f>
        <v>83311</v>
      </c>
      <c r="V63" s="34"/>
      <c r="W63" s="47">
        <f t="shared" ref="W63" si="148">+U63/H63</f>
        <v>5.9195137686905465E-2</v>
      </c>
      <c r="X63" s="34"/>
      <c r="Y63" s="34">
        <f t="shared" ref="Y63" si="149">+U63/BJ63</f>
        <v>1542.7962962962963</v>
      </c>
      <c r="Z63" s="54"/>
      <c r="AA63" s="1"/>
      <c r="AB63" s="23">
        <f t="shared" ref="AB63" si="150">+AF63-AF62</f>
        <v>20014</v>
      </c>
      <c r="AC63" s="24"/>
      <c r="AD63" s="24"/>
      <c r="AE63" s="24">
        <v>178263</v>
      </c>
      <c r="AF63" s="24">
        <v>282239</v>
      </c>
      <c r="AG63" s="24"/>
      <c r="AH63" s="25">
        <f t="shared" ref="AH63" si="151">+AB63/AF62</f>
        <v>7.6323767756697497E-2</v>
      </c>
      <c r="AI63" s="25"/>
      <c r="AJ63" s="25"/>
      <c r="AK63" s="24"/>
      <c r="AL63" s="360">
        <f t="shared" ref="AL63" si="152">+AF63/H63</f>
        <v>0.20053986227046261</v>
      </c>
      <c r="AM63" s="360"/>
      <c r="AN63" s="24">
        <f t="shared" ref="AN63" si="153">+AF63/BJ63</f>
        <v>5226.6481481481478</v>
      </c>
      <c r="AO63" s="370" t="e">
        <f>+AG63/BK63</f>
        <v>#DIV/0!</v>
      </c>
      <c r="AP63" s="1"/>
      <c r="AQ63" s="70">
        <f t="shared" ref="AQ63" si="154">+AS63-AS62</f>
        <v>310012</v>
      </c>
      <c r="AR63" s="71"/>
      <c r="AS63" s="71">
        <v>9929867</v>
      </c>
      <c r="AT63" s="71"/>
      <c r="AU63" s="71">
        <f t="shared" ref="AU63" si="155">+D63</f>
        <v>21562</v>
      </c>
      <c r="AV63" s="71"/>
      <c r="AW63" s="165">
        <f t="shared" ref="AW63" si="156">+AU63/AQ63</f>
        <v>6.9552146368527676E-2</v>
      </c>
      <c r="AX63" s="71"/>
      <c r="AY63" s="71"/>
      <c r="AZ63" s="71"/>
      <c r="BA63" s="71">
        <f t="shared" ref="BA63" si="157">+AS63/BJ63</f>
        <v>183886.42592592593</v>
      </c>
      <c r="BB63" s="71"/>
      <c r="BC63" s="71">
        <f t="shared" ref="BC63" si="158">+BC62+AU63</f>
        <v>1155074</v>
      </c>
      <c r="BD63" s="71"/>
      <c r="BE63" s="80">
        <f t="shared" ref="BE63" si="159">+BC63/AS63</f>
        <v>0.11632320956564675</v>
      </c>
      <c r="BF63" s="71"/>
      <c r="BG63" s="92"/>
      <c r="BH63" s="193"/>
      <c r="BI63" s="1"/>
      <c r="BJ63">
        <f t="shared" si="11"/>
        <v>54</v>
      </c>
    </row>
    <row r="64" spans="2:66" x14ac:dyDescent="0.3">
      <c r="B64" s="181">
        <f t="shared" si="6"/>
        <v>43964</v>
      </c>
      <c r="C64" s="65"/>
      <c r="D64" s="17"/>
      <c r="E64" s="16"/>
      <c r="F64" s="16"/>
      <c r="G64" s="16"/>
      <c r="H64" s="16"/>
      <c r="I64" s="16"/>
      <c r="J64" s="39"/>
      <c r="K64" s="16"/>
      <c r="L64" s="16"/>
      <c r="M64" s="16"/>
      <c r="N64" s="16"/>
      <c r="O64" s="42"/>
      <c r="P64" s="1"/>
      <c r="Q64" s="35"/>
      <c r="R64" s="34"/>
      <c r="S64" s="34"/>
      <c r="T64" s="34"/>
      <c r="U64" s="34"/>
      <c r="V64" s="34"/>
      <c r="W64" s="47"/>
      <c r="X64" s="34"/>
      <c r="Y64" s="34"/>
      <c r="Z64" s="54"/>
      <c r="AA64" s="1"/>
      <c r="AB64" s="23"/>
      <c r="AC64" s="24"/>
      <c r="AD64" s="24"/>
      <c r="AE64" s="24"/>
      <c r="AF64" s="24"/>
      <c r="AG64" s="24"/>
      <c r="AH64" s="25"/>
      <c r="AI64" s="25"/>
      <c r="AJ64" s="25"/>
      <c r="AK64" s="24"/>
      <c r="AL64" s="360"/>
      <c r="AM64" s="360"/>
      <c r="AN64" s="24"/>
      <c r="AO64" s="370"/>
      <c r="AP64" s="1"/>
      <c r="AQ64" s="70"/>
      <c r="AR64" s="71"/>
      <c r="AS64" s="71"/>
      <c r="AT64" s="71"/>
      <c r="AU64" s="71"/>
      <c r="AV64" s="71"/>
      <c r="AW64" s="165"/>
      <c r="AX64" s="71"/>
      <c r="AY64" s="71"/>
      <c r="AZ64" s="71"/>
      <c r="BA64" s="71"/>
      <c r="BB64" s="71"/>
      <c r="BC64" s="71"/>
      <c r="BD64" s="71"/>
      <c r="BE64" s="80"/>
      <c r="BF64" s="71"/>
      <c r="BG64" s="92"/>
      <c r="BH64" s="193"/>
      <c r="BI64" s="1"/>
      <c r="BJ64">
        <f t="shared" si="11"/>
        <v>55</v>
      </c>
    </row>
    <row r="65" spans="2:77" x14ac:dyDescent="0.3">
      <c r="B65" s="181">
        <f t="shared" si="6"/>
        <v>43965</v>
      </c>
      <c r="C65" s="65"/>
      <c r="D65" s="17"/>
      <c r="E65" s="16"/>
      <c r="F65" s="16"/>
      <c r="G65" s="16"/>
      <c r="H65" s="16"/>
      <c r="I65" s="16"/>
      <c r="J65" s="39"/>
      <c r="K65" s="16"/>
      <c r="L65" s="16"/>
      <c r="M65" s="16"/>
      <c r="N65" s="16"/>
      <c r="O65" s="42"/>
      <c r="P65" s="1"/>
      <c r="Q65" s="35"/>
      <c r="R65" s="34"/>
      <c r="S65" s="34"/>
      <c r="T65" s="34"/>
      <c r="U65" s="34"/>
      <c r="V65" s="34"/>
      <c r="W65" s="47"/>
      <c r="X65" s="34"/>
      <c r="Y65" s="34"/>
      <c r="Z65" s="54"/>
      <c r="AA65" s="1"/>
      <c r="AB65" s="23"/>
      <c r="AC65" s="24"/>
      <c r="AD65" s="24"/>
      <c r="AE65" s="24"/>
      <c r="AF65" s="24"/>
      <c r="AG65" s="24"/>
      <c r="AH65" s="25"/>
      <c r="AI65" s="25"/>
      <c r="AJ65" s="25"/>
      <c r="AK65" s="24"/>
      <c r="AL65" s="360"/>
      <c r="AM65" s="360"/>
      <c r="AN65" s="25"/>
      <c r="AO65" s="368"/>
      <c r="AP65" s="1"/>
      <c r="AQ65" s="70"/>
      <c r="AR65" s="71"/>
      <c r="AS65" s="71"/>
      <c r="AT65" s="71"/>
      <c r="AU65" s="71"/>
      <c r="AV65" s="71"/>
      <c r="AW65" s="165"/>
      <c r="AX65" s="71"/>
      <c r="AY65" s="71"/>
      <c r="AZ65" s="71"/>
      <c r="BA65" s="71"/>
      <c r="BB65" s="71"/>
      <c r="BC65" s="71"/>
      <c r="BD65" s="71"/>
      <c r="BE65" s="80"/>
      <c r="BF65" s="71"/>
      <c r="BG65" s="92"/>
      <c r="BH65" s="193"/>
      <c r="BI65" s="1"/>
      <c r="BJ65">
        <f t="shared" si="11"/>
        <v>56</v>
      </c>
    </row>
    <row r="66" spans="2:77" x14ac:dyDescent="0.3">
      <c r="B66" s="181">
        <f t="shared" si="6"/>
        <v>43966</v>
      </c>
      <c r="D66" s="18"/>
      <c r="E66" s="19"/>
      <c r="F66" s="19"/>
      <c r="G66" s="19"/>
      <c r="H66" s="19"/>
      <c r="I66" s="19"/>
      <c r="J66" s="40"/>
      <c r="K66" s="19"/>
      <c r="L66" s="19"/>
      <c r="M66" s="19"/>
      <c r="N66" s="19"/>
      <c r="O66" s="44"/>
      <c r="P66" s="1"/>
      <c r="Q66" s="36"/>
      <c r="R66" s="37"/>
      <c r="S66" s="37"/>
      <c r="T66" s="37"/>
      <c r="U66" s="37"/>
      <c r="V66" s="37"/>
      <c r="W66" s="48"/>
      <c r="X66" s="37"/>
      <c r="Y66" s="37"/>
      <c r="Z66" s="55"/>
      <c r="AA66" s="1"/>
      <c r="AB66" s="26"/>
      <c r="AC66" s="27"/>
      <c r="AD66" s="27"/>
      <c r="AE66" s="27"/>
      <c r="AF66" s="27"/>
      <c r="AG66" s="27"/>
      <c r="AH66" s="27"/>
      <c r="AI66" s="27"/>
      <c r="AJ66" s="27"/>
      <c r="AK66" s="27"/>
      <c r="AL66" s="362"/>
      <c r="AM66" s="362"/>
      <c r="AN66" s="27"/>
      <c r="AO66" s="369"/>
      <c r="AP66" s="1"/>
      <c r="AQ66" s="72"/>
      <c r="AR66" s="73"/>
      <c r="AS66" s="73"/>
      <c r="AT66" s="73"/>
      <c r="AU66" s="73"/>
      <c r="AV66" s="73"/>
      <c r="AW66" s="73"/>
      <c r="AX66" s="73"/>
      <c r="AY66" s="73"/>
      <c r="AZ66" s="73"/>
      <c r="BA66" s="73"/>
      <c r="BB66" s="73"/>
      <c r="BC66" s="73"/>
      <c r="BD66" s="73"/>
      <c r="BE66" s="76"/>
      <c r="BF66" s="73"/>
      <c r="BG66" s="73"/>
      <c r="BH66" s="194"/>
      <c r="BI66" s="1"/>
      <c r="BJ66">
        <f t="shared" si="11"/>
        <v>57</v>
      </c>
    </row>
    <row r="67" spans="2:77" x14ac:dyDescent="0.3">
      <c r="B67" s="60"/>
      <c r="D67" s="1"/>
      <c r="E67" s="1"/>
      <c r="F67" s="1"/>
      <c r="G67" s="1"/>
      <c r="H67" s="63"/>
      <c r="I67" s="1"/>
      <c r="J67" s="63"/>
      <c r="K67" s="1"/>
      <c r="L67" s="1"/>
      <c r="M67" s="1"/>
      <c r="N67" s="1"/>
      <c r="O67" s="1"/>
      <c r="P67" s="1"/>
      <c r="Q67" s="63"/>
      <c r="R67" s="1"/>
      <c r="S67" s="1"/>
      <c r="T67" s="1"/>
      <c r="U67" s="1"/>
      <c r="V67" s="1"/>
      <c r="W67" s="63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63"/>
      <c r="AT67" s="1"/>
      <c r="AU67" s="63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</row>
    <row r="68" spans="2:77" x14ac:dyDescent="0.3">
      <c r="B68" s="189" t="s">
        <v>85</v>
      </c>
      <c r="D68" s="60">
        <f>+D63</f>
        <v>21562</v>
      </c>
      <c r="E68" s="60"/>
      <c r="F68" s="60"/>
      <c r="G68" s="60"/>
      <c r="H68" s="60">
        <f t="shared" ref="H68:BC68" si="160">+H63</f>
        <v>1407396</v>
      </c>
      <c r="I68" s="60">
        <f t="shared" si="160"/>
        <v>0</v>
      </c>
      <c r="J68" s="60">
        <f t="shared" si="160"/>
        <v>1.5558862028208284E-2</v>
      </c>
      <c r="K68" s="60">
        <f t="shared" si="160"/>
        <v>0</v>
      </c>
      <c r="L68" s="60">
        <f t="shared" si="160"/>
        <v>0</v>
      </c>
      <c r="M68" s="60">
        <f t="shared" si="160"/>
        <v>0</v>
      </c>
      <c r="N68" s="60">
        <f t="shared" si="160"/>
        <v>26062.888888888891</v>
      </c>
      <c r="O68" s="60">
        <f t="shared" si="160"/>
        <v>0</v>
      </c>
      <c r="P68" s="60"/>
      <c r="Q68" s="60">
        <f t="shared" si="160"/>
        <v>1516</v>
      </c>
      <c r="R68" s="60">
        <f t="shared" si="160"/>
        <v>0</v>
      </c>
      <c r="S68" s="60">
        <f t="shared" si="160"/>
        <v>0</v>
      </c>
      <c r="T68" s="60">
        <f t="shared" si="160"/>
        <v>0</v>
      </c>
      <c r="U68" s="60">
        <f t="shared" si="160"/>
        <v>83311</v>
      </c>
      <c r="V68" s="60">
        <f t="shared" si="160"/>
        <v>0</v>
      </c>
      <c r="W68" s="60">
        <f t="shared" si="160"/>
        <v>5.9195137686905465E-2</v>
      </c>
      <c r="X68" s="60">
        <f t="shared" si="160"/>
        <v>0</v>
      </c>
      <c r="Y68" s="60">
        <f t="shared" si="160"/>
        <v>1542.7962962962963</v>
      </c>
      <c r="Z68" s="60">
        <f t="shared" si="160"/>
        <v>0</v>
      </c>
      <c r="AA68" s="60"/>
      <c r="AB68" s="60">
        <f t="shared" si="160"/>
        <v>20014</v>
      </c>
      <c r="AC68" s="60">
        <f t="shared" si="160"/>
        <v>0</v>
      </c>
      <c r="AD68" s="60">
        <f t="shared" si="160"/>
        <v>0</v>
      </c>
      <c r="AE68" s="60">
        <f t="shared" si="160"/>
        <v>178263</v>
      </c>
      <c r="AF68" s="60">
        <f t="shared" si="160"/>
        <v>282239</v>
      </c>
      <c r="AG68" s="60">
        <f t="shared" si="160"/>
        <v>0</v>
      </c>
      <c r="AH68" s="60">
        <f t="shared" si="160"/>
        <v>7.6323767756697497E-2</v>
      </c>
      <c r="AI68" s="60">
        <f t="shared" si="160"/>
        <v>0</v>
      </c>
      <c r="AJ68" s="60">
        <f t="shared" si="160"/>
        <v>0</v>
      </c>
      <c r="AK68" s="60">
        <f t="shared" si="160"/>
        <v>0</v>
      </c>
      <c r="AL68" s="60">
        <f t="shared" si="160"/>
        <v>0.20053986227046261</v>
      </c>
      <c r="AM68" s="60">
        <f t="shared" si="160"/>
        <v>0</v>
      </c>
      <c r="AN68" s="60">
        <f t="shared" si="160"/>
        <v>5226.6481481481478</v>
      </c>
      <c r="AO68" s="60" t="e">
        <f t="shared" si="160"/>
        <v>#DIV/0!</v>
      </c>
      <c r="AP68" s="60"/>
      <c r="AQ68" s="60">
        <f t="shared" si="160"/>
        <v>310012</v>
      </c>
      <c r="AR68" s="60">
        <f t="shared" si="160"/>
        <v>0</v>
      </c>
      <c r="AS68" s="60">
        <f t="shared" si="160"/>
        <v>9929867</v>
      </c>
      <c r="AT68" s="60">
        <f t="shared" si="160"/>
        <v>0</v>
      </c>
      <c r="AU68" s="60">
        <f t="shared" si="160"/>
        <v>21562</v>
      </c>
      <c r="AV68" s="60">
        <f t="shared" si="160"/>
        <v>0</v>
      </c>
      <c r="AW68" s="60">
        <f t="shared" si="160"/>
        <v>6.9552146368527676E-2</v>
      </c>
      <c r="AX68" s="60">
        <f t="shared" si="160"/>
        <v>0</v>
      </c>
      <c r="AY68" s="60"/>
      <c r="AZ68" s="60">
        <f t="shared" si="160"/>
        <v>0</v>
      </c>
      <c r="BA68" s="60">
        <f t="shared" si="160"/>
        <v>183886.42592592593</v>
      </c>
      <c r="BB68" s="60">
        <f t="shared" si="160"/>
        <v>0</v>
      </c>
      <c r="BC68" s="60">
        <f t="shared" si="160"/>
        <v>1155074</v>
      </c>
      <c r="BD68" s="10"/>
      <c r="BE68" s="66"/>
      <c r="BF68" s="10"/>
      <c r="BG68" s="10"/>
      <c r="BH68" s="10"/>
      <c r="BI68" s="10"/>
      <c r="BJ68" s="169"/>
      <c r="BK68" s="10"/>
      <c r="BL68" s="66"/>
      <c r="BM68" s="10"/>
      <c r="BN68" s="169"/>
      <c r="BO68" s="65"/>
      <c r="BP68" s="65"/>
      <c r="BQ68" s="65"/>
      <c r="BR68" s="65"/>
      <c r="BS68" s="65"/>
      <c r="BT68" s="166"/>
    </row>
    <row r="69" spans="2:77" x14ac:dyDescent="0.3">
      <c r="D69" s="60">
        <f>+D68-D62</f>
        <v>3366</v>
      </c>
      <c r="H69" s="60">
        <f t="shared" ref="H69:AS69" si="161">+H60-H61</f>
        <v>-20329</v>
      </c>
      <c r="I69" s="60">
        <f t="shared" si="161"/>
        <v>0</v>
      </c>
      <c r="J69" s="63">
        <f t="shared" si="161"/>
        <v>4.2216557925796646E-3</v>
      </c>
      <c r="K69" s="60">
        <f t="shared" si="161"/>
        <v>0</v>
      </c>
      <c r="L69" s="60">
        <f t="shared" si="161"/>
        <v>0</v>
      </c>
      <c r="M69" s="60">
        <f t="shared" si="161"/>
        <v>0</v>
      </c>
      <c r="N69" s="60">
        <f t="shared" si="161"/>
        <v>117.09276018099627</v>
      </c>
      <c r="O69" s="60">
        <f t="shared" si="161"/>
        <v>0</v>
      </c>
      <c r="P69" s="60"/>
      <c r="Q69" s="60">
        <f>+Q62-Q68</f>
        <v>-508</v>
      </c>
      <c r="R69" s="60">
        <f t="shared" si="161"/>
        <v>0</v>
      </c>
      <c r="S69" s="60">
        <f t="shared" si="161"/>
        <v>0</v>
      </c>
      <c r="T69" s="60">
        <f t="shared" si="161"/>
        <v>0</v>
      </c>
      <c r="U69" s="60">
        <f t="shared" si="161"/>
        <v>-750</v>
      </c>
      <c r="V69" s="60">
        <f t="shared" si="161"/>
        <v>0</v>
      </c>
      <c r="W69" s="60">
        <f t="shared" si="161"/>
        <v>3.3462501588067683E-4</v>
      </c>
      <c r="X69" s="60">
        <f t="shared" si="161"/>
        <v>0</v>
      </c>
      <c r="Y69" s="60">
        <f t="shared" si="161"/>
        <v>15.756787330316683</v>
      </c>
      <c r="Z69" s="60">
        <f t="shared" si="161"/>
        <v>0</v>
      </c>
      <c r="AA69" s="60"/>
      <c r="AB69" s="60">
        <f>+AB68-AB62</f>
        <v>14125</v>
      </c>
      <c r="AC69" s="60">
        <f t="shared" si="161"/>
        <v>0</v>
      </c>
      <c r="AD69" s="60">
        <f t="shared" si="161"/>
        <v>0</v>
      </c>
      <c r="AE69" s="60">
        <f t="shared" si="161"/>
        <v>0</v>
      </c>
      <c r="AF69" s="60">
        <f t="shared" si="161"/>
        <v>-18258</v>
      </c>
      <c r="AG69" s="60">
        <f t="shared" si="161"/>
        <v>0</v>
      </c>
      <c r="AH69" s="60">
        <f t="shared" si="161"/>
        <v>-1.0795527652792319E-2</v>
      </c>
      <c r="AI69" s="60">
        <f t="shared" si="161"/>
        <v>0</v>
      </c>
      <c r="AJ69" s="60">
        <f t="shared" si="161"/>
        <v>0</v>
      </c>
      <c r="AK69" s="60">
        <f t="shared" si="161"/>
        <v>0</v>
      </c>
      <c r="AL69" s="60">
        <f t="shared" si="161"/>
        <v>-1.0723405938902003E-2</v>
      </c>
      <c r="AM69" s="60">
        <f t="shared" si="161"/>
        <v>0</v>
      </c>
      <c r="AN69" s="60">
        <f t="shared" si="161"/>
        <v>-261.34238310708952</v>
      </c>
      <c r="AO69" s="60" t="e">
        <f t="shared" si="161"/>
        <v>#DIV/0!</v>
      </c>
      <c r="AP69" s="60"/>
      <c r="AQ69" s="60">
        <f t="shared" si="161"/>
        <v>-244434</v>
      </c>
      <c r="AR69" s="60">
        <f t="shared" si="161"/>
        <v>0</v>
      </c>
      <c r="AS69" s="60">
        <f t="shared" si="161"/>
        <v>-526262</v>
      </c>
      <c r="AZ69" s="10"/>
      <c r="BA69" s="10"/>
      <c r="BB69" s="10"/>
      <c r="BC69" s="10"/>
      <c r="BD69" s="10"/>
      <c r="BE69" s="10"/>
      <c r="BF69" s="10"/>
      <c r="BG69" s="10"/>
      <c r="BH69" s="10"/>
      <c r="BI69" s="10"/>
      <c r="BJ69" s="66"/>
      <c r="BK69" s="10"/>
      <c r="BL69" s="10"/>
      <c r="BM69" s="10"/>
      <c r="BN69" s="66"/>
      <c r="BO69" s="65"/>
      <c r="BP69" s="65"/>
      <c r="BQ69" s="65"/>
      <c r="BR69" s="65"/>
      <c r="BS69" s="65"/>
      <c r="BT69" s="123"/>
    </row>
    <row r="70" spans="2:77" x14ac:dyDescent="0.3">
      <c r="U70" s="60"/>
      <c r="AZ70" s="10"/>
      <c r="BA70" s="10"/>
      <c r="BB70" s="10"/>
      <c r="BC70" s="10"/>
      <c r="BD70" s="10"/>
      <c r="BE70" s="10"/>
      <c r="BF70" s="10"/>
      <c r="BG70" s="10"/>
      <c r="BH70" s="10"/>
      <c r="BI70" s="10"/>
      <c r="BJ70" s="10"/>
      <c r="BK70" s="10"/>
      <c r="BL70" s="10"/>
      <c r="BM70" s="10"/>
      <c r="BN70" s="10"/>
      <c r="BO70" s="65"/>
      <c r="BP70" s="123"/>
      <c r="BQ70" s="123"/>
      <c r="BR70" s="123"/>
      <c r="BS70" s="123"/>
    </row>
    <row r="71" spans="2:77" x14ac:dyDescent="0.3">
      <c r="D71" s="60">
        <f>SUM(D48:D54)</f>
        <v>200962</v>
      </c>
      <c r="H71" s="1">
        <f>+D71/7</f>
        <v>28708.857142857141</v>
      </c>
      <c r="N71" s="63">
        <f>+H71/H47</f>
        <v>2.9082273535047148E-2</v>
      </c>
      <c r="Q71" s="60">
        <f>SUM(Q48:Q54)</f>
        <v>13185</v>
      </c>
      <c r="U71" s="1">
        <f>+Q71/7</f>
        <v>1883.5714285714287</v>
      </c>
      <c r="AQ71" s="60">
        <f>SUM(AQ48:AQ54)</f>
        <v>1726276</v>
      </c>
      <c r="AS71" s="60">
        <f>SUM(AU48:AU54)</f>
        <v>200962</v>
      </c>
      <c r="AU71" s="63">
        <f>+AS71/AQ71</f>
        <v>0.11641359782560842</v>
      </c>
      <c r="AZ71" s="65"/>
      <c r="BA71" s="65"/>
      <c r="BB71" s="65"/>
      <c r="BC71" s="65"/>
      <c r="BD71" s="65"/>
      <c r="BE71" s="65"/>
      <c r="BF71" s="10"/>
      <c r="BG71" s="10"/>
    </row>
    <row r="72" spans="2:77" x14ac:dyDescent="0.3">
      <c r="D72" s="60">
        <f>SUM(D55:D61)</f>
        <v>179516</v>
      </c>
      <c r="H72" s="1">
        <f>+D72/7</f>
        <v>25645.142857142859</v>
      </c>
      <c r="J72" s="60">
        <f>+H71-H72</f>
        <v>3063.7142857142826</v>
      </c>
      <c r="N72" s="63">
        <f>+H72/H54</f>
        <v>2.1584603986074542E-2</v>
      </c>
      <c r="Q72" s="60">
        <f>SUM(Q55:Q61)</f>
        <v>12190</v>
      </c>
      <c r="U72" s="1">
        <f>+Q72/7</f>
        <v>1741.4285714285713</v>
      </c>
      <c r="W72" s="60">
        <f>+U71-U72</f>
        <v>142.14285714285734</v>
      </c>
      <c r="X72" s="1"/>
      <c r="Y72" s="1"/>
      <c r="Z72" s="10"/>
      <c r="AA72" s="10"/>
      <c r="AB72" s="147"/>
      <c r="AC72" s="10"/>
      <c r="AD72" s="10"/>
      <c r="AE72" s="10"/>
      <c r="AQ72" s="60">
        <f>SUM(AQ55:AQ61)</f>
        <v>2247785</v>
      </c>
      <c r="AS72" s="60">
        <f>SUM(AU55:AU61)</f>
        <v>179516</v>
      </c>
      <c r="AU72" s="63">
        <f>+AS72/AQ72</f>
        <v>7.9863510077698707E-2</v>
      </c>
      <c r="AW72" s="63">
        <f>+(AQ72-AQ71)/AQ71</f>
        <v>0.30210059109898996</v>
      </c>
      <c r="AX72" s="96"/>
      <c r="AY72" s="96"/>
      <c r="AZ72" s="96"/>
      <c r="BA72" s="96"/>
      <c r="BB72" s="96"/>
      <c r="BC72" s="96"/>
      <c r="BD72" s="96"/>
      <c r="BE72" s="10"/>
      <c r="BF72" s="1"/>
      <c r="BG72" s="1"/>
    </row>
    <row r="73" spans="2:77" x14ac:dyDescent="0.3">
      <c r="D73" s="60">
        <f>+D71-D72</f>
        <v>21446</v>
      </c>
      <c r="H73" s="63">
        <f>+(H72-H71)/H71</f>
        <v>-0.10671669270807406</v>
      </c>
      <c r="M73" s="10"/>
      <c r="N73" s="10"/>
      <c r="O73" s="10"/>
      <c r="P73" s="10"/>
      <c r="Q73" s="10">
        <f>+Q71-Q72</f>
        <v>995</v>
      </c>
      <c r="R73" s="10"/>
      <c r="S73" s="10"/>
      <c r="T73" s="10"/>
      <c r="U73" s="63">
        <f>+(U72-U71)/U71</f>
        <v>-7.5464543041334944E-2</v>
      </c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Q73" s="60">
        <f>+AQ72-AQ71</f>
        <v>521509</v>
      </c>
      <c r="AS73" s="60">
        <f>+AS71-AS72</f>
        <v>21446</v>
      </c>
      <c r="AU73" s="63">
        <f>+(AS72-AS71)/AS71</f>
        <v>-0.10671669270807416</v>
      </c>
      <c r="AX73" s="101"/>
      <c r="AY73" s="101"/>
      <c r="AZ73" s="160"/>
      <c r="BA73" s="160"/>
      <c r="BB73" s="160"/>
      <c r="BC73" s="160"/>
      <c r="BD73" s="160"/>
      <c r="BE73" s="96"/>
      <c r="BF73" s="1"/>
      <c r="BG73" s="1"/>
    </row>
    <row r="74" spans="2:77" x14ac:dyDescent="0.3"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X74" s="113"/>
      <c r="AY74" s="113"/>
      <c r="AZ74" s="113"/>
      <c r="BA74" s="113"/>
      <c r="BB74" s="113"/>
      <c r="BC74" s="113"/>
      <c r="BD74" s="113"/>
      <c r="BE74" s="96"/>
      <c r="BF74" s="1"/>
      <c r="BG74" s="1"/>
      <c r="BX74" s="61"/>
    </row>
    <row r="75" spans="2:77" x14ac:dyDescent="0.3"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X75" s="114"/>
      <c r="AY75" s="114"/>
      <c r="AZ75" s="114"/>
      <c r="BA75" s="114"/>
      <c r="BB75" s="114"/>
      <c r="BC75" s="114"/>
      <c r="BD75" s="114"/>
      <c r="BE75" s="132"/>
      <c r="BF75" s="1"/>
      <c r="BG75" s="1"/>
      <c r="BX75" s="60"/>
    </row>
    <row r="76" spans="2:77" x14ac:dyDescent="0.3">
      <c r="M76" s="65"/>
      <c r="N76" s="65"/>
      <c r="O76" s="65"/>
      <c r="P76" s="65"/>
      <c r="Q76" s="65"/>
      <c r="R76" s="65"/>
      <c r="S76" s="65"/>
      <c r="T76" s="65"/>
      <c r="U76" s="65"/>
      <c r="V76" s="65"/>
      <c r="W76" s="65"/>
      <c r="X76" s="65"/>
      <c r="Y76" s="65"/>
      <c r="Z76" s="65"/>
      <c r="AA76" s="65"/>
      <c r="AB76" s="65"/>
      <c r="AC76" s="65"/>
      <c r="AD76" s="65"/>
      <c r="AE76" s="65"/>
      <c r="AX76" s="114"/>
      <c r="AY76" s="114"/>
      <c r="AZ76" s="114"/>
      <c r="BA76" s="114"/>
      <c r="BB76" s="114"/>
      <c r="BC76" s="114"/>
      <c r="BD76" s="114"/>
      <c r="BE76" s="116"/>
      <c r="BF76" s="65"/>
      <c r="BG76" s="65"/>
      <c r="BW76" s="10"/>
      <c r="BX76" s="66"/>
      <c r="BY76" s="1"/>
    </row>
    <row r="77" spans="2:77" x14ac:dyDescent="0.3">
      <c r="X77" s="1"/>
      <c r="Y77" s="1"/>
      <c r="Z77" s="1"/>
      <c r="AA77" s="1"/>
      <c r="AB77" s="1"/>
      <c r="AC77" s="1"/>
      <c r="AD77" s="1"/>
      <c r="AE77" s="1"/>
      <c r="AX77" s="114"/>
      <c r="AY77" s="114"/>
      <c r="AZ77" s="114"/>
      <c r="BA77" s="114"/>
      <c r="BB77" s="114"/>
      <c r="BC77" s="114"/>
      <c r="BD77" s="114"/>
      <c r="BE77" s="96"/>
      <c r="BF77" s="1"/>
      <c r="BG77" s="1"/>
    </row>
    <row r="78" spans="2:77" x14ac:dyDescent="0.3">
      <c r="D78" s="1"/>
      <c r="E78" s="129" t="s">
        <v>29</v>
      </c>
      <c r="F78" s="130"/>
      <c r="G78" s="130" t="s">
        <v>69</v>
      </c>
      <c r="H78" s="122"/>
      <c r="I78" s="122"/>
      <c r="J78" s="122"/>
      <c r="K78" s="65"/>
      <c r="L78" s="10"/>
      <c r="X78" s="1"/>
      <c r="Y78" s="1"/>
      <c r="Z78" s="1"/>
      <c r="AA78" s="1"/>
      <c r="AB78" s="1"/>
      <c r="AC78" s="1"/>
      <c r="AD78" s="1"/>
      <c r="AE78" s="1"/>
      <c r="AX78" s="114"/>
      <c r="AY78" s="114"/>
      <c r="AZ78" s="114"/>
      <c r="BA78" s="114"/>
      <c r="BB78" s="114"/>
      <c r="BC78" s="114"/>
      <c r="BD78" s="114"/>
      <c r="BE78" s="96"/>
      <c r="BF78" s="1"/>
      <c r="BG78" s="1"/>
    </row>
    <row r="79" spans="2:77" x14ac:dyDescent="0.3">
      <c r="D79" s="1"/>
      <c r="E79" s="129" t="s">
        <v>41</v>
      </c>
      <c r="F79" s="130"/>
      <c r="G79" s="130" t="s">
        <v>43</v>
      </c>
      <c r="H79" s="10"/>
      <c r="I79" s="10"/>
      <c r="J79" s="10"/>
      <c r="K79" s="65"/>
      <c r="L79" s="10"/>
      <c r="X79" s="1"/>
      <c r="Y79" s="1"/>
      <c r="Z79" s="1"/>
      <c r="AA79" s="1"/>
      <c r="AB79" s="1" t="s">
        <v>18</v>
      </c>
      <c r="AC79" s="1"/>
      <c r="AD79" s="1"/>
      <c r="AE79" s="1"/>
      <c r="AX79" s="115"/>
      <c r="AY79" s="115"/>
      <c r="AZ79" s="115"/>
      <c r="BA79" s="115"/>
      <c r="BB79" s="115"/>
      <c r="BC79" s="115"/>
      <c r="BD79" s="115"/>
      <c r="BE79" s="96"/>
      <c r="BF79" s="1"/>
      <c r="BG79" s="1"/>
    </row>
    <row r="80" spans="2:77" x14ac:dyDescent="0.3">
      <c r="D80" s="1"/>
      <c r="E80" s="129" t="s">
        <v>48</v>
      </c>
      <c r="F80" s="130"/>
      <c r="G80" s="130" t="s">
        <v>59</v>
      </c>
      <c r="H80" s="10"/>
      <c r="I80" s="10"/>
      <c r="J80" s="10"/>
      <c r="K80" s="65"/>
      <c r="L80" s="10"/>
      <c r="X80" s="1"/>
      <c r="Y80" s="1"/>
      <c r="Z80" s="1"/>
      <c r="AA80" s="1"/>
      <c r="AB80" s="1"/>
      <c r="AC80" s="1"/>
      <c r="AD80" s="1"/>
      <c r="AE80" s="1"/>
      <c r="AX80" s="115"/>
      <c r="AY80" s="115"/>
      <c r="AZ80" s="115"/>
      <c r="BA80" s="115"/>
      <c r="BB80" s="115"/>
      <c r="BC80" s="115"/>
      <c r="BD80" s="115"/>
      <c r="BE80" s="96"/>
      <c r="BF80" s="1"/>
      <c r="BG80" s="1"/>
    </row>
    <row r="81" spans="4:74" x14ac:dyDescent="0.3">
      <c r="D81" s="1"/>
      <c r="E81" s="129" t="s">
        <v>70</v>
      </c>
      <c r="F81" s="65"/>
      <c r="G81" s="99" t="s">
        <v>71</v>
      </c>
      <c r="H81" s="65"/>
      <c r="I81" s="65"/>
      <c r="J81" s="65"/>
      <c r="K81" s="65"/>
      <c r="L81" s="65"/>
      <c r="X81" s="1"/>
      <c r="Y81" s="1"/>
      <c r="Z81" s="1"/>
      <c r="AA81" s="1"/>
      <c r="AB81" s="1"/>
      <c r="AC81" s="1"/>
      <c r="AD81" s="1"/>
      <c r="AE81" s="1"/>
      <c r="AX81" s="115"/>
      <c r="AY81" s="115"/>
      <c r="AZ81" s="115"/>
      <c r="BA81" s="115"/>
      <c r="BB81" s="115"/>
      <c r="BC81" s="115"/>
      <c r="BD81" s="115"/>
      <c r="BE81" s="96"/>
      <c r="BF81" s="1"/>
      <c r="BG81" s="1"/>
    </row>
    <row r="82" spans="4:74" x14ac:dyDescent="0.3">
      <c r="X82" s="1"/>
      <c r="Y82" s="1"/>
      <c r="AT82" s="96"/>
      <c r="AU82" s="96"/>
      <c r="AV82" s="96"/>
      <c r="AW82" s="96"/>
      <c r="AX82" s="96"/>
      <c r="AY82" s="96"/>
      <c r="AZ82" s="96"/>
      <c r="BA82" s="96"/>
      <c r="BB82" s="96"/>
      <c r="BC82" s="96"/>
      <c r="BD82" s="96"/>
      <c r="BE82" s="96"/>
      <c r="BF82" s="1"/>
      <c r="BG82" s="1"/>
    </row>
    <row r="83" spans="4:74" x14ac:dyDescent="0.3">
      <c r="X83" s="1"/>
      <c r="Y83" s="1"/>
    </row>
    <row r="84" spans="4:74" x14ac:dyDescent="0.3">
      <c r="D84" s="60"/>
      <c r="X84" s="1"/>
      <c r="Y84" s="1"/>
    </row>
    <row r="85" spans="4:74" x14ac:dyDescent="0.3">
      <c r="X85" s="1"/>
      <c r="Y85" s="1"/>
    </row>
    <row r="86" spans="4:74" x14ac:dyDescent="0.3">
      <c r="X86" s="1"/>
      <c r="Y86" s="1"/>
    </row>
    <row r="87" spans="4:74" x14ac:dyDescent="0.3">
      <c r="X87" s="1"/>
      <c r="Y87" s="1"/>
    </row>
    <row r="88" spans="4:74" x14ac:dyDescent="0.3">
      <c r="X88" s="1"/>
      <c r="Y88" s="1"/>
    </row>
    <row r="89" spans="4:74" x14ac:dyDescent="0.3">
      <c r="X89" s="1"/>
      <c r="Y89" s="1"/>
    </row>
    <row r="90" spans="4:74" x14ac:dyDescent="0.3">
      <c r="X90" s="1"/>
      <c r="Y90" s="1"/>
    </row>
    <row r="91" spans="4:74" x14ac:dyDescent="0.3">
      <c r="X91" s="1"/>
      <c r="Y91" s="1"/>
    </row>
    <row r="92" spans="4:74" x14ac:dyDescent="0.3">
      <c r="X92" s="1"/>
      <c r="Y92" s="1"/>
      <c r="AT92" s="96"/>
      <c r="AU92" s="96"/>
      <c r="AV92" s="96"/>
      <c r="AW92" s="96"/>
      <c r="AX92" s="96"/>
      <c r="AY92" s="96"/>
      <c r="AZ92" s="96"/>
      <c r="BA92" s="96"/>
      <c r="BB92" s="96"/>
      <c r="BC92" s="96"/>
      <c r="BD92" s="96"/>
      <c r="BE92" s="96"/>
      <c r="BF92" s="1"/>
      <c r="BG92" s="1"/>
      <c r="BH92" s="1"/>
      <c r="BI92" s="1"/>
      <c r="BJ92" s="96"/>
      <c r="BK92" s="96"/>
      <c r="BL92" s="96"/>
      <c r="BM92" s="96"/>
      <c r="BN92" s="96"/>
      <c r="BO92" s="96"/>
      <c r="BP92" s="96"/>
      <c r="BQ92" s="96"/>
      <c r="BR92" s="96"/>
      <c r="BS92" s="96"/>
      <c r="BT92" s="96"/>
      <c r="BU92" s="96"/>
      <c r="BV92" s="96"/>
    </row>
    <row r="93" spans="4:74" x14ac:dyDescent="0.3">
      <c r="X93" s="10"/>
      <c r="Y93" s="10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95"/>
      <c r="BK93" s="95"/>
      <c r="BL93" s="95"/>
      <c r="BM93" s="95"/>
      <c r="BN93" s="127"/>
      <c r="BO93" s="1"/>
      <c r="BP93" s="1"/>
      <c r="BQ93" s="1"/>
      <c r="BR93" s="1"/>
      <c r="BS93" s="1"/>
      <c r="BT93" s="1"/>
      <c r="BU93" s="1"/>
      <c r="BV93" s="1"/>
    </row>
    <row r="94" spans="4:74" x14ac:dyDescent="0.3">
      <c r="X94" s="10"/>
      <c r="Y94" s="10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95"/>
      <c r="BK94" s="95"/>
      <c r="BL94" s="95"/>
      <c r="BM94" s="95"/>
      <c r="BN94" s="95"/>
      <c r="BO94" s="1"/>
      <c r="BP94" s="1"/>
      <c r="BQ94" s="1"/>
      <c r="BR94" s="1"/>
      <c r="BS94" s="1"/>
      <c r="BT94" s="1"/>
      <c r="BU94" s="1"/>
      <c r="BV94" s="1"/>
    </row>
    <row r="95" spans="4:74" x14ac:dyDescent="0.3">
      <c r="X95" s="10"/>
      <c r="Y95" s="10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95"/>
      <c r="BK95" s="95"/>
      <c r="BL95" s="95"/>
      <c r="BM95" s="95"/>
      <c r="BN95" s="95"/>
      <c r="BO95" s="1"/>
      <c r="BP95" s="1"/>
      <c r="BQ95" s="1"/>
      <c r="BR95" s="1"/>
      <c r="BS95" s="1"/>
      <c r="BT95" s="1"/>
    </row>
    <row r="96" spans="4:74" x14ac:dyDescent="0.3">
      <c r="X96" s="10"/>
      <c r="Y96" s="10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95"/>
      <c r="BK96" s="95"/>
      <c r="BL96" s="95"/>
      <c r="BM96" s="95"/>
      <c r="BN96" s="95"/>
      <c r="BO96" s="1"/>
      <c r="BP96" s="1"/>
      <c r="BQ96" s="1"/>
      <c r="BR96" s="1"/>
      <c r="BS96" s="1"/>
      <c r="BT96" s="1"/>
    </row>
    <row r="97" spans="2:66" x14ac:dyDescent="0.3">
      <c r="X97" s="10"/>
      <c r="Y97" s="10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95"/>
      <c r="BK97" s="95"/>
      <c r="BL97" s="128"/>
      <c r="BM97" s="95"/>
      <c r="BN97" s="95"/>
    </row>
    <row r="98" spans="2:66" x14ac:dyDescent="0.3">
      <c r="X98" s="10"/>
      <c r="Y98" s="10"/>
      <c r="Z98" s="96"/>
      <c r="AA98" s="96"/>
      <c r="AB98" s="163"/>
      <c r="AC98" s="163"/>
      <c r="AD98" s="163"/>
      <c r="AE98" s="163"/>
      <c r="AF98" s="163"/>
      <c r="AG98" s="163"/>
      <c r="AH98" s="163"/>
      <c r="AI98" s="163"/>
      <c r="AJ98" s="163"/>
      <c r="AK98" s="163"/>
      <c r="AL98" s="163"/>
      <c r="AM98" s="163"/>
      <c r="AN98" s="163"/>
      <c r="AO98" s="163"/>
      <c r="AP98" s="163"/>
      <c r="AQ98" s="163"/>
      <c r="AR98" s="96"/>
      <c r="AS98" s="96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95"/>
      <c r="BK98" s="95"/>
      <c r="BL98" s="95"/>
      <c r="BM98" s="95"/>
      <c r="BN98" s="95"/>
    </row>
    <row r="99" spans="2:66" x14ac:dyDescent="0.3">
      <c r="X99" s="10"/>
      <c r="Y99" s="10"/>
      <c r="Z99" s="96"/>
      <c r="AA99" s="96"/>
      <c r="AB99" s="159"/>
      <c r="AC99" s="159"/>
      <c r="AD99" s="159"/>
      <c r="AE99" s="159"/>
      <c r="AF99" s="159"/>
      <c r="AG99" s="159"/>
      <c r="AH99" s="159"/>
      <c r="AI99" s="96"/>
      <c r="AJ99" s="96"/>
      <c r="AK99" s="96"/>
      <c r="AL99" s="116"/>
      <c r="AM99" s="116"/>
      <c r="AN99" s="116"/>
      <c r="AO99" s="116"/>
      <c r="AP99" s="96"/>
      <c r="AQ99" s="96"/>
      <c r="AR99" s="116"/>
      <c r="AS99" s="96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95"/>
      <c r="BK99" s="95"/>
      <c r="BL99" s="95"/>
      <c r="BM99" s="95"/>
      <c r="BN99" s="95"/>
    </row>
    <row r="100" spans="2:66" x14ac:dyDescent="0.3">
      <c r="X100" s="10"/>
      <c r="Y100" s="10"/>
      <c r="Z100" s="96"/>
      <c r="AA100" s="96"/>
      <c r="AB100" s="159"/>
      <c r="AC100" s="159"/>
      <c r="AD100" s="159"/>
      <c r="AE100" s="159"/>
      <c r="AF100" s="159"/>
      <c r="AG100" s="159"/>
      <c r="AH100" s="159"/>
      <c r="AI100" s="159"/>
      <c r="AJ100" s="116"/>
      <c r="AK100" s="96"/>
      <c r="AL100" s="116"/>
      <c r="AM100" s="116"/>
      <c r="AN100" s="116"/>
      <c r="AO100" s="116"/>
      <c r="AP100" s="96"/>
      <c r="AQ100" s="96"/>
      <c r="AR100" s="116"/>
      <c r="AS100" s="96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95"/>
      <c r="BK100" s="95"/>
      <c r="BL100" s="95"/>
      <c r="BM100" s="95"/>
      <c r="BN100" s="95"/>
    </row>
    <row r="101" spans="2:66" x14ac:dyDescent="0.3">
      <c r="X101" s="10"/>
      <c r="Y101" s="10"/>
      <c r="Z101" s="96"/>
      <c r="AA101" s="96"/>
      <c r="AB101" s="96"/>
      <c r="AC101" s="96"/>
      <c r="AD101" s="160"/>
      <c r="AE101" s="160"/>
      <c r="AF101" s="160"/>
      <c r="AG101" s="160"/>
      <c r="AH101" s="160"/>
      <c r="AI101" s="96"/>
      <c r="AJ101" s="96"/>
      <c r="AK101" s="96"/>
      <c r="AL101" s="116"/>
      <c r="AM101" s="116"/>
      <c r="AN101" s="116"/>
      <c r="AO101" s="116"/>
      <c r="AP101" s="96"/>
      <c r="AQ101" s="96"/>
      <c r="AR101" s="116"/>
      <c r="AS101" s="96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95"/>
      <c r="BK101" s="95"/>
      <c r="BL101" s="95"/>
      <c r="BM101" s="95"/>
      <c r="BN101" s="95"/>
    </row>
    <row r="102" spans="2:66" x14ac:dyDescent="0.3">
      <c r="X102" s="10"/>
      <c r="Y102" s="10"/>
      <c r="Z102" s="96"/>
      <c r="AA102" s="96"/>
      <c r="AB102" s="159"/>
      <c r="AC102" s="159"/>
      <c r="AD102" s="159"/>
      <c r="AE102" s="159"/>
      <c r="AF102" s="159"/>
      <c r="AG102" s="159"/>
      <c r="AH102" s="159"/>
      <c r="AI102" s="159"/>
      <c r="AJ102" s="159"/>
      <c r="AK102" s="159"/>
      <c r="AL102" s="116"/>
      <c r="AM102" s="116"/>
      <c r="AN102" s="116"/>
      <c r="AO102" s="116"/>
      <c r="AP102" s="96"/>
      <c r="AQ102" s="96"/>
      <c r="AR102" s="116"/>
      <c r="AS102" s="96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</row>
    <row r="103" spans="2:66" x14ac:dyDescent="0.3">
      <c r="X103" s="10"/>
      <c r="Y103" s="10"/>
      <c r="Z103" s="96"/>
      <c r="AA103" s="96"/>
      <c r="AB103" s="96"/>
      <c r="AC103" s="96"/>
      <c r="AD103" s="160"/>
      <c r="AE103" s="160"/>
      <c r="AF103" s="160"/>
      <c r="AG103" s="160"/>
      <c r="AH103" s="160"/>
      <c r="AI103" s="160"/>
      <c r="AJ103" s="160"/>
      <c r="AK103" s="96"/>
      <c r="AL103" s="116"/>
      <c r="AM103" s="116"/>
      <c r="AN103" s="116"/>
      <c r="AO103" s="116"/>
      <c r="AP103" s="96"/>
      <c r="AQ103" s="96"/>
      <c r="AR103" s="116"/>
      <c r="AS103" s="96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</row>
    <row r="104" spans="2:66" x14ac:dyDescent="0.3">
      <c r="X104" s="10"/>
      <c r="Y104" s="10"/>
      <c r="Z104" s="96"/>
      <c r="AA104" s="96"/>
      <c r="AB104" s="96"/>
      <c r="AC104" s="96"/>
      <c r="AD104" s="160"/>
      <c r="AE104" s="160"/>
      <c r="AF104" s="160"/>
      <c r="AG104" s="160"/>
      <c r="AH104" s="160"/>
      <c r="AI104" s="160"/>
      <c r="AJ104" s="160"/>
      <c r="AK104" s="96"/>
      <c r="AL104" s="116"/>
      <c r="AM104" s="116"/>
      <c r="AN104" s="116"/>
      <c r="AO104" s="116"/>
      <c r="AP104" s="96"/>
      <c r="AQ104" s="96"/>
      <c r="AR104" s="116"/>
      <c r="AS104" s="96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</row>
    <row r="105" spans="2:66" x14ac:dyDescent="0.3">
      <c r="X105" s="10"/>
      <c r="Y105" s="10"/>
      <c r="Z105" s="96"/>
      <c r="AA105" s="96"/>
      <c r="AB105" s="96"/>
      <c r="AC105" s="96"/>
      <c r="AD105" s="160"/>
      <c r="AE105" s="160"/>
      <c r="AF105" s="160"/>
      <c r="AG105" s="160"/>
      <c r="AH105" s="160"/>
      <c r="AI105" s="160"/>
      <c r="AJ105" s="160"/>
      <c r="AK105" s="96"/>
      <c r="AL105" s="116"/>
      <c r="AM105" s="116"/>
      <c r="AN105" s="116"/>
      <c r="AO105" s="116"/>
      <c r="AP105" s="96"/>
      <c r="AQ105" s="96"/>
      <c r="AR105" s="116"/>
      <c r="AS105" s="96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</row>
    <row r="106" spans="2:66" x14ac:dyDescent="0.3">
      <c r="X106" s="10"/>
      <c r="Y106" s="10"/>
      <c r="Z106" s="96"/>
      <c r="AA106" s="96"/>
      <c r="AB106" s="96"/>
      <c r="AC106" s="96"/>
      <c r="AD106" s="160"/>
      <c r="AE106" s="160"/>
      <c r="AF106" s="160"/>
      <c r="AG106" s="160"/>
      <c r="AH106" s="160"/>
      <c r="AI106" s="160"/>
      <c r="AJ106" s="160"/>
      <c r="AK106" s="96"/>
      <c r="AL106" s="116"/>
      <c r="AM106" s="116"/>
      <c r="AN106" s="116"/>
      <c r="AO106" s="116"/>
      <c r="AP106" s="96"/>
      <c r="AQ106" s="96"/>
      <c r="AR106" s="116"/>
      <c r="AS106" s="96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</row>
    <row r="107" spans="2:66" x14ac:dyDescent="0.3">
      <c r="X107" s="10"/>
      <c r="Y107" s="10"/>
      <c r="Z107" s="96"/>
      <c r="AA107" s="96"/>
      <c r="AB107" s="96"/>
      <c r="AC107" s="96"/>
      <c r="AD107" s="160"/>
      <c r="AE107" s="160"/>
      <c r="AF107" s="160"/>
      <c r="AG107" s="160"/>
      <c r="AH107" s="160"/>
      <c r="AI107" s="160"/>
      <c r="AJ107" s="160"/>
      <c r="AK107" s="96"/>
      <c r="AL107" s="116"/>
      <c r="AM107" s="116"/>
      <c r="AN107" s="116"/>
      <c r="AO107" s="116"/>
      <c r="AP107" s="96"/>
      <c r="AQ107" s="96"/>
      <c r="AR107" s="116"/>
      <c r="AS107" s="96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</row>
    <row r="108" spans="2:66" x14ac:dyDescent="0.3">
      <c r="X108" s="10"/>
      <c r="Y108" s="10"/>
      <c r="Z108" s="96"/>
      <c r="AA108" s="96"/>
      <c r="AB108" s="159"/>
      <c r="AC108" s="159"/>
      <c r="AD108" s="159"/>
      <c r="AE108" s="159"/>
      <c r="AF108" s="159"/>
      <c r="AG108" s="159"/>
      <c r="AH108" s="159"/>
      <c r="AI108" s="159"/>
      <c r="AJ108" s="159"/>
      <c r="AK108" s="159"/>
      <c r="AL108" s="96"/>
      <c r="AM108" s="96"/>
      <c r="AN108" s="96"/>
      <c r="AO108" s="96"/>
      <c r="AP108" s="96"/>
      <c r="AQ108" s="116"/>
      <c r="AR108" s="116"/>
      <c r="AS108" s="96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</row>
    <row r="109" spans="2:66" x14ac:dyDescent="0.3">
      <c r="X109" s="10"/>
      <c r="Y109" s="10"/>
      <c r="Z109" s="96"/>
      <c r="AA109" s="96"/>
      <c r="AB109" s="159"/>
      <c r="AC109" s="159"/>
      <c r="AD109" s="159"/>
      <c r="AE109" s="159"/>
      <c r="AF109" s="159"/>
      <c r="AG109" s="159"/>
      <c r="AH109" s="159"/>
      <c r="AI109" s="159"/>
      <c r="AJ109" s="159"/>
      <c r="AK109" s="159"/>
      <c r="AL109" s="159"/>
      <c r="AM109" s="159"/>
      <c r="AN109" s="159"/>
      <c r="AO109" s="159"/>
      <c r="AP109" s="96"/>
      <c r="AQ109" s="96"/>
      <c r="AR109" s="116"/>
      <c r="AS109" s="96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</row>
    <row r="110" spans="2:66" x14ac:dyDescent="0.3">
      <c r="Z110" s="116"/>
      <c r="AA110" s="116"/>
      <c r="AB110" s="116"/>
      <c r="AC110" s="116"/>
      <c r="AD110" s="116"/>
      <c r="AE110" s="116"/>
      <c r="AF110" s="116"/>
      <c r="AG110" s="116"/>
      <c r="AH110" s="116"/>
      <c r="AI110" s="116"/>
      <c r="AJ110" s="96"/>
      <c r="AK110" s="116"/>
      <c r="AL110" s="161"/>
      <c r="AM110" s="161"/>
      <c r="AN110" s="161"/>
      <c r="AO110" s="161"/>
      <c r="AP110" s="116"/>
      <c r="AQ110" s="116"/>
      <c r="AR110" s="116"/>
      <c r="AS110" s="116"/>
    </row>
    <row r="111" spans="2:66" x14ac:dyDescent="0.3">
      <c r="B111" s="131"/>
      <c r="D111" s="59"/>
      <c r="Z111" s="116"/>
      <c r="AA111" s="116"/>
      <c r="AB111" s="116"/>
      <c r="AC111" s="116"/>
      <c r="AD111" s="116"/>
      <c r="AE111" s="116"/>
      <c r="AF111" s="116"/>
      <c r="AG111" s="116"/>
      <c r="AH111" s="116"/>
      <c r="AI111" s="116"/>
      <c r="AJ111" s="116"/>
      <c r="AK111" s="116"/>
      <c r="AL111" s="96"/>
      <c r="AM111" s="96"/>
      <c r="AN111" s="96"/>
      <c r="AO111" s="96"/>
      <c r="AP111" s="116"/>
      <c r="AQ111" s="162"/>
      <c r="AR111" s="116"/>
      <c r="AS111" s="116"/>
    </row>
    <row r="112" spans="2:66" x14ac:dyDescent="0.3">
      <c r="B112" s="1"/>
      <c r="D112" s="59"/>
      <c r="R112" s="65"/>
      <c r="S112" s="65"/>
      <c r="T112" s="116"/>
      <c r="U112" s="116"/>
      <c r="V112" s="116"/>
      <c r="W112" s="116"/>
      <c r="X112" s="116"/>
      <c r="Y112" s="116"/>
      <c r="Z112" s="116"/>
      <c r="AA112" s="116"/>
      <c r="AB112" s="116"/>
      <c r="AC112" s="116"/>
      <c r="AD112" s="116"/>
      <c r="AE112" s="116"/>
      <c r="AF112" s="116"/>
      <c r="AG112" s="116"/>
      <c r="AH112" s="116"/>
      <c r="AI112" s="116"/>
      <c r="AJ112" s="116"/>
      <c r="AK112" s="116"/>
      <c r="AL112" s="116"/>
      <c r="AM112" s="116"/>
      <c r="AN112" s="116"/>
      <c r="AO112" s="116"/>
      <c r="AP112" s="116"/>
      <c r="AQ112" s="116"/>
      <c r="AR112" s="116"/>
      <c r="AS112" s="116"/>
    </row>
    <row r="113" spans="2:45" x14ac:dyDescent="0.3">
      <c r="B113" s="1"/>
      <c r="D113" s="59"/>
      <c r="R113" s="65"/>
      <c r="S113" s="65"/>
      <c r="T113" s="116"/>
      <c r="U113" s="116"/>
      <c r="V113" s="116"/>
      <c r="W113" s="116"/>
      <c r="X113" s="116"/>
      <c r="Y113" s="116"/>
      <c r="Z113" s="116"/>
      <c r="AA113" s="116"/>
      <c r="AB113" s="116"/>
      <c r="AC113" s="116"/>
      <c r="AD113" s="116"/>
      <c r="AE113" s="116"/>
      <c r="AF113" s="116"/>
      <c r="AG113" s="116"/>
      <c r="AH113" s="116"/>
      <c r="AI113" s="116"/>
      <c r="AJ113" s="116"/>
      <c r="AK113" s="116"/>
      <c r="AL113" s="116"/>
      <c r="AM113" s="116"/>
      <c r="AN113" s="116"/>
      <c r="AO113" s="116"/>
      <c r="AP113" s="116"/>
      <c r="AQ113" s="116"/>
      <c r="AR113" s="116"/>
      <c r="AS113" s="116"/>
    </row>
    <row r="114" spans="2:45" x14ac:dyDescent="0.3">
      <c r="B114" s="1"/>
      <c r="D114" s="59"/>
      <c r="R114" s="65"/>
      <c r="S114" s="65"/>
      <c r="T114" s="116"/>
      <c r="U114" s="116"/>
      <c r="V114" s="116"/>
      <c r="W114" s="116"/>
      <c r="X114" s="116"/>
      <c r="Y114" s="116"/>
      <c r="Z114" s="116"/>
      <c r="AA114" s="116"/>
      <c r="AB114" s="116"/>
      <c r="AC114" s="116"/>
      <c r="AD114" s="116"/>
      <c r="AE114" s="116"/>
      <c r="AF114" s="116"/>
      <c r="AG114" s="116"/>
      <c r="AH114" s="116"/>
    </row>
    <row r="115" spans="2:45" x14ac:dyDescent="0.3">
      <c r="B115" s="1"/>
      <c r="D115" s="59"/>
      <c r="R115" s="65"/>
      <c r="S115" s="65"/>
      <c r="T115" s="116"/>
      <c r="U115" s="116"/>
      <c r="V115" s="116"/>
      <c r="W115" s="116"/>
      <c r="X115" s="116"/>
      <c r="Y115" s="116"/>
      <c r="Z115" s="116"/>
      <c r="AA115" s="116"/>
      <c r="AB115" s="116"/>
      <c r="AC115" s="116"/>
      <c r="AD115" s="116"/>
      <c r="AE115" s="116"/>
      <c r="AF115" s="116"/>
      <c r="AG115" s="116"/>
      <c r="AH115" s="116"/>
    </row>
    <row r="116" spans="2:45" x14ac:dyDescent="0.3">
      <c r="B116" s="59"/>
      <c r="D116" s="59"/>
      <c r="R116" s="65"/>
      <c r="S116" s="65"/>
      <c r="T116" s="116"/>
      <c r="U116" s="116"/>
      <c r="V116" s="116"/>
      <c r="W116" s="116"/>
      <c r="X116" s="116"/>
      <c r="Y116" s="116"/>
      <c r="Z116" s="116"/>
      <c r="AA116" s="116"/>
      <c r="AB116" s="116"/>
      <c r="AC116" s="116"/>
      <c r="AD116" s="116"/>
      <c r="AE116" s="116"/>
      <c r="AF116" s="116"/>
      <c r="AG116" s="116"/>
      <c r="AH116" s="116"/>
    </row>
    <row r="117" spans="2:45" x14ac:dyDescent="0.3">
      <c r="B117" s="61"/>
      <c r="D117" s="59"/>
      <c r="R117" s="65"/>
      <c r="S117" s="65"/>
      <c r="T117" s="116"/>
      <c r="U117" s="116"/>
      <c r="V117" s="116"/>
      <c r="W117" s="116"/>
      <c r="X117" s="116"/>
      <c r="Y117" s="116"/>
      <c r="Z117" s="116"/>
      <c r="AA117" s="116"/>
      <c r="AB117" s="116"/>
      <c r="AC117" s="116"/>
      <c r="AD117" s="116"/>
      <c r="AE117" s="116"/>
      <c r="AF117" s="116"/>
      <c r="AG117" s="116"/>
      <c r="AH117" s="116"/>
    </row>
    <row r="118" spans="2:45" x14ac:dyDescent="0.3">
      <c r="B118" s="1"/>
      <c r="D118" s="59"/>
      <c r="R118" s="65"/>
      <c r="S118" s="65"/>
      <c r="T118" s="116"/>
      <c r="U118" s="116"/>
      <c r="V118" s="116"/>
      <c r="W118" s="116"/>
      <c r="X118" s="116"/>
      <c r="Y118" s="116"/>
      <c r="Z118" s="116"/>
      <c r="AA118" s="116"/>
      <c r="AB118" s="116"/>
      <c r="AC118" s="116"/>
      <c r="AD118" s="116"/>
      <c r="AE118" s="116"/>
      <c r="AF118" s="116"/>
      <c r="AG118" s="116"/>
      <c r="AH118" s="116"/>
    </row>
    <row r="119" spans="2:45" x14ac:dyDescent="0.3">
      <c r="B119" s="1"/>
      <c r="D119" s="59"/>
      <c r="T119" s="124"/>
      <c r="U119" s="124"/>
      <c r="V119" s="124"/>
      <c r="W119" s="124"/>
      <c r="X119" s="124"/>
      <c r="Y119" s="124"/>
      <c r="Z119" s="124"/>
      <c r="AA119" s="124"/>
      <c r="AB119" s="124"/>
      <c r="AC119" s="124"/>
      <c r="AD119" s="124"/>
      <c r="AE119" s="124"/>
      <c r="AF119" s="124"/>
      <c r="AG119" s="124"/>
      <c r="AH119" s="124"/>
    </row>
    <row r="120" spans="2:45" x14ac:dyDescent="0.3">
      <c r="B120" s="1"/>
      <c r="D120" s="59"/>
    </row>
    <row r="121" spans="2:45" x14ac:dyDescent="0.3">
      <c r="B121" s="1"/>
      <c r="D121" s="59"/>
    </row>
    <row r="122" spans="2:45" x14ac:dyDescent="0.3">
      <c r="B122" s="61" t="e">
        <f>+B121/B120</f>
        <v>#DIV/0!</v>
      </c>
      <c r="D122" s="59"/>
    </row>
    <row r="123" spans="2:45" x14ac:dyDescent="0.3">
      <c r="B123" s="1"/>
      <c r="D123" s="59"/>
    </row>
    <row r="124" spans="2:45" x14ac:dyDescent="0.3">
      <c r="B124" s="1"/>
      <c r="D124" s="59"/>
    </row>
    <row r="125" spans="2:45" x14ac:dyDescent="0.3">
      <c r="B125" s="1">
        <f>+B121*50</f>
        <v>0</v>
      </c>
      <c r="D125" s="59"/>
    </row>
    <row r="126" spans="2:45" x14ac:dyDescent="0.3">
      <c r="B126" s="1"/>
      <c r="D126" s="59"/>
    </row>
    <row r="127" spans="2:45" x14ac:dyDescent="0.3">
      <c r="B127" s="1"/>
      <c r="D127" s="59"/>
    </row>
    <row r="128" spans="2:45" x14ac:dyDescent="0.3">
      <c r="B128" s="1"/>
      <c r="D128" s="59"/>
    </row>
    <row r="129" spans="2:4" x14ac:dyDescent="0.3">
      <c r="B129" s="1"/>
      <c r="D129" s="59"/>
    </row>
    <row r="130" spans="2:4" x14ac:dyDescent="0.3">
      <c r="B130" s="1"/>
      <c r="D130" s="59"/>
    </row>
    <row r="131" spans="2:4" x14ac:dyDescent="0.3">
      <c r="B131" s="1"/>
      <c r="D131" s="59"/>
    </row>
    <row r="132" spans="2:4" x14ac:dyDescent="0.3">
      <c r="B132" s="1"/>
      <c r="D132" s="59"/>
    </row>
    <row r="133" spans="2:4" x14ac:dyDescent="0.3">
      <c r="B133" s="1"/>
      <c r="D133" s="59"/>
    </row>
    <row r="134" spans="2:4" x14ac:dyDescent="0.3">
      <c r="B134" s="1"/>
      <c r="D134" s="59"/>
    </row>
    <row r="135" spans="2:4" x14ac:dyDescent="0.3">
      <c r="B135" s="1"/>
    </row>
    <row r="136" spans="2:4" x14ac:dyDescent="0.3">
      <c r="B136" s="1"/>
    </row>
    <row r="137" spans="2:4" x14ac:dyDescent="0.3">
      <c r="B137" s="1"/>
    </row>
    <row r="138" spans="2:4" x14ac:dyDescent="0.3">
      <c r="B138" s="1"/>
    </row>
    <row r="139" spans="2:4" x14ac:dyDescent="0.3">
      <c r="B139" s="1"/>
    </row>
    <row r="140" spans="2:4" x14ac:dyDescent="0.3">
      <c r="B140" s="1"/>
    </row>
    <row r="141" spans="2:4" x14ac:dyDescent="0.3">
      <c r="B141" s="1"/>
    </row>
    <row r="142" spans="2:4" x14ac:dyDescent="0.3">
      <c r="B142" s="1"/>
    </row>
  </sheetData>
  <mergeCells count="16">
    <mergeCell ref="B1:D1"/>
    <mergeCell ref="B2:D2"/>
    <mergeCell ref="J4:W4"/>
    <mergeCell ref="D7:J7"/>
    <mergeCell ref="B3:C3"/>
    <mergeCell ref="F6:L6"/>
    <mergeCell ref="S6:Z6"/>
    <mergeCell ref="Q7:Z7"/>
    <mergeCell ref="AQ8:AS8"/>
    <mergeCell ref="AU8:BC8"/>
    <mergeCell ref="AB4:BH4"/>
    <mergeCell ref="AU6:BH6"/>
    <mergeCell ref="AQ7:BH7"/>
    <mergeCell ref="AB7:AO7"/>
    <mergeCell ref="AB6:AO6"/>
    <mergeCell ref="AQ6:AS6"/>
  </mergeCells>
  <printOptions horizontalCentered="1"/>
  <pageMargins left="0.45" right="0.45" top="0.5" bottom="0.5" header="0.3" footer="0.3"/>
  <pageSetup scale="60" orientation="landscape" r:id="rId1"/>
  <headerFooter>
    <oddFooter>&amp;CMAK Table&amp;RAll Rights Reserved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42DB49-02A6-45B3-8E7D-E8503F933704}">
  <dimension ref="C1:AO82"/>
  <sheetViews>
    <sheetView topLeftCell="A34" workbookViewId="0">
      <selection activeCell="AF30" sqref="AF30"/>
    </sheetView>
  </sheetViews>
  <sheetFormatPr defaultRowHeight="14.4" x14ac:dyDescent="0.3"/>
  <cols>
    <col min="1" max="2" width="2.109375" customWidth="1"/>
    <col min="3" max="3" width="10.88671875" customWidth="1"/>
    <col min="4" max="4" width="2.77734375" customWidth="1"/>
    <col min="5" max="5" width="10" bestFit="1" customWidth="1"/>
    <col min="6" max="6" width="1.33203125" customWidth="1"/>
    <col min="8" max="8" width="1.88671875" customWidth="1"/>
    <col min="10" max="10" width="1.88671875" customWidth="1"/>
    <col min="11" max="11" width="10.77734375" customWidth="1"/>
    <col min="12" max="12" width="1.5546875" customWidth="1"/>
    <col min="14" max="14" width="2.109375" customWidth="1"/>
    <col min="15" max="15" width="3.33203125" customWidth="1"/>
    <col min="16" max="16" width="1" customWidth="1"/>
    <col min="17" max="17" width="8.21875" customWidth="1"/>
    <col min="18" max="18" width="2.33203125" customWidth="1"/>
    <col min="20" max="20" width="2.44140625" customWidth="1"/>
    <col min="22" max="22" width="2.33203125" customWidth="1"/>
    <col min="23" max="23" width="5.6640625" customWidth="1"/>
    <col min="26" max="26" width="1.88671875" customWidth="1"/>
    <col min="27" max="27" width="2.5546875" customWidth="1"/>
    <col min="28" max="28" width="7.6640625" customWidth="1"/>
    <col min="29" max="29" width="2.44140625" customWidth="1"/>
    <col min="30" max="30" width="12" customWidth="1"/>
    <col min="31" max="31" width="1.6640625" customWidth="1"/>
    <col min="32" max="32" width="10" customWidth="1"/>
    <col min="33" max="33" width="1.88671875" customWidth="1"/>
    <col min="35" max="35" width="1.5546875" customWidth="1"/>
    <col min="37" max="37" width="1.88671875" customWidth="1"/>
    <col min="38" max="38" width="8.88671875" customWidth="1"/>
    <col min="40" max="40" width="8.88671875" customWidth="1"/>
    <col min="41" max="41" width="14.6640625" customWidth="1"/>
  </cols>
  <sheetData>
    <row r="1" spans="3:40" ht="15.6" x14ac:dyDescent="0.3">
      <c r="C1" s="176" t="s">
        <v>5</v>
      </c>
      <c r="D1" s="176"/>
      <c r="E1" s="176"/>
    </row>
    <row r="2" spans="3:40" ht="15.6" x14ac:dyDescent="0.3">
      <c r="C2" s="176" t="s">
        <v>6</v>
      </c>
      <c r="D2" s="176"/>
      <c r="E2" s="176"/>
    </row>
    <row r="3" spans="3:40" x14ac:dyDescent="0.3">
      <c r="C3" s="177" t="s">
        <v>14</v>
      </c>
      <c r="D3" s="177"/>
    </row>
    <row r="4" spans="3:40" x14ac:dyDescent="0.3">
      <c r="D4" s="177"/>
      <c r="E4" s="177"/>
    </row>
    <row r="5" spans="3:40" x14ac:dyDescent="0.3">
      <c r="C5" s="129" t="s">
        <v>41</v>
      </c>
      <c r="D5" s="130"/>
      <c r="E5" s="130" t="s">
        <v>43</v>
      </c>
    </row>
    <row r="6" spans="3:40" ht="15" thickBot="1" x14ac:dyDescent="0.35"/>
    <row r="7" spans="3:40" x14ac:dyDescent="0.3">
      <c r="C7" s="62" t="s">
        <v>81</v>
      </c>
      <c r="E7" s="441" t="s">
        <v>7</v>
      </c>
      <c r="F7" s="442"/>
      <c r="G7" s="446">
        <v>0.7</v>
      </c>
      <c r="H7" s="446"/>
      <c r="I7" s="446"/>
      <c r="J7" s="446"/>
      <c r="K7" s="446"/>
      <c r="L7" s="446"/>
      <c r="M7" s="446"/>
      <c r="N7" s="446"/>
      <c r="O7" s="446"/>
      <c r="P7" s="446"/>
      <c r="Q7" s="446"/>
      <c r="R7" s="446"/>
      <c r="S7" s="446"/>
      <c r="T7" s="446"/>
      <c r="U7" s="447"/>
    </row>
    <row r="8" spans="3:40" x14ac:dyDescent="0.3">
      <c r="E8" s="443" t="s">
        <v>13</v>
      </c>
      <c r="F8" s="444"/>
      <c r="G8" s="444"/>
      <c r="H8" s="444"/>
      <c r="I8" s="444"/>
      <c r="J8" s="444"/>
      <c r="K8" s="444"/>
      <c r="L8" s="444"/>
      <c r="M8" s="444"/>
      <c r="N8" s="444"/>
      <c r="O8" s="444"/>
      <c r="P8" s="444"/>
      <c r="Q8" s="444"/>
      <c r="R8" s="444"/>
      <c r="S8" s="444"/>
      <c r="T8" s="444"/>
      <c r="U8" s="445"/>
    </row>
    <row r="9" spans="3:40" x14ac:dyDescent="0.3">
      <c r="E9" s="461" t="s">
        <v>38</v>
      </c>
      <c r="F9" s="462"/>
      <c r="G9" s="462"/>
      <c r="H9" s="462"/>
      <c r="I9" s="462"/>
      <c r="J9" s="462"/>
      <c r="K9" s="462"/>
      <c r="L9" s="462"/>
      <c r="M9" s="462"/>
      <c r="N9" s="462"/>
      <c r="O9" s="462"/>
      <c r="P9" s="463"/>
      <c r="Q9" s="459" t="s">
        <v>119</v>
      </c>
      <c r="R9" s="5"/>
      <c r="S9" s="456" t="s">
        <v>4</v>
      </c>
      <c r="T9" s="457"/>
      <c r="U9" s="458"/>
      <c r="W9" s="62" t="s">
        <v>19</v>
      </c>
    </row>
    <row r="10" spans="3:40" x14ac:dyDescent="0.3">
      <c r="E10" s="292" t="s">
        <v>8</v>
      </c>
      <c r="F10" s="5"/>
      <c r="G10" s="4" t="s">
        <v>52</v>
      </c>
      <c r="H10" s="5"/>
      <c r="I10" s="4" t="s">
        <v>53</v>
      </c>
      <c r="J10" s="5"/>
      <c r="K10" s="4" t="s">
        <v>9</v>
      </c>
      <c r="L10" s="5"/>
      <c r="M10" s="182" t="s">
        <v>82</v>
      </c>
      <c r="N10" s="125"/>
      <c r="O10" s="126" t="s">
        <v>16</v>
      </c>
      <c r="P10" s="391"/>
      <c r="Q10" s="460"/>
      <c r="R10" s="6"/>
      <c r="S10" s="4" t="s">
        <v>4</v>
      </c>
      <c r="T10" s="6"/>
      <c r="U10" s="293" t="s">
        <v>83</v>
      </c>
    </row>
    <row r="11" spans="3:40" x14ac:dyDescent="0.3">
      <c r="C11" s="180">
        <v>43910</v>
      </c>
      <c r="E11" s="294"/>
      <c r="F11" s="7"/>
      <c r="G11" s="7"/>
      <c r="H11" s="7"/>
      <c r="I11" s="7"/>
      <c r="J11" s="7"/>
      <c r="K11" s="7"/>
      <c r="L11" s="6"/>
      <c r="M11" s="28"/>
      <c r="N11" s="28"/>
      <c r="O11" s="28"/>
      <c r="P11" s="28"/>
      <c r="Q11" s="392"/>
      <c r="R11" s="6"/>
      <c r="S11" s="6"/>
      <c r="T11" s="6"/>
      <c r="U11" s="295"/>
      <c r="W11">
        <v>1</v>
      </c>
      <c r="AL11" s="116"/>
      <c r="AM11" s="116"/>
      <c r="AN11" s="116"/>
    </row>
    <row r="12" spans="3:40" ht="15" thickBot="1" x14ac:dyDescent="0.35">
      <c r="C12" s="180">
        <f t="shared" ref="C12" si="0">+C11+1</f>
        <v>43911</v>
      </c>
      <c r="E12" s="294"/>
      <c r="F12" s="7"/>
      <c r="G12" s="7"/>
      <c r="H12" s="7"/>
      <c r="I12" s="7"/>
      <c r="J12" s="7"/>
      <c r="K12" s="7"/>
      <c r="L12" s="6"/>
      <c r="M12" s="28"/>
      <c r="N12" s="28"/>
      <c r="O12" s="28"/>
      <c r="P12" s="28"/>
      <c r="Q12" s="392"/>
      <c r="R12" s="6"/>
      <c r="S12" s="6"/>
      <c r="T12" s="6"/>
      <c r="U12" s="295"/>
      <c r="W12">
        <f t="shared" ref="W12:W68" si="1">+W11+1</f>
        <v>2</v>
      </c>
      <c r="Z12" s="10"/>
      <c r="AA12" s="10"/>
      <c r="AB12" s="10"/>
      <c r="AC12" s="10"/>
      <c r="AD12" s="10"/>
      <c r="AE12" s="10"/>
      <c r="AF12" s="10"/>
      <c r="AG12" s="65"/>
      <c r="AH12" s="65"/>
      <c r="AI12" s="65"/>
      <c r="AJ12" s="65"/>
      <c r="AK12" s="65"/>
      <c r="AL12" s="116"/>
      <c r="AM12" s="116"/>
      <c r="AN12" s="116"/>
    </row>
    <row r="13" spans="3:40" ht="15" thickBot="1" x14ac:dyDescent="0.35">
      <c r="C13" s="180">
        <f>+C12+1</f>
        <v>43912</v>
      </c>
      <c r="E13" s="294"/>
      <c r="F13" s="7"/>
      <c r="G13" s="7"/>
      <c r="H13" s="7"/>
      <c r="I13" s="7"/>
      <c r="J13" s="7"/>
      <c r="K13" s="7"/>
      <c r="L13" s="6"/>
      <c r="M13" s="28"/>
      <c r="N13" s="28"/>
      <c r="O13" s="28"/>
      <c r="P13" s="28"/>
      <c r="Q13" s="392"/>
      <c r="R13" s="6"/>
      <c r="S13" s="6"/>
      <c r="T13" s="6"/>
      <c r="U13" s="295"/>
      <c r="W13">
        <f t="shared" si="1"/>
        <v>3</v>
      </c>
      <c r="Z13" s="1"/>
      <c r="AA13" s="1"/>
      <c r="AB13" s="1"/>
      <c r="AC13" s="212" t="s">
        <v>62</v>
      </c>
      <c r="AD13" s="213"/>
      <c r="AE13" s="213"/>
      <c r="AF13" s="213"/>
      <c r="AG13" s="213"/>
      <c r="AH13" s="213"/>
      <c r="AI13" s="213"/>
      <c r="AJ13" s="213"/>
      <c r="AK13" s="214"/>
      <c r="AL13" s="163"/>
      <c r="AM13" s="163"/>
      <c r="AN13" s="116"/>
    </row>
    <row r="14" spans="3:40" ht="15" thickBot="1" x14ac:dyDescent="0.35">
      <c r="C14" s="180">
        <f t="shared" ref="C14:C68" si="2">+C13+1</f>
        <v>43913</v>
      </c>
      <c r="E14" s="294"/>
      <c r="F14" s="7"/>
      <c r="G14" s="7"/>
      <c r="H14" s="7"/>
      <c r="I14" s="7"/>
      <c r="J14" s="7"/>
      <c r="K14" s="7"/>
      <c r="L14" s="6"/>
      <c r="M14" s="28"/>
      <c r="N14" s="28"/>
      <c r="O14" s="28"/>
      <c r="P14" s="28"/>
      <c r="Q14" s="392"/>
      <c r="R14" s="6"/>
      <c r="S14" s="6"/>
      <c r="T14" s="6"/>
      <c r="U14" s="295"/>
      <c r="W14">
        <f t="shared" si="1"/>
        <v>4</v>
      </c>
      <c r="Z14" s="1"/>
      <c r="AA14" s="1"/>
      <c r="AB14" s="1"/>
      <c r="AC14" s="215"/>
      <c r="AD14" s="453" t="s">
        <v>49</v>
      </c>
      <c r="AE14" s="454"/>
      <c r="AF14" s="455"/>
      <c r="AG14" s="216"/>
      <c r="AH14" s="451" t="s">
        <v>33</v>
      </c>
      <c r="AI14" s="217"/>
      <c r="AJ14" s="217"/>
      <c r="AK14" s="218"/>
      <c r="AL14" s="116"/>
      <c r="AM14" s="116"/>
      <c r="AN14" s="116"/>
    </row>
    <row r="15" spans="3:40" ht="15" thickBot="1" x14ac:dyDescent="0.35">
      <c r="C15" s="180">
        <f t="shared" si="2"/>
        <v>43914</v>
      </c>
      <c r="E15" s="294"/>
      <c r="F15" s="7"/>
      <c r="G15" s="7"/>
      <c r="H15" s="7"/>
      <c r="I15" s="7"/>
      <c r="J15" s="7"/>
      <c r="K15" s="7"/>
      <c r="L15" s="6"/>
      <c r="M15" s="28"/>
      <c r="N15" s="28"/>
      <c r="O15" s="28"/>
      <c r="P15" s="28"/>
      <c r="Q15" s="392"/>
      <c r="R15" s="6"/>
      <c r="S15" s="6"/>
      <c r="T15" s="6"/>
      <c r="U15" s="295"/>
      <c r="W15">
        <f t="shared" si="1"/>
        <v>5</v>
      </c>
      <c r="Z15" s="1"/>
      <c r="AA15" s="1"/>
      <c r="AB15" s="1"/>
      <c r="AC15" s="199"/>
      <c r="AD15" s="178"/>
      <c r="AE15" s="178"/>
      <c r="AF15" s="219" t="s">
        <v>21</v>
      </c>
      <c r="AG15" s="220"/>
      <c r="AH15" s="452"/>
      <c r="AI15" s="221"/>
      <c r="AJ15" s="222" t="s">
        <v>4</v>
      </c>
      <c r="AK15" s="223"/>
      <c r="AL15" s="116"/>
      <c r="AM15" s="116"/>
      <c r="AN15" s="116"/>
    </row>
    <row r="16" spans="3:40" x14ac:dyDescent="0.3">
      <c r="C16" s="180">
        <f t="shared" si="2"/>
        <v>43915</v>
      </c>
      <c r="E16" s="294"/>
      <c r="F16" s="7"/>
      <c r="G16" s="7"/>
      <c r="H16" s="7"/>
      <c r="I16" s="7"/>
      <c r="J16" s="7"/>
      <c r="K16" s="7"/>
      <c r="L16" s="6"/>
      <c r="M16" s="28"/>
      <c r="N16" s="28"/>
      <c r="O16" s="28"/>
      <c r="P16" s="28"/>
      <c r="Q16" s="392"/>
      <c r="R16" s="6"/>
      <c r="S16" s="6"/>
      <c r="T16" s="6"/>
      <c r="U16" s="295"/>
      <c r="W16">
        <f t="shared" si="1"/>
        <v>6</v>
      </c>
      <c r="Z16" s="1"/>
      <c r="AA16" s="1"/>
      <c r="AB16" s="1"/>
      <c r="AC16" s="199"/>
      <c r="AD16" s="211" t="s">
        <v>40</v>
      </c>
      <c r="AE16" s="178"/>
      <c r="AF16" s="211">
        <f>+K70</f>
        <v>511026</v>
      </c>
      <c r="AG16" s="210"/>
      <c r="AH16" s="224">
        <f>+AJ31</f>
        <v>1580.0742075147623</v>
      </c>
      <c r="AI16" s="224"/>
      <c r="AJ16" s="225">
        <f>+S70</f>
        <v>39069</v>
      </c>
      <c r="AK16" s="226"/>
      <c r="AL16" s="116"/>
      <c r="AM16" s="116"/>
      <c r="AN16" s="116"/>
    </row>
    <row r="17" spans="3:41" x14ac:dyDescent="0.3">
      <c r="C17" s="180">
        <f t="shared" si="2"/>
        <v>43916</v>
      </c>
      <c r="E17" s="294"/>
      <c r="F17" s="7"/>
      <c r="G17" s="7"/>
      <c r="H17" s="7"/>
      <c r="I17" s="7"/>
      <c r="J17" s="7"/>
      <c r="K17" s="7"/>
      <c r="L17" s="6"/>
      <c r="M17" s="28"/>
      <c r="N17" s="28"/>
      <c r="O17" s="28"/>
      <c r="P17" s="28"/>
      <c r="Q17" s="392"/>
      <c r="R17" s="6"/>
      <c r="S17" s="6"/>
      <c r="T17" s="6"/>
      <c r="U17" s="295"/>
      <c r="W17">
        <f t="shared" si="1"/>
        <v>7</v>
      </c>
      <c r="Z17" s="65"/>
      <c r="AA17" s="65"/>
      <c r="AB17" s="10"/>
      <c r="AC17" s="199"/>
      <c r="AD17" s="227" t="s">
        <v>60</v>
      </c>
      <c r="AE17" s="178"/>
      <c r="AF17" s="171">
        <v>79332</v>
      </c>
      <c r="AG17" s="211"/>
      <c r="AH17" s="172">
        <v>1151</v>
      </c>
      <c r="AI17" s="224"/>
      <c r="AJ17" s="171">
        <v>5141</v>
      </c>
      <c r="AK17" s="228"/>
      <c r="AL17" s="116"/>
      <c r="AM17" s="96"/>
      <c r="AN17" s="96"/>
    </row>
    <row r="18" spans="3:41" x14ac:dyDescent="0.3">
      <c r="C18" s="180">
        <f t="shared" si="2"/>
        <v>43917</v>
      </c>
      <c r="E18" s="294">
        <v>44870</v>
      </c>
      <c r="F18" s="7"/>
      <c r="G18" s="7">
        <v>8825</v>
      </c>
      <c r="H18" s="7"/>
      <c r="I18" s="7"/>
      <c r="J18" s="7"/>
      <c r="K18" s="7">
        <f t="shared" ref="K18:K29" si="3">SUM(E18:G18)</f>
        <v>53695</v>
      </c>
      <c r="L18" s="6"/>
      <c r="M18" s="29"/>
      <c r="N18" s="29"/>
      <c r="O18" s="29"/>
      <c r="P18" s="29"/>
      <c r="Q18" s="393"/>
      <c r="R18" s="45"/>
      <c r="S18" s="6"/>
      <c r="T18" s="6"/>
      <c r="U18" s="296"/>
      <c r="W18">
        <f t="shared" si="1"/>
        <v>8</v>
      </c>
      <c r="Z18" s="1"/>
      <c r="AA18" s="1"/>
      <c r="AB18" s="1"/>
      <c r="AC18" s="199"/>
      <c r="AD18" s="211" t="s">
        <v>93</v>
      </c>
      <c r="AE18" s="178"/>
      <c r="AF18" s="171">
        <v>61310</v>
      </c>
      <c r="AG18" s="211"/>
      <c r="AH18" s="172">
        <v>479</v>
      </c>
      <c r="AI18" s="224"/>
      <c r="AJ18" s="171">
        <v>3914</v>
      </c>
      <c r="AK18" s="228"/>
      <c r="AL18" s="116"/>
      <c r="AM18" s="96"/>
      <c r="AN18" s="96"/>
    </row>
    <row r="19" spans="3:41" ht="15" thickBot="1" x14ac:dyDescent="0.35">
      <c r="C19" s="180">
        <f t="shared" si="2"/>
        <v>43918</v>
      </c>
      <c r="E19" s="294">
        <v>52318</v>
      </c>
      <c r="F19" s="7"/>
      <c r="G19" s="7">
        <v>11124</v>
      </c>
      <c r="H19" s="7"/>
      <c r="I19" s="7"/>
      <c r="J19" s="7"/>
      <c r="K19" s="7">
        <f t="shared" si="3"/>
        <v>63442</v>
      </c>
      <c r="L19" s="6"/>
      <c r="M19" s="29">
        <f t="shared" ref="M19:M30" si="4">+(K19-K18)/K18</f>
        <v>0.1815252816835832</v>
      </c>
      <c r="N19" s="29"/>
      <c r="O19" s="29"/>
      <c r="P19" s="29"/>
      <c r="Q19" s="395">
        <f>+K19-K18</f>
        <v>9747</v>
      </c>
      <c r="R19" s="45"/>
      <c r="S19" s="7">
        <f>728+140</f>
        <v>868</v>
      </c>
      <c r="T19" s="6"/>
      <c r="U19" s="296">
        <f>+S19/K19</f>
        <v>1.3681788089908893E-2</v>
      </c>
      <c r="W19">
        <f t="shared" si="1"/>
        <v>9</v>
      </c>
      <c r="Z19" s="1"/>
      <c r="AA19" s="1"/>
      <c r="AB19" s="10"/>
      <c r="AC19" s="199"/>
      <c r="AD19" s="178"/>
      <c r="AE19" s="178"/>
      <c r="AF19" s="229">
        <f>SUM(AF16:AF18)</f>
        <v>651668</v>
      </c>
      <c r="AG19" s="211"/>
      <c r="AH19" s="211"/>
      <c r="AI19" s="211"/>
      <c r="AJ19" s="229">
        <f>SUM(AJ16:AJ18)</f>
        <v>48124</v>
      </c>
      <c r="AK19" s="228"/>
      <c r="AL19" s="116"/>
      <c r="AM19" s="96"/>
      <c r="AN19" s="96"/>
    </row>
    <row r="20" spans="3:41" ht="15" thickTop="1" x14ac:dyDescent="0.3">
      <c r="C20" s="180">
        <f t="shared" si="2"/>
        <v>43919</v>
      </c>
      <c r="E20" s="294">
        <v>59513</v>
      </c>
      <c r="F20" s="7"/>
      <c r="G20" s="7">
        <v>13386</v>
      </c>
      <c r="H20" s="7"/>
      <c r="I20" s="7"/>
      <c r="J20" s="7"/>
      <c r="K20" s="7">
        <f t="shared" si="3"/>
        <v>72899</v>
      </c>
      <c r="L20" s="6"/>
      <c r="M20" s="29">
        <f t="shared" si="4"/>
        <v>0.14906528797957189</v>
      </c>
      <c r="N20" s="29"/>
      <c r="O20" s="29"/>
      <c r="P20" s="29"/>
      <c r="Q20" s="395">
        <f t="shared" ref="Q20:Q61" si="5">+K20-K19</f>
        <v>9457</v>
      </c>
      <c r="R20" s="45"/>
      <c r="S20" s="7">
        <f>965+161</f>
        <v>1126</v>
      </c>
      <c r="T20" s="6"/>
      <c r="U20" s="296">
        <f t="shared" ref="U20:U52" si="6">+S20/K20</f>
        <v>1.5446028066228617E-2</v>
      </c>
      <c r="W20">
        <f t="shared" si="1"/>
        <v>10</v>
      </c>
      <c r="Z20" s="1"/>
      <c r="AA20" s="1"/>
      <c r="AB20" s="1"/>
      <c r="AC20" s="199"/>
      <c r="AD20" s="178"/>
      <c r="AE20" s="178"/>
      <c r="AF20" s="211"/>
      <c r="AG20" s="211"/>
      <c r="AH20" s="211"/>
      <c r="AI20" s="211"/>
      <c r="AJ20" s="211"/>
      <c r="AK20" s="228"/>
      <c r="AL20" s="116"/>
      <c r="AM20" s="96"/>
      <c r="AN20" s="96"/>
    </row>
    <row r="21" spans="3:41" ht="15" thickBot="1" x14ac:dyDescent="0.35">
      <c r="C21" s="180">
        <f t="shared" si="2"/>
        <v>43920</v>
      </c>
      <c r="E21" s="294">
        <v>66467</v>
      </c>
      <c r="F21" s="7"/>
      <c r="G21" s="7">
        <v>16636</v>
      </c>
      <c r="H21" s="7"/>
      <c r="I21" s="7"/>
      <c r="J21" s="7"/>
      <c r="K21" s="7">
        <f t="shared" si="3"/>
        <v>83103</v>
      </c>
      <c r="L21" s="6"/>
      <c r="M21" s="29">
        <f t="shared" si="4"/>
        <v>0.13997448524671122</v>
      </c>
      <c r="N21" s="29"/>
      <c r="O21" s="29"/>
      <c r="P21" s="29"/>
      <c r="Q21" s="395">
        <f t="shared" si="5"/>
        <v>10204</v>
      </c>
      <c r="R21" s="45"/>
      <c r="S21" s="7">
        <f>1218+198</f>
        <v>1416</v>
      </c>
      <c r="T21" s="6"/>
      <c r="U21" s="296">
        <f t="shared" si="6"/>
        <v>1.7039096061514023E-2</v>
      </c>
      <c r="W21">
        <f t="shared" si="1"/>
        <v>11</v>
      </c>
      <c r="Z21" s="1"/>
      <c r="AA21" s="1"/>
      <c r="AB21" s="1"/>
      <c r="AC21" s="199"/>
      <c r="AD21" s="230" t="s">
        <v>30</v>
      </c>
      <c r="AE21" s="178"/>
      <c r="AF21" s="231">
        <f>+AF19/'Main Table'!H68</f>
        <v>0.46303101614613085</v>
      </c>
      <c r="AG21" s="211"/>
      <c r="AH21" s="211"/>
      <c r="AI21" s="211"/>
      <c r="AJ21" s="231">
        <f>+AJ19/'Main Table'!U68</f>
        <v>0.57764280827261705</v>
      </c>
      <c r="AK21" s="228"/>
      <c r="AL21" s="116"/>
      <c r="AM21" s="96"/>
      <c r="AN21" s="96"/>
    </row>
    <row r="22" spans="3:41" ht="15.6" thickTop="1" thickBot="1" x14ac:dyDescent="0.35">
      <c r="C22" s="180">
        <f t="shared" si="2"/>
        <v>43921</v>
      </c>
      <c r="E22" s="294">
        <v>75795</v>
      </c>
      <c r="F22" s="7"/>
      <c r="G22" s="7">
        <v>18696</v>
      </c>
      <c r="H22" s="7"/>
      <c r="I22" s="7"/>
      <c r="J22" s="7"/>
      <c r="K22" s="7">
        <f t="shared" si="3"/>
        <v>94491</v>
      </c>
      <c r="L22" s="6"/>
      <c r="M22" s="29">
        <f t="shared" si="4"/>
        <v>0.13703476408793908</v>
      </c>
      <c r="N22" s="29"/>
      <c r="O22" s="29"/>
      <c r="P22" s="29"/>
      <c r="Q22" s="395">
        <f t="shared" si="5"/>
        <v>11388</v>
      </c>
      <c r="R22" s="6"/>
      <c r="S22" s="7">
        <f>1550+267</f>
        <v>1817</v>
      </c>
      <c r="T22" s="6"/>
      <c r="U22" s="296">
        <f t="shared" si="6"/>
        <v>1.9229344593665005E-2</v>
      </c>
      <c r="W22">
        <f t="shared" si="1"/>
        <v>12</v>
      </c>
      <c r="Z22" s="1"/>
      <c r="AA22" s="1"/>
      <c r="AB22" s="1"/>
      <c r="AC22" s="204"/>
      <c r="AD22" s="232"/>
      <c r="AE22" s="205"/>
      <c r="AF22" s="233"/>
      <c r="AG22" s="234"/>
      <c r="AH22" s="234"/>
      <c r="AI22" s="234"/>
      <c r="AJ22" s="233"/>
      <c r="AK22" s="235"/>
      <c r="AL22" s="116"/>
      <c r="AM22" s="96"/>
      <c r="AN22" s="96"/>
    </row>
    <row r="23" spans="3:41" x14ac:dyDescent="0.3">
      <c r="C23" s="180">
        <f t="shared" si="2"/>
        <v>43922</v>
      </c>
      <c r="E23" s="294">
        <v>83712</v>
      </c>
      <c r="F23" s="7"/>
      <c r="G23" s="7">
        <v>22255</v>
      </c>
      <c r="H23" s="7"/>
      <c r="I23" s="7"/>
      <c r="J23" s="7"/>
      <c r="K23" s="7">
        <f t="shared" si="3"/>
        <v>105967</v>
      </c>
      <c r="L23" s="6"/>
      <c r="M23" s="29">
        <f t="shared" si="4"/>
        <v>0.12145072017440814</v>
      </c>
      <c r="N23" s="29"/>
      <c r="O23" s="29"/>
      <c r="P23" s="29"/>
      <c r="Q23" s="395">
        <f t="shared" si="5"/>
        <v>11476</v>
      </c>
      <c r="R23" s="6"/>
      <c r="S23" s="7">
        <f>1941+355</f>
        <v>2296</v>
      </c>
      <c r="T23" s="6"/>
      <c r="U23" s="296">
        <f t="shared" si="6"/>
        <v>2.1667122783508075E-2</v>
      </c>
      <c r="W23">
        <f t="shared" si="1"/>
        <v>13</v>
      </c>
      <c r="Z23" s="1"/>
      <c r="AA23" s="1"/>
      <c r="AB23" s="96"/>
      <c r="AC23" s="96"/>
      <c r="AD23" s="101"/>
      <c r="AE23" s="96"/>
      <c r="AF23" s="102"/>
      <c r="AG23" s="96"/>
      <c r="AH23" s="96"/>
      <c r="AI23" s="96"/>
      <c r="AJ23" s="96"/>
      <c r="AK23" s="96"/>
      <c r="AL23" s="102"/>
      <c r="AM23" s="96"/>
      <c r="AN23" s="96"/>
    </row>
    <row r="24" spans="3:41" ht="15" thickBot="1" x14ac:dyDescent="0.35">
      <c r="C24" s="180">
        <f t="shared" si="2"/>
        <v>43923</v>
      </c>
      <c r="E24" s="294">
        <v>92506</v>
      </c>
      <c r="F24" s="7"/>
      <c r="G24" s="7">
        <v>25590</v>
      </c>
      <c r="H24" s="7"/>
      <c r="I24" s="7"/>
      <c r="J24" s="7"/>
      <c r="K24" s="7">
        <f t="shared" si="3"/>
        <v>118096</v>
      </c>
      <c r="L24" s="6"/>
      <c r="M24" s="29">
        <f t="shared" si="4"/>
        <v>0.11446016212594487</v>
      </c>
      <c r="N24" s="29"/>
      <c r="O24" s="29"/>
      <c r="P24" s="29"/>
      <c r="Q24" s="395">
        <f t="shared" si="5"/>
        <v>12129</v>
      </c>
      <c r="R24" s="6"/>
      <c r="S24" s="7">
        <f>2373+537</f>
        <v>2910</v>
      </c>
      <c r="T24" s="6"/>
      <c r="U24" s="296">
        <f t="shared" si="6"/>
        <v>2.4640970058257688E-2</v>
      </c>
      <c r="W24">
        <f t="shared" si="1"/>
        <v>14</v>
      </c>
      <c r="Z24" s="1"/>
      <c r="AA24" s="1"/>
      <c r="AB24" s="96"/>
      <c r="AC24" s="96"/>
      <c r="AD24" s="101"/>
      <c r="AE24" s="96"/>
      <c r="AF24" s="96"/>
      <c r="AG24" s="96"/>
      <c r="AH24" s="96"/>
      <c r="AI24" s="96"/>
      <c r="AJ24" s="96"/>
      <c r="AK24" s="96"/>
      <c r="AL24" s="121"/>
      <c r="AM24" s="96"/>
      <c r="AN24" s="96"/>
      <c r="AO24" s="124"/>
    </row>
    <row r="25" spans="3:41" ht="15" thickBot="1" x14ac:dyDescent="0.35">
      <c r="C25" s="180">
        <f t="shared" si="2"/>
        <v>43924</v>
      </c>
      <c r="E25" s="294">
        <v>103060</v>
      </c>
      <c r="F25" s="7"/>
      <c r="G25" s="7">
        <v>29895</v>
      </c>
      <c r="H25" s="7"/>
      <c r="I25" s="7"/>
      <c r="J25" s="7"/>
      <c r="K25" s="7">
        <f t="shared" si="3"/>
        <v>132955</v>
      </c>
      <c r="L25" s="6"/>
      <c r="M25" s="29">
        <f t="shared" si="4"/>
        <v>0.12582136566860858</v>
      </c>
      <c r="N25" s="29"/>
      <c r="O25" s="29"/>
      <c r="P25" s="29"/>
      <c r="Q25" s="395">
        <f t="shared" si="5"/>
        <v>14859</v>
      </c>
      <c r="R25" s="6"/>
      <c r="S25" s="7">
        <f>2935+646</f>
        <v>3581</v>
      </c>
      <c r="T25" s="6"/>
      <c r="U25" s="296">
        <f t="shared" si="6"/>
        <v>2.6933925012222179E-2</v>
      </c>
      <c r="W25">
        <f t="shared" si="1"/>
        <v>15</v>
      </c>
      <c r="Z25" s="1"/>
      <c r="AA25" s="453" t="s">
        <v>58</v>
      </c>
      <c r="AB25" s="454"/>
      <c r="AC25" s="454"/>
      <c r="AD25" s="454"/>
      <c r="AE25" s="454"/>
      <c r="AF25" s="454"/>
      <c r="AG25" s="454"/>
      <c r="AH25" s="454"/>
      <c r="AI25" s="454"/>
      <c r="AJ25" s="454"/>
      <c r="AK25" s="455"/>
      <c r="AL25" s="163"/>
      <c r="AM25" s="163"/>
      <c r="AN25" s="96"/>
      <c r="AO25" s="124"/>
    </row>
    <row r="26" spans="3:41" x14ac:dyDescent="0.3">
      <c r="C26" s="180">
        <f t="shared" si="2"/>
        <v>43925</v>
      </c>
      <c r="E26" s="294">
        <v>113833</v>
      </c>
      <c r="F26" s="7"/>
      <c r="G26" s="7">
        <v>34124</v>
      </c>
      <c r="H26" s="7"/>
      <c r="I26" s="7"/>
      <c r="J26" s="7"/>
      <c r="K26" s="7">
        <f t="shared" si="3"/>
        <v>147957</v>
      </c>
      <c r="L26" s="6"/>
      <c r="M26" s="29">
        <f t="shared" si="4"/>
        <v>0.1128351697942913</v>
      </c>
      <c r="N26" s="29"/>
      <c r="O26" s="29"/>
      <c r="P26" s="29"/>
      <c r="Q26" s="395">
        <f t="shared" si="5"/>
        <v>15002</v>
      </c>
      <c r="R26" s="6"/>
      <c r="S26" s="7">
        <f>3565+846</f>
        <v>4411</v>
      </c>
      <c r="T26" s="6"/>
      <c r="U26" s="296">
        <f t="shared" si="6"/>
        <v>2.9812715856634021E-2</v>
      </c>
      <c r="W26">
        <f t="shared" si="1"/>
        <v>16</v>
      </c>
      <c r="Z26" s="1"/>
      <c r="AA26" s="195"/>
      <c r="AB26" s="196" t="s">
        <v>54</v>
      </c>
      <c r="AC26" s="197"/>
      <c r="AD26" s="196" t="s">
        <v>21</v>
      </c>
      <c r="AE26" s="197"/>
      <c r="AF26" s="196" t="s">
        <v>55</v>
      </c>
      <c r="AG26" s="197"/>
      <c r="AH26" s="196" t="s">
        <v>57</v>
      </c>
      <c r="AI26" s="197"/>
      <c r="AJ26" s="196" t="s">
        <v>56</v>
      </c>
      <c r="AK26" s="198"/>
      <c r="AL26" s="124"/>
      <c r="AM26" s="124"/>
      <c r="AN26" s="96"/>
      <c r="AO26" s="124"/>
    </row>
    <row r="27" spans="3:41" x14ac:dyDescent="0.3">
      <c r="C27" s="180">
        <f t="shared" si="2"/>
        <v>43926</v>
      </c>
      <c r="E27" s="294">
        <v>123160</v>
      </c>
      <c r="F27" s="7"/>
      <c r="G27" s="7">
        <v>37505</v>
      </c>
      <c r="H27" s="7"/>
      <c r="I27" s="7"/>
      <c r="J27" s="7"/>
      <c r="K27" s="7">
        <f t="shared" si="3"/>
        <v>160665</v>
      </c>
      <c r="L27" s="6"/>
      <c r="M27" s="29">
        <f t="shared" si="4"/>
        <v>8.5889819339402665E-2</v>
      </c>
      <c r="N27" s="29"/>
      <c r="O27" s="29"/>
      <c r="P27" s="29"/>
      <c r="Q27" s="395">
        <f t="shared" si="5"/>
        <v>12708</v>
      </c>
      <c r="R27" s="6"/>
      <c r="S27" s="7">
        <f>4150+914</f>
        <v>5064</v>
      </c>
      <c r="T27" s="6"/>
      <c r="U27" s="296">
        <f t="shared" si="6"/>
        <v>3.1518999159742322E-2</v>
      </c>
      <c r="W27">
        <f t="shared" si="1"/>
        <v>17</v>
      </c>
      <c r="Z27" s="1"/>
      <c r="AA27" s="199"/>
      <c r="AB27" s="178" t="s">
        <v>51</v>
      </c>
      <c r="AC27" s="178"/>
      <c r="AD27" s="178">
        <f>+E70</f>
        <v>337055</v>
      </c>
      <c r="AE27" s="178"/>
      <c r="AF27" s="209">
        <v>1740</v>
      </c>
      <c r="AG27" s="178"/>
      <c r="AH27" s="200">
        <f>+AD27/AD$31</f>
        <v>0.57093323034497712</v>
      </c>
      <c r="AI27" s="200"/>
      <c r="AJ27" s="178">
        <f>+AF27*AH27</f>
        <v>993.42382080026016</v>
      </c>
      <c r="AK27" s="201"/>
      <c r="AL27" s="124"/>
      <c r="AM27" s="96"/>
      <c r="AN27" s="96"/>
      <c r="AO27" s="124"/>
    </row>
    <row r="28" spans="3:41" x14ac:dyDescent="0.3">
      <c r="C28" s="180">
        <f t="shared" si="2"/>
        <v>43927</v>
      </c>
      <c r="E28" s="294">
        <v>131560</v>
      </c>
      <c r="F28" s="7"/>
      <c r="G28" s="7">
        <v>41090</v>
      </c>
      <c r="H28" s="7"/>
      <c r="I28" s="7"/>
      <c r="J28" s="7"/>
      <c r="K28" s="7">
        <f t="shared" si="3"/>
        <v>172650</v>
      </c>
      <c r="L28" s="6"/>
      <c r="M28" s="29">
        <f t="shared" si="4"/>
        <v>7.4596209504247973E-2</v>
      </c>
      <c r="N28" s="29"/>
      <c r="O28" s="29"/>
      <c r="P28" s="29"/>
      <c r="Q28" s="395">
        <f t="shared" si="5"/>
        <v>11985</v>
      </c>
      <c r="R28" s="6"/>
      <c r="S28" s="7">
        <f>4758+1003</f>
        <v>5761</v>
      </c>
      <c r="T28" s="6"/>
      <c r="U28" s="296">
        <f t="shared" si="6"/>
        <v>3.3368085722560094E-2</v>
      </c>
      <c r="W28">
        <f t="shared" si="1"/>
        <v>18</v>
      </c>
      <c r="Z28" s="1"/>
      <c r="AA28" s="199"/>
      <c r="AB28" s="178" t="s">
        <v>52</v>
      </c>
      <c r="AC28" s="178"/>
      <c r="AD28" s="178">
        <f>+G70</f>
        <v>140206</v>
      </c>
      <c r="AE28" s="178"/>
      <c r="AF28" s="209">
        <v>1587</v>
      </c>
      <c r="AG28" s="178"/>
      <c r="AH28" s="200">
        <f>+AD28/AD$31</f>
        <v>0.23749318210306289</v>
      </c>
      <c r="AI28" s="200"/>
      <c r="AJ28" s="178">
        <f>+AF28*AH28</f>
        <v>376.90167999756079</v>
      </c>
      <c r="AK28" s="201"/>
      <c r="AL28" s="124"/>
      <c r="AM28" s="96"/>
      <c r="AN28" s="96"/>
      <c r="AO28" s="124"/>
    </row>
    <row r="29" spans="3:41" x14ac:dyDescent="0.3">
      <c r="C29" s="180">
        <f t="shared" si="2"/>
        <v>43928</v>
      </c>
      <c r="E29" s="294">
        <v>139876</v>
      </c>
      <c r="F29" s="7"/>
      <c r="G29" s="7">
        <f>44416</f>
        <v>44416</v>
      </c>
      <c r="H29" s="7"/>
      <c r="I29" s="7"/>
      <c r="J29" s="297" t="s">
        <v>41</v>
      </c>
      <c r="K29" s="7">
        <f t="shared" si="3"/>
        <v>184292</v>
      </c>
      <c r="L29" s="6"/>
      <c r="M29" s="29">
        <f t="shared" si="4"/>
        <v>6.7431219229655379E-2</v>
      </c>
      <c r="N29" s="29"/>
      <c r="O29" s="29"/>
      <c r="P29" s="29"/>
      <c r="Q29" s="395">
        <f t="shared" si="5"/>
        <v>11642</v>
      </c>
      <c r="R29" s="6"/>
      <c r="S29" s="7">
        <f>5489+1232+277</f>
        <v>6998</v>
      </c>
      <c r="T29" s="6"/>
      <c r="U29" s="296">
        <f t="shared" si="6"/>
        <v>3.7972348229982855E-2</v>
      </c>
      <c r="W29">
        <f t="shared" si="1"/>
        <v>19</v>
      </c>
      <c r="Z29" s="1"/>
      <c r="AA29" s="199"/>
      <c r="AB29" s="178" t="s">
        <v>53</v>
      </c>
      <c r="AC29" s="178"/>
      <c r="AD29" s="178">
        <f>+I70</f>
        <v>33765</v>
      </c>
      <c r="AE29" s="178"/>
      <c r="AF29" s="209">
        <v>963</v>
      </c>
      <c r="AG29" s="178"/>
      <c r="AH29" s="200">
        <f>+AD29/AD$31</f>
        <v>5.7194109337046335E-2</v>
      </c>
      <c r="AI29" s="200"/>
      <c r="AJ29" s="178">
        <f>+AF29*AH29</f>
        <v>55.07792729157562</v>
      </c>
      <c r="AK29" s="201"/>
      <c r="AL29" s="124"/>
      <c r="AM29" s="96"/>
      <c r="AN29" s="96"/>
      <c r="AO29" s="124"/>
    </row>
    <row r="30" spans="3:41" x14ac:dyDescent="0.3">
      <c r="C30" s="180">
        <f t="shared" si="2"/>
        <v>43929</v>
      </c>
      <c r="E30" s="294">
        <v>151069</v>
      </c>
      <c r="F30" s="7"/>
      <c r="G30" s="7">
        <f>47437</f>
        <v>47437</v>
      </c>
      <c r="H30" s="7"/>
      <c r="I30" s="7">
        <v>8781</v>
      </c>
      <c r="J30" s="297"/>
      <c r="K30" s="7">
        <f>SUM(E30:I30)</f>
        <v>207287</v>
      </c>
      <c r="L30" s="6"/>
      <c r="M30" s="29">
        <f t="shared" si="4"/>
        <v>0.12477481388231719</v>
      </c>
      <c r="N30" s="29"/>
      <c r="O30" s="29"/>
      <c r="P30" s="29"/>
      <c r="Q30" s="395">
        <f t="shared" si="5"/>
        <v>22995</v>
      </c>
      <c r="R30" s="6"/>
      <c r="S30" s="7">
        <f>6268+1504+335</f>
        <v>8107</v>
      </c>
      <c r="T30" s="6"/>
      <c r="U30" s="296">
        <f t="shared" si="6"/>
        <v>3.9110026195564605E-2</v>
      </c>
      <c r="W30">
        <f t="shared" si="1"/>
        <v>20</v>
      </c>
      <c r="Z30" s="1"/>
      <c r="AA30" s="195"/>
      <c r="AB30" s="178" t="s">
        <v>108</v>
      </c>
      <c r="AC30" s="290"/>
      <c r="AD30" s="178">
        <f>+AF17</f>
        <v>79332</v>
      </c>
      <c r="AE30" s="290"/>
      <c r="AF30" s="178">
        <f>+AH17</f>
        <v>1151</v>
      </c>
      <c r="AG30" s="290"/>
      <c r="AH30" s="200">
        <f>+AD30/AD$31</f>
        <v>0.13437947821491367</v>
      </c>
      <c r="AI30" s="290"/>
      <c r="AJ30" s="178">
        <f>+AF30*AH30</f>
        <v>154.67077942536562</v>
      </c>
      <c r="AK30" s="201"/>
      <c r="AL30" s="124"/>
      <c r="AM30" s="96"/>
      <c r="AN30" s="96"/>
      <c r="AO30" s="124"/>
    </row>
    <row r="31" spans="3:41" ht="15" thickBot="1" x14ac:dyDescent="0.35">
      <c r="C31" s="180">
        <f t="shared" si="2"/>
        <v>43930</v>
      </c>
      <c r="E31" s="294">
        <v>161790</v>
      </c>
      <c r="F31" s="7"/>
      <c r="G31" s="7">
        <f>51027</f>
        <v>51027</v>
      </c>
      <c r="H31" s="7"/>
      <c r="I31" s="7">
        <v>9784</v>
      </c>
      <c r="J31" s="297"/>
      <c r="K31" s="7">
        <f t="shared" ref="K31:K52" si="7">SUM(E31:I31)</f>
        <v>222601</v>
      </c>
      <c r="L31" s="6"/>
      <c r="M31" s="29">
        <f>+(K31-K30)/K30</f>
        <v>7.3878246103228851E-2</v>
      </c>
      <c r="N31" s="29"/>
      <c r="O31" s="29"/>
      <c r="P31" s="29"/>
      <c r="Q31" s="395">
        <f t="shared" si="5"/>
        <v>15314</v>
      </c>
      <c r="R31" s="6"/>
      <c r="S31" s="7">
        <f>7067+1209+380</f>
        <v>8656</v>
      </c>
      <c r="T31" s="6"/>
      <c r="U31" s="296">
        <f t="shared" si="6"/>
        <v>3.8885719291467696E-2</v>
      </c>
      <c r="W31">
        <f t="shared" si="1"/>
        <v>21</v>
      </c>
      <c r="Z31" s="1"/>
      <c r="AA31" s="199"/>
      <c r="AB31" s="178"/>
      <c r="AC31" s="178"/>
      <c r="AD31" s="202">
        <f>SUM(AD27:AD30)</f>
        <v>590358</v>
      </c>
      <c r="AE31" s="178"/>
      <c r="AF31" s="178"/>
      <c r="AG31" s="178"/>
      <c r="AH31" s="203">
        <f>SUM(AH27:AH30)</f>
        <v>1</v>
      </c>
      <c r="AI31" s="200"/>
      <c r="AJ31" s="202">
        <f>SUM(AJ27:AJ30)</f>
        <v>1580.0742075147623</v>
      </c>
      <c r="AK31" s="201"/>
      <c r="AL31" s="124"/>
      <c r="AM31" s="96"/>
      <c r="AN31" s="96"/>
      <c r="AO31" s="124"/>
    </row>
    <row r="32" spans="3:41" ht="15.6" thickTop="1" thickBot="1" x14ac:dyDescent="0.35">
      <c r="C32" s="180">
        <f t="shared" si="2"/>
        <v>43931</v>
      </c>
      <c r="E32" s="294">
        <v>174481</v>
      </c>
      <c r="F32" s="7"/>
      <c r="G32" s="7">
        <f>54588</f>
        <v>54588</v>
      </c>
      <c r="H32" s="7"/>
      <c r="I32" s="7">
        <v>10538</v>
      </c>
      <c r="J32" s="297"/>
      <c r="K32" s="7">
        <f t="shared" si="7"/>
        <v>239607</v>
      </c>
      <c r="L32" s="6"/>
      <c r="M32" s="29">
        <f t="shared" ref="M32:M52" si="8">+(K32-K31)/K31</f>
        <v>7.6396781685616866E-2</v>
      </c>
      <c r="N32" s="29"/>
      <c r="O32" s="29"/>
      <c r="P32" s="29"/>
      <c r="Q32" s="395">
        <f t="shared" si="5"/>
        <v>17006</v>
      </c>
      <c r="R32" s="6"/>
      <c r="S32" s="7">
        <f>7884+1932+448</f>
        <v>10264</v>
      </c>
      <c r="T32" s="6"/>
      <c r="U32" s="296">
        <f t="shared" si="6"/>
        <v>4.2836811946228619E-2</v>
      </c>
      <c r="W32">
        <f t="shared" si="1"/>
        <v>22</v>
      </c>
      <c r="Z32" s="1"/>
      <c r="AA32" s="204"/>
      <c r="AB32" s="205"/>
      <c r="AC32" s="205"/>
      <c r="AD32" s="205"/>
      <c r="AE32" s="205"/>
      <c r="AF32" s="205"/>
      <c r="AG32" s="205"/>
      <c r="AH32" s="206"/>
      <c r="AI32" s="206"/>
      <c r="AJ32" s="207"/>
      <c r="AK32" s="208"/>
      <c r="AL32" s="124"/>
      <c r="AM32" s="96"/>
      <c r="AN32" s="96"/>
      <c r="AO32" s="124"/>
    </row>
    <row r="33" spans="3:40" x14ac:dyDescent="0.3">
      <c r="C33" s="180">
        <f t="shared" si="2"/>
        <v>43932</v>
      </c>
      <c r="E33" s="294">
        <v>181825</v>
      </c>
      <c r="F33" s="7"/>
      <c r="G33" s="7">
        <f>58151</f>
        <v>58151</v>
      </c>
      <c r="H33" s="7"/>
      <c r="I33" s="7">
        <v>11510</v>
      </c>
      <c r="J33" s="297"/>
      <c r="K33" s="7">
        <f t="shared" si="7"/>
        <v>251486</v>
      </c>
      <c r="L33" s="6"/>
      <c r="M33" s="29">
        <f t="shared" si="8"/>
        <v>4.9577015696536414E-2</v>
      </c>
      <c r="N33" s="29"/>
      <c r="O33" s="29"/>
      <c r="P33" s="29"/>
      <c r="Q33" s="395">
        <f t="shared" si="5"/>
        <v>11879</v>
      </c>
      <c r="R33" s="6"/>
      <c r="S33" s="7">
        <f>8650+2183+494</f>
        <v>11327</v>
      </c>
      <c r="T33" s="6"/>
      <c r="U33" s="296">
        <f t="shared" si="6"/>
        <v>4.5040280572278379E-2</v>
      </c>
      <c r="W33">
        <f t="shared" si="1"/>
        <v>23</v>
      </c>
    </row>
    <row r="34" spans="3:40" x14ac:dyDescent="0.3">
      <c r="C34" s="180">
        <f t="shared" si="2"/>
        <v>43933</v>
      </c>
      <c r="E34" s="294">
        <v>189033</v>
      </c>
      <c r="F34" s="7"/>
      <c r="G34" s="7">
        <f>61850</f>
        <v>61850</v>
      </c>
      <c r="H34" s="7"/>
      <c r="I34" s="7">
        <v>12035</v>
      </c>
      <c r="J34" s="297"/>
      <c r="K34" s="7">
        <f t="shared" si="7"/>
        <v>262918</v>
      </c>
      <c r="L34" s="6"/>
      <c r="M34" s="29">
        <f t="shared" si="8"/>
        <v>4.5457798843673208E-2</v>
      </c>
      <c r="N34" s="29"/>
      <c r="O34" s="29"/>
      <c r="P34" s="29"/>
      <c r="Q34" s="395">
        <f t="shared" si="5"/>
        <v>11432</v>
      </c>
      <c r="R34" s="6"/>
      <c r="S34" s="7">
        <f>9385+2350+554</f>
        <v>12289</v>
      </c>
      <c r="T34" s="6"/>
      <c r="U34" s="296">
        <f t="shared" si="6"/>
        <v>4.674080892141276E-2</v>
      </c>
      <c r="W34">
        <f t="shared" si="1"/>
        <v>24</v>
      </c>
    </row>
    <row r="35" spans="3:40" ht="15" thickBot="1" x14ac:dyDescent="0.35">
      <c r="C35" s="180">
        <f t="shared" si="2"/>
        <v>43934</v>
      </c>
      <c r="E35" s="294">
        <v>195749</v>
      </c>
      <c r="F35" s="7"/>
      <c r="G35" s="7">
        <f>64584</f>
        <v>64584</v>
      </c>
      <c r="H35" s="7"/>
      <c r="I35" s="7">
        <v>13381</v>
      </c>
      <c r="J35" s="297"/>
      <c r="K35" s="7">
        <f t="shared" si="7"/>
        <v>273714</v>
      </c>
      <c r="L35" s="6"/>
      <c r="M35" s="29">
        <f t="shared" si="8"/>
        <v>4.1062232330992932E-2</v>
      </c>
      <c r="N35" s="29"/>
      <c r="O35" s="29"/>
      <c r="P35" s="29"/>
      <c r="Q35" s="395">
        <f t="shared" si="5"/>
        <v>10796</v>
      </c>
      <c r="R35" s="6"/>
      <c r="S35" s="7">
        <f>10058+2443+602</f>
        <v>13103</v>
      </c>
      <c r="T35" s="6"/>
      <c r="U35" s="296">
        <f t="shared" si="6"/>
        <v>4.7871135564859668E-2</v>
      </c>
      <c r="W35">
        <f t="shared" si="1"/>
        <v>25</v>
      </c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96"/>
      <c r="AK35" s="96"/>
      <c r="AL35" s="96"/>
      <c r="AM35" s="96"/>
      <c r="AN35" s="96"/>
    </row>
    <row r="36" spans="3:40" ht="15" thickBot="1" x14ac:dyDescent="0.35">
      <c r="C36" s="180">
        <f t="shared" si="2"/>
        <v>43935</v>
      </c>
      <c r="E36" s="294">
        <v>203020</v>
      </c>
      <c r="F36" s="7"/>
      <c r="G36" s="7">
        <f>68824</f>
        <v>68824</v>
      </c>
      <c r="H36" s="7"/>
      <c r="I36" s="7">
        <v>13989</v>
      </c>
      <c r="J36" s="297"/>
      <c r="K36" s="7">
        <f t="shared" si="7"/>
        <v>285833</v>
      </c>
      <c r="L36" s="6"/>
      <c r="M36" s="29">
        <f t="shared" si="8"/>
        <v>4.4276142250670406E-2</v>
      </c>
      <c r="N36" s="29"/>
      <c r="O36" s="29"/>
      <c r="P36" s="29"/>
      <c r="Q36" s="395">
        <f t="shared" si="5"/>
        <v>12119</v>
      </c>
      <c r="R36" s="6"/>
      <c r="S36" s="7">
        <f>10842+2805+671+3778</f>
        <v>18096</v>
      </c>
      <c r="T36" s="6"/>
      <c r="U36" s="296">
        <f t="shared" si="6"/>
        <v>6.3309694821801543E-2</v>
      </c>
      <c r="W36">
        <f t="shared" si="1"/>
        <v>26</v>
      </c>
      <c r="Z36" s="1"/>
      <c r="AA36" s="448" t="s">
        <v>32</v>
      </c>
      <c r="AB36" s="449"/>
      <c r="AC36" s="449"/>
      <c r="AD36" s="449"/>
      <c r="AE36" s="449"/>
      <c r="AF36" s="449"/>
      <c r="AG36" s="449"/>
      <c r="AH36" s="449"/>
      <c r="AI36" s="450"/>
      <c r="AJ36" s="163"/>
      <c r="AK36" s="163"/>
      <c r="AL36" s="163"/>
      <c r="AM36" s="101"/>
      <c r="AN36" s="101"/>
    </row>
    <row r="37" spans="3:40" x14ac:dyDescent="0.3">
      <c r="C37" s="180">
        <f t="shared" si="2"/>
        <v>43936</v>
      </c>
      <c r="E37" s="294">
        <v>214639</v>
      </c>
      <c r="F37" s="7"/>
      <c r="G37" s="7">
        <f>71030</f>
        <v>71030</v>
      </c>
      <c r="H37" s="7"/>
      <c r="I37" s="7">
        <v>14755</v>
      </c>
      <c r="J37" s="297"/>
      <c r="K37" s="7">
        <f t="shared" si="7"/>
        <v>300424</v>
      </c>
      <c r="L37" s="6"/>
      <c r="M37" s="29">
        <f t="shared" si="8"/>
        <v>5.1047289851066879E-2</v>
      </c>
      <c r="N37" s="29"/>
      <c r="O37" s="29"/>
      <c r="P37" s="29"/>
      <c r="Q37" s="395">
        <f t="shared" si="5"/>
        <v>14591</v>
      </c>
      <c r="R37" s="6"/>
      <c r="S37" s="7">
        <f>11620+3156+868-145</f>
        <v>15499</v>
      </c>
      <c r="T37" s="6"/>
      <c r="U37" s="296">
        <f t="shared" si="6"/>
        <v>5.1590418874657151E-2</v>
      </c>
      <c r="W37">
        <f t="shared" si="1"/>
        <v>27</v>
      </c>
      <c r="Z37" s="1"/>
      <c r="AA37" s="97"/>
      <c r="AB37" s="108"/>
      <c r="AC37" s="108"/>
      <c r="AD37" s="108"/>
      <c r="AE37" s="108"/>
      <c r="AF37" s="186" t="s">
        <v>31</v>
      </c>
      <c r="AG37" s="174"/>
      <c r="AH37" s="105" t="s">
        <v>35</v>
      </c>
      <c r="AI37" s="117"/>
      <c r="AJ37" s="115"/>
      <c r="AK37" s="115"/>
      <c r="AL37" s="116"/>
      <c r="AM37" s="113"/>
      <c r="AN37" s="113"/>
    </row>
    <row r="38" spans="3:40" x14ac:dyDescent="0.3">
      <c r="C38" s="180">
        <f t="shared" si="2"/>
        <v>43937</v>
      </c>
      <c r="E38" s="294">
        <v>223691</v>
      </c>
      <c r="F38" s="7"/>
      <c r="G38" s="7">
        <f>75317</f>
        <v>75317</v>
      </c>
      <c r="H38" s="7"/>
      <c r="I38" s="7">
        <v>15884</v>
      </c>
      <c r="J38" s="297"/>
      <c r="K38" s="7">
        <f t="shared" si="7"/>
        <v>314892</v>
      </c>
      <c r="L38" s="6"/>
      <c r="M38" s="29">
        <f t="shared" si="8"/>
        <v>4.8158602508454718E-2</v>
      </c>
      <c r="N38" s="29"/>
      <c r="O38" s="29"/>
      <c r="P38" s="29"/>
      <c r="Q38" s="395">
        <f t="shared" si="5"/>
        <v>14468</v>
      </c>
      <c r="R38" s="6"/>
      <c r="S38" s="7">
        <f>14832+3518+446</f>
        <v>18796</v>
      </c>
      <c r="T38" s="6"/>
      <c r="U38" s="296">
        <f t="shared" si="6"/>
        <v>5.9690306517790226E-2</v>
      </c>
      <c r="W38">
        <f t="shared" si="1"/>
        <v>28</v>
      </c>
      <c r="Z38" s="1"/>
      <c r="AA38" s="97"/>
      <c r="AB38" s="108" t="s">
        <v>39</v>
      </c>
      <c r="AC38" s="108"/>
      <c r="AD38" s="108"/>
      <c r="AE38" s="108"/>
      <c r="AF38" s="175">
        <v>20100000</v>
      </c>
      <c r="AG38" s="174"/>
      <c r="AH38" s="106">
        <f>+AF38/AF$43</f>
        <v>6.0909090909090906E-2</v>
      </c>
      <c r="AI38" s="117"/>
      <c r="AJ38" s="115"/>
      <c r="AK38" s="115"/>
      <c r="AL38" s="116"/>
      <c r="AM38" s="114"/>
      <c r="AN38" s="114"/>
    </row>
    <row r="39" spans="3:40" x14ac:dyDescent="0.3">
      <c r="C39" s="180">
        <f t="shared" si="2"/>
        <v>43938</v>
      </c>
      <c r="E39" s="294">
        <v>230597</v>
      </c>
      <c r="F39" s="7"/>
      <c r="G39" s="7">
        <f>78467</f>
        <v>78467</v>
      </c>
      <c r="H39" s="7"/>
      <c r="I39" s="7">
        <v>16809</v>
      </c>
      <c r="J39" s="297"/>
      <c r="K39" s="7">
        <f t="shared" si="7"/>
        <v>325873</v>
      </c>
      <c r="L39" s="6"/>
      <c r="M39" s="29">
        <f t="shared" si="8"/>
        <v>3.4872273668432353E-2</v>
      </c>
      <c r="N39" s="29"/>
      <c r="O39" s="29"/>
      <c r="P39" s="29"/>
      <c r="Q39" s="395">
        <f t="shared" si="5"/>
        <v>10981</v>
      </c>
      <c r="R39" s="6"/>
      <c r="S39" s="7">
        <f>17131+3840+1036</f>
        <v>22007</v>
      </c>
      <c r="T39" s="6"/>
      <c r="U39" s="296">
        <f t="shared" si="6"/>
        <v>6.7532443620674315E-2</v>
      </c>
      <c r="W39">
        <f t="shared" si="1"/>
        <v>29</v>
      </c>
      <c r="Z39" s="81"/>
      <c r="AA39" s="97"/>
      <c r="AB39" s="108" t="s">
        <v>60</v>
      </c>
      <c r="AC39" s="108"/>
      <c r="AD39" s="108"/>
      <c r="AE39" s="108"/>
      <c r="AF39" s="174">
        <v>4900000</v>
      </c>
      <c r="AG39" s="174"/>
      <c r="AH39" s="106">
        <f>+AF39/AF$43</f>
        <v>1.4848484848484849E-2</v>
      </c>
      <c r="AI39" s="187"/>
      <c r="AJ39" s="185"/>
      <c r="AK39" s="185"/>
      <c r="AL39" s="116"/>
      <c r="AM39" s="114"/>
      <c r="AN39" s="114"/>
    </row>
    <row r="40" spans="3:40" x14ac:dyDescent="0.3">
      <c r="C40" s="350">
        <f t="shared" si="2"/>
        <v>43939</v>
      </c>
      <c r="D40" s="116"/>
      <c r="E40" s="294">
        <v>238767</v>
      </c>
      <c r="F40" s="7"/>
      <c r="G40" s="7">
        <f>81420</f>
        <v>81420</v>
      </c>
      <c r="H40" s="7"/>
      <c r="I40" s="7">
        <v>17550</v>
      </c>
      <c r="J40" s="297"/>
      <c r="K40" s="7">
        <f t="shared" si="7"/>
        <v>337737</v>
      </c>
      <c r="L40" s="6"/>
      <c r="M40" s="29">
        <f t="shared" si="8"/>
        <v>3.6406821062192937E-2</v>
      </c>
      <c r="N40" s="29"/>
      <c r="O40" s="29"/>
      <c r="P40" s="29"/>
      <c r="Q40" s="395">
        <f t="shared" si="5"/>
        <v>11864</v>
      </c>
      <c r="R40" s="6"/>
      <c r="S40" s="7">
        <f>17671+4070+1086</f>
        <v>22827</v>
      </c>
      <c r="T40" s="6"/>
      <c r="U40" s="296">
        <f t="shared" si="6"/>
        <v>6.7588093694205847E-2</v>
      </c>
      <c r="V40" s="116"/>
      <c r="W40" s="116">
        <f t="shared" si="1"/>
        <v>30</v>
      </c>
      <c r="Z40" s="81"/>
      <c r="AA40" s="97"/>
      <c r="AB40" s="108" t="s">
        <v>94</v>
      </c>
      <c r="AC40" s="108"/>
      <c r="AD40" s="108"/>
      <c r="AE40" s="108"/>
      <c r="AF40" s="174">
        <v>6000000</v>
      </c>
      <c r="AG40" s="174"/>
      <c r="AH40" s="106">
        <f>+AF40/AF$43</f>
        <v>1.8181818181818181E-2</v>
      </c>
      <c r="AI40" s="117"/>
      <c r="AJ40" s="115"/>
      <c r="AK40" s="115"/>
      <c r="AL40" s="116"/>
      <c r="AM40" s="114"/>
      <c r="AN40" s="114"/>
    </row>
    <row r="41" spans="3:40" ht="15" thickBot="1" x14ac:dyDescent="0.35">
      <c r="C41" s="180">
        <f t="shared" si="2"/>
        <v>43940</v>
      </c>
      <c r="E41" s="294">
        <v>242570</v>
      </c>
      <c r="F41" s="7"/>
      <c r="G41" s="7">
        <f>85301</f>
        <v>85301</v>
      </c>
      <c r="H41" s="7"/>
      <c r="I41" s="7">
        <v>17550</v>
      </c>
      <c r="J41" s="297"/>
      <c r="K41" s="7">
        <f t="shared" si="7"/>
        <v>345421</v>
      </c>
      <c r="L41" s="6"/>
      <c r="M41" s="29">
        <f t="shared" si="8"/>
        <v>2.2751430847079236E-2</v>
      </c>
      <c r="N41" s="29"/>
      <c r="O41" s="29"/>
      <c r="P41" s="29"/>
      <c r="Q41" s="395">
        <f t="shared" si="5"/>
        <v>7684</v>
      </c>
      <c r="R41" s="6"/>
      <c r="S41" s="7">
        <f>17428+4362+1086</f>
        <v>22876</v>
      </c>
      <c r="T41" s="6"/>
      <c r="U41" s="296">
        <f t="shared" si="6"/>
        <v>6.6226430935003952E-2</v>
      </c>
      <c r="W41">
        <f t="shared" si="1"/>
        <v>31</v>
      </c>
      <c r="Z41" s="81"/>
      <c r="AA41" s="97"/>
      <c r="AB41" s="174" t="s">
        <v>34</v>
      </c>
      <c r="AC41" s="174"/>
      <c r="AD41" s="174"/>
      <c r="AE41" s="174"/>
      <c r="AF41" s="173">
        <f>SUM(AF38:AG40)</f>
        <v>31000000</v>
      </c>
      <c r="AG41" s="174"/>
      <c r="AH41" s="107">
        <f>+AF41/AF43</f>
        <v>9.3939393939393934E-2</v>
      </c>
      <c r="AI41" s="117"/>
      <c r="AJ41" s="115"/>
      <c r="AK41" s="115"/>
      <c r="AL41" s="116"/>
      <c r="AM41" s="114"/>
      <c r="AN41" s="114"/>
    </row>
    <row r="42" spans="3:40" ht="15" thickTop="1" x14ac:dyDescent="0.3">
      <c r="C42" s="180">
        <f t="shared" si="2"/>
        <v>43941</v>
      </c>
      <c r="E42" s="294">
        <v>253060</v>
      </c>
      <c r="F42" s="7"/>
      <c r="G42" s="7">
        <f>88722</f>
        <v>88722</v>
      </c>
      <c r="H42" s="7"/>
      <c r="I42" s="7">
        <v>19815</v>
      </c>
      <c r="J42" s="297"/>
      <c r="K42" s="7">
        <f t="shared" si="7"/>
        <v>361597</v>
      </c>
      <c r="L42" s="6"/>
      <c r="M42" s="29">
        <f t="shared" si="8"/>
        <v>4.6829810578974645E-2</v>
      </c>
      <c r="N42" s="29"/>
      <c r="O42" s="29"/>
      <c r="P42" s="29"/>
      <c r="Q42" s="395">
        <f t="shared" si="5"/>
        <v>16176</v>
      </c>
      <c r="R42" s="6"/>
      <c r="S42" s="7">
        <f>18611+4496+1331</f>
        <v>24438</v>
      </c>
      <c r="T42" s="6"/>
      <c r="U42" s="296">
        <f t="shared" si="6"/>
        <v>6.7583525305796227E-2</v>
      </c>
      <c r="W42">
        <f t="shared" si="1"/>
        <v>32</v>
      </c>
      <c r="Z42" s="1"/>
      <c r="AA42" s="97"/>
      <c r="AB42" s="108"/>
      <c r="AC42" s="108"/>
      <c r="AD42" s="108"/>
      <c r="AE42" s="108"/>
      <c r="AF42" s="108"/>
      <c r="AG42" s="108"/>
      <c r="AH42" s="108"/>
      <c r="AI42" s="117"/>
      <c r="AJ42" s="115"/>
      <c r="AK42" s="115"/>
      <c r="AL42" s="116"/>
      <c r="AM42" s="115"/>
      <c r="AN42" s="115"/>
    </row>
    <row r="43" spans="3:40" ht="15" thickBot="1" x14ac:dyDescent="0.35">
      <c r="C43" s="180">
        <f t="shared" si="2"/>
        <v>43942</v>
      </c>
      <c r="E43" s="294">
        <v>258361</v>
      </c>
      <c r="F43" s="7"/>
      <c r="G43" s="7">
        <f>92387</f>
        <v>92387</v>
      </c>
      <c r="H43" s="7"/>
      <c r="I43" s="7">
        <v>20360</v>
      </c>
      <c r="J43" s="297"/>
      <c r="K43" s="7">
        <f t="shared" si="7"/>
        <v>371108</v>
      </c>
      <c r="L43" s="6"/>
      <c r="M43" s="29">
        <f t="shared" si="8"/>
        <v>2.6302762467608969E-2</v>
      </c>
      <c r="N43" s="29"/>
      <c r="O43" s="29"/>
      <c r="P43" s="29"/>
      <c r="Q43" s="395">
        <f t="shared" si="5"/>
        <v>9511</v>
      </c>
      <c r="R43" s="6"/>
      <c r="S43" s="7">
        <f>18821+4520+1423</f>
        <v>24764</v>
      </c>
      <c r="T43" s="6"/>
      <c r="U43" s="296">
        <f t="shared" si="6"/>
        <v>6.672990072970672E-2</v>
      </c>
      <c r="W43">
        <f t="shared" si="1"/>
        <v>33</v>
      </c>
      <c r="Z43" s="1"/>
      <c r="AA43" s="97"/>
      <c r="AB43" s="108" t="s">
        <v>42</v>
      </c>
      <c r="AC43" s="108"/>
      <c r="AD43" s="108"/>
      <c r="AE43" s="108"/>
      <c r="AF43" s="173">
        <v>330000000</v>
      </c>
      <c r="AG43" s="174"/>
      <c r="AH43" s="183"/>
      <c r="AI43" s="117"/>
      <c r="AJ43" s="115"/>
      <c r="AK43" s="115"/>
      <c r="AL43" s="115"/>
      <c r="AM43" s="115"/>
      <c r="AN43" s="115"/>
    </row>
    <row r="44" spans="3:40" ht="15.6" thickTop="1" thickBot="1" x14ac:dyDescent="0.35">
      <c r="C44" s="180">
        <f t="shared" si="2"/>
        <v>43943</v>
      </c>
      <c r="E44" s="294">
        <v>263292</v>
      </c>
      <c r="F44" s="7"/>
      <c r="G44" s="7">
        <f>95418</f>
        <v>95418</v>
      </c>
      <c r="H44" s="7"/>
      <c r="I44" s="7">
        <v>22469</v>
      </c>
      <c r="J44" s="297"/>
      <c r="K44" s="7">
        <f t="shared" si="7"/>
        <v>381179</v>
      </c>
      <c r="L44" s="6"/>
      <c r="M44" s="29">
        <f t="shared" si="8"/>
        <v>2.7137652650980306E-2</v>
      </c>
      <c r="N44" s="29"/>
      <c r="O44" s="29"/>
      <c r="P44" s="29"/>
      <c r="Q44" s="395">
        <f t="shared" si="5"/>
        <v>10071</v>
      </c>
      <c r="R44" s="6"/>
      <c r="S44" s="7">
        <f>19413+5129+1544</f>
        <v>26086</v>
      </c>
      <c r="T44" s="6"/>
      <c r="U44" s="296">
        <f t="shared" si="6"/>
        <v>6.8435039705755041E-2</v>
      </c>
      <c r="W44">
        <f t="shared" si="1"/>
        <v>34</v>
      </c>
      <c r="Z44" s="1"/>
      <c r="AA44" s="98"/>
      <c r="AB44" s="109"/>
      <c r="AC44" s="109"/>
      <c r="AD44" s="109"/>
      <c r="AE44" s="109"/>
      <c r="AF44" s="109"/>
      <c r="AG44" s="109"/>
      <c r="AH44" s="188"/>
      <c r="AI44" s="118"/>
      <c r="AJ44" s="115"/>
      <c r="AK44" s="115"/>
      <c r="AL44" s="115"/>
      <c r="AM44" s="115"/>
      <c r="AN44" s="115"/>
    </row>
    <row r="45" spans="3:40" x14ac:dyDescent="0.3">
      <c r="C45" s="180">
        <f t="shared" si="2"/>
        <v>43944</v>
      </c>
      <c r="E45" s="294">
        <v>271145</v>
      </c>
      <c r="F45" s="7"/>
      <c r="G45" s="7">
        <f>99989</f>
        <v>99989</v>
      </c>
      <c r="H45" s="7"/>
      <c r="I45" s="7">
        <v>23128</v>
      </c>
      <c r="J45" s="297"/>
      <c r="K45" s="7">
        <f t="shared" si="7"/>
        <v>394262</v>
      </c>
      <c r="L45" s="6"/>
      <c r="M45" s="29">
        <f t="shared" si="8"/>
        <v>3.4322457428137436E-2</v>
      </c>
      <c r="N45" s="29"/>
      <c r="O45" s="29"/>
      <c r="P45" s="29"/>
      <c r="Q45" s="395">
        <f t="shared" si="5"/>
        <v>13083</v>
      </c>
      <c r="R45" s="6"/>
      <c r="S45" s="7">
        <f>20971+5426+1637</f>
        <v>28034</v>
      </c>
      <c r="T45" s="6"/>
      <c r="U45" s="296">
        <f t="shared" si="6"/>
        <v>7.110500124282837E-2</v>
      </c>
      <c r="W45">
        <f t="shared" si="1"/>
        <v>35</v>
      </c>
      <c r="AG45" s="124"/>
      <c r="AJ45" s="116"/>
      <c r="AK45" s="116"/>
      <c r="AL45" s="116"/>
      <c r="AM45" s="116"/>
      <c r="AN45" s="116"/>
    </row>
    <row r="46" spans="3:40" x14ac:dyDescent="0.3">
      <c r="C46" s="180">
        <f t="shared" si="2"/>
        <v>43945</v>
      </c>
      <c r="E46" s="294">
        <v>271590</v>
      </c>
      <c r="F46" s="7"/>
      <c r="G46" s="7">
        <f>100025</f>
        <v>100025</v>
      </c>
      <c r="H46" s="7"/>
      <c r="I46" s="7">
        <v>23936</v>
      </c>
      <c r="J46" s="297"/>
      <c r="K46" s="7">
        <f t="shared" si="7"/>
        <v>395551</v>
      </c>
      <c r="L46" s="6"/>
      <c r="M46" s="29">
        <f t="shared" si="8"/>
        <v>3.2693995363489254E-3</v>
      </c>
      <c r="N46" s="29"/>
      <c r="O46" s="29"/>
      <c r="P46" s="29"/>
      <c r="Q46" s="395">
        <f t="shared" si="5"/>
        <v>1289</v>
      </c>
      <c r="R46" s="6"/>
      <c r="S46" s="7">
        <f>21349+5426+1767</f>
        <v>28542</v>
      </c>
      <c r="T46" s="6"/>
      <c r="U46" s="296">
        <f t="shared" si="6"/>
        <v>7.2157572601257491E-2</v>
      </c>
      <c r="W46">
        <f t="shared" si="1"/>
        <v>36</v>
      </c>
      <c r="AJ46" s="116"/>
      <c r="AK46" s="116"/>
      <c r="AL46" s="116"/>
      <c r="AM46" s="116"/>
      <c r="AN46" s="116"/>
    </row>
    <row r="47" spans="3:40" x14ac:dyDescent="0.3">
      <c r="C47" s="180">
        <f t="shared" si="2"/>
        <v>43946</v>
      </c>
      <c r="E47" s="294">
        <v>282143</v>
      </c>
      <c r="F47" s="7"/>
      <c r="G47" s="7">
        <f>105498</f>
        <v>105498</v>
      </c>
      <c r="H47" s="7"/>
      <c r="I47" s="7">
        <v>24583</v>
      </c>
      <c r="J47" s="297"/>
      <c r="K47" s="7">
        <f t="shared" si="7"/>
        <v>412224</v>
      </c>
      <c r="L47" s="6"/>
      <c r="M47" s="29">
        <f t="shared" si="8"/>
        <v>4.2151328147318548E-2</v>
      </c>
      <c r="N47" s="29"/>
      <c r="O47" s="29"/>
      <c r="P47" s="29"/>
      <c r="Q47" s="395">
        <f t="shared" si="5"/>
        <v>16673</v>
      </c>
      <c r="R47" s="6"/>
      <c r="S47" s="7">
        <f>22009+5914+1865</f>
        <v>29788</v>
      </c>
      <c r="T47" s="6"/>
      <c r="U47" s="296">
        <f t="shared" si="6"/>
        <v>7.2261682968483149E-2</v>
      </c>
      <c r="W47">
        <f t="shared" si="1"/>
        <v>37</v>
      </c>
    </row>
    <row r="48" spans="3:40" x14ac:dyDescent="0.3">
      <c r="C48" s="181">
        <f t="shared" si="2"/>
        <v>43947</v>
      </c>
      <c r="E48" s="294">
        <v>288045</v>
      </c>
      <c r="F48" s="7"/>
      <c r="G48" s="7">
        <f>109038</f>
        <v>109038</v>
      </c>
      <c r="H48" s="7"/>
      <c r="I48" s="7">
        <v>25269</v>
      </c>
      <c r="J48" s="297"/>
      <c r="K48" s="7">
        <f t="shared" si="7"/>
        <v>422352</v>
      </c>
      <c r="L48" s="6"/>
      <c r="M48" s="29">
        <f t="shared" si="8"/>
        <v>2.456916627852818E-2</v>
      </c>
      <c r="N48" s="29"/>
      <c r="O48" s="29"/>
      <c r="P48" s="29"/>
      <c r="Q48" s="395">
        <f t="shared" si="5"/>
        <v>10128</v>
      </c>
      <c r="R48" s="6"/>
      <c r="S48" s="7">
        <f>22269+5938+1924</f>
        <v>30131</v>
      </c>
      <c r="T48" s="6"/>
      <c r="U48" s="296">
        <f t="shared" si="6"/>
        <v>7.134096677652764E-2</v>
      </c>
      <c r="W48">
        <f t="shared" si="1"/>
        <v>38</v>
      </c>
      <c r="AF48" s="60"/>
    </row>
    <row r="49" spans="3:32" x14ac:dyDescent="0.3">
      <c r="C49" s="411">
        <f t="shared" si="2"/>
        <v>43948</v>
      </c>
      <c r="E49" s="294">
        <v>291996</v>
      </c>
      <c r="F49" s="7"/>
      <c r="G49" s="7">
        <f>111188</f>
        <v>111188</v>
      </c>
      <c r="H49" s="7"/>
      <c r="I49" s="7">
        <v>25269</v>
      </c>
      <c r="J49" s="297"/>
      <c r="K49" s="7">
        <f t="shared" si="7"/>
        <v>428453</v>
      </c>
      <c r="L49" s="6"/>
      <c r="M49" s="29">
        <f t="shared" si="8"/>
        <v>1.4445296814031897E-2</v>
      </c>
      <c r="N49" s="29"/>
      <c r="O49" s="29"/>
      <c r="P49" s="29"/>
      <c r="Q49" s="395">
        <f t="shared" si="5"/>
        <v>6101</v>
      </c>
      <c r="R49" s="6"/>
      <c r="S49" s="7">
        <f>22668+6044+1924</f>
        <v>30636</v>
      </c>
      <c r="T49" s="6"/>
      <c r="U49" s="296">
        <f t="shared" si="6"/>
        <v>7.1503758872034973E-2</v>
      </c>
      <c r="W49">
        <f t="shared" si="1"/>
        <v>39</v>
      </c>
    </row>
    <row r="50" spans="3:32" x14ac:dyDescent="0.3">
      <c r="C50" s="180">
        <f t="shared" si="2"/>
        <v>43949</v>
      </c>
      <c r="E50" s="294">
        <v>295106</v>
      </c>
      <c r="F50" s="7"/>
      <c r="G50" s="7">
        <f>113856</f>
        <v>113856</v>
      </c>
      <c r="H50" s="7"/>
      <c r="I50" s="7">
        <v>26312</v>
      </c>
      <c r="J50" s="297"/>
      <c r="K50" s="7">
        <f t="shared" si="7"/>
        <v>435274</v>
      </c>
      <c r="L50" s="6"/>
      <c r="M50" s="29">
        <f t="shared" si="8"/>
        <v>1.5920065911546891E-2</v>
      </c>
      <c r="N50" s="29"/>
      <c r="O50" s="29"/>
      <c r="P50" s="29"/>
      <c r="Q50" s="395">
        <f t="shared" si="5"/>
        <v>6821</v>
      </c>
      <c r="R50" s="6"/>
      <c r="S50" s="7">
        <f>22912+6442+2087</f>
        <v>31441</v>
      </c>
      <c r="T50" s="6"/>
      <c r="U50" s="296">
        <f t="shared" si="6"/>
        <v>7.223266264467898E-2</v>
      </c>
      <c r="W50">
        <f t="shared" si="1"/>
        <v>40</v>
      </c>
      <c r="AF50" s="283"/>
    </row>
    <row r="51" spans="3:32" x14ac:dyDescent="0.3">
      <c r="C51" s="180">
        <f t="shared" si="2"/>
        <v>43950</v>
      </c>
      <c r="E51" s="294">
        <v>299691</v>
      </c>
      <c r="F51" s="7"/>
      <c r="G51" s="7">
        <f>116365</f>
        <v>116365</v>
      </c>
      <c r="H51" s="7"/>
      <c r="I51" s="7">
        <v>26751</v>
      </c>
      <c r="J51" s="297"/>
      <c r="K51" s="7">
        <f t="shared" si="7"/>
        <v>442807</v>
      </c>
      <c r="L51" s="6"/>
      <c r="M51" s="29">
        <f t="shared" si="8"/>
        <v>1.7306340374109181E-2</v>
      </c>
      <c r="N51" s="29"/>
      <c r="O51" s="29"/>
      <c r="P51" s="29"/>
      <c r="Q51" s="395">
        <f t="shared" si="5"/>
        <v>7533</v>
      </c>
      <c r="R51" s="6"/>
      <c r="S51" s="7">
        <f>23477+6711+2169</f>
        <v>32357</v>
      </c>
      <c r="T51" s="6"/>
      <c r="U51" s="296">
        <f t="shared" si="6"/>
        <v>7.3072467237419461E-2</v>
      </c>
      <c r="W51">
        <f t="shared" si="1"/>
        <v>41</v>
      </c>
    </row>
    <row r="52" spans="3:32" x14ac:dyDescent="0.3">
      <c r="C52" s="180">
        <f t="shared" si="2"/>
        <v>43951</v>
      </c>
      <c r="E52" s="294">
        <v>304372</v>
      </c>
      <c r="F52" s="7"/>
      <c r="G52" s="7">
        <v>118652</v>
      </c>
      <c r="H52" s="7"/>
      <c r="I52" s="7">
        <v>27700</v>
      </c>
      <c r="J52" s="297"/>
      <c r="K52" s="7">
        <f t="shared" si="7"/>
        <v>450724</v>
      </c>
      <c r="L52" s="6"/>
      <c r="M52" s="29">
        <f t="shared" si="8"/>
        <v>1.7879121152104643E-2</v>
      </c>
      <c r="N52" s="29"/>
      <c r="O52" s="29"/>
      <c r="P52" s="29"/>
      <c r="Q52" s="395">
        <f t="shared" si="5"/>
        <v>7917</v>
      </c>
      <c r="R52" s="6"/>
      <c r="S52" s="7">
        <f>23545+7228+2257</f>
        <v>33030</v>
      </c>
      <c r="T52" s="6"/>
      <c r="U52" s="296">
        <f t="shared" si="6"/>
        <v>7.3282097247983249E-2</v>
      </c>
      <c r="W52">
        <f t="shared" si="1"/>
        <v>42</v>
      </c>
    </row>
    <row r="53" spans="3:32" x14ac:dyDescent="0.3">
      <c r="C53" s="180">
        <f t="shared" si="2"/>
        <v>43952</v>
      </c>
      <c r="E53" s="294">
        <v>308314</v>
      </c>
      <c r="F53" s="7"/>
      <c r="G53" s="7">
        <v>121190</v>
      </c>
      <c r="H53" s="7"/>
      <c r="I53" s="7">
        <v>28855</v>
      </c>
      <c r="J53" s="297"/>
      <c r="K53" s="7">
        <f t="shared" ref="K53" si="9">SUM(E53:I53)</f>
        <v>458359</v>
      </c>
      <c r="L53" s="6"/>
      <c r="M53" s="29">
        <f t="shared" ref="M53" si="10">+(K53-K52)/K52</f>
        <v>1.6939413033253164E-2</v>
      </c>
      <c r="N53" s="29"/>
      <c r="O53" s="29"/>
      <c r="P53" s="29"/>
      <c r="Q53" s="395">
        <f t="shared" si="5"/>
        <v>7635</v>
      </c>
      <c r="R53" s="6"/>
      <c r="S53" s="7">
        <f>23981+7538+2341</f>
        <v>33860</v>
      </c>
      <c r="T53" s="6"/>
      <c r="U53" s="296">
        <f t="shared" ref="U53" si="11">+S53/K53</f>
        <v>7.3872226791663304E-2</v>
      </c>
      <c r="W53">
        <f t="shared" si="1"/>
        <v>43</v>
      </c>
    </row>
    <row r="54" spans="3:32" x14ac:dyDescent="0.3">
      <c r="C54" s="180">
        <f t="shared" si="2"/>
        <v>43953</v>
      </c>
      <c r="E54" s="294">
        <v>312977</v>
      </c>
      <c r="F54" s="7"/>
      <c r="G54" s="7">
        <v>123717</v>
      </c>
      <c r="H54" s="7"/>
      <c r="I54" s="7">
        <v>29346</v>
      </c>
      <c r="J54" s="297"/>
      <c r="K54" s="7">
        <f t="shared" ref="K54" si="12">SUM(E54:I54)</f>
        <v>466040</v>
      </c>
      <c r="L54" s="6"/>
      <c r="M54" s="29">
        <f t="shared" ref="M54" si="13">+(K54-K53)/K53</f>
        <v>1.6757607028551856E-2</v>
      </c>
      <c r="N54" s="29"/>
      <c r="O54" s="29"/>
      <c r="P54" s="29"/>
      <c r="Q54" s="395">
        <f t="shared" si="5"/>
        <v>7681</v>
      </c>
      <c r="R54" s="6"/>
      <c r="S54" s="7">
        <f>24198+7742+2437</f>
        <v>34377</v>
      </c>
      <c r="T54" s="6"/>
      <c r="U54" s="296">
        <f t="shared" ref="U54" si="14">+S54/K54</f>
        <v>7.3764054587589042E-2</v>
      </c>
      <c r="W54">
        <f t="shared" si="1"/>
        <v>44</v>
      </c>
    </row>
    <row r="55" spans="3:32" x14ac:dyDescent="0.3">
      <c r="C55" s="180">
        <f t="shared" si="2"/>
        <v>43954</v>
      </c>
      <c r="E55" s="294">
        <v>316415</v>
      </c>
      <c r="F55" s="7"/>
      <c r="G55" s="7">
        <v>126744</v>
      </c>
      <c r="H55" s="7"/>
      <c r="I55" s="7">
        <v>29087</v>
      </c>
      <c r="J55" s="297"/>
      <c r="K55" s="7">
        <f t="shared" ref="K55" si="15">SUM(E55:I55)</f>
        <v>472246</v>
      </c>
      <c r="L55" s="6"/>
      <c r="M55" s="29">
        <f t="shared" ref="M55" si="16">+(K55-K54)/K54</f>
        <v>1.3316453523302721E-2</v>
      </c>
      <c r="N55" s="29"/>
      <c r="O55" s="29"/>
      <c r="P55" s="29"/>
      <c r="Q55" s="395">
        <f t="shared" si="5"/>
        <v>6206</v>
      </c>
      <c r="R55" s="6"/>
      <c r="S55" s="7">
        <f>24708+7871+2436</f>
        <v>35015</v>
      </c>
      <c r="T55" s="6"/>
      <c r="U55" s="296">
        <f t="shared" ref="U55" si="17">+S55/K55</f>
        <v>7.4145678311727359E-2</v>
      </c>
      <c r="W55">
        <f t="shared" si="1"/>
        <v>45</v>
      </c>
    </row>
    <row r="56" spans="3:32" x14ac:dyDescent="0.3">
      <c r="C56" s="411">
        <f t="shared" si="2"/>
        <v>43955</v>
      </c>
      <c r="E56" s="294">
        <v>318953</v>
      </c>
      <c r="F56" s="7"/>
      <c r="G56" s="7">
        <v>128269</v>
      </c>
      <c r="H56" s="7"/>
      <c r="I56" s="7">
        <v>29973</v>
      </c>
      <c r="J56" s="297"/>
      <c r="K56" s="7">
        <f t="shared" ref="K56" si="18">SUM(E56:I56)</f>
        <v>477195</v>
      </c>
      <c r="L56" s="6"/>
      <c r="M56" s="29">
        <f t="shared" ref="M56" si="19">+(K56-K55)/K55</f>
        <v>1.0479707610016813E-2</v>
      </c>
      <c r="N56" s="29"/>
      <c r="O56" s="29"/>
      <c r="P56" s="29"/>
      <c r="Q56" s="395">
        <f t="shared" si="5"/>
        <v>4949</v>
      </c>
      <c r="R56" s="6"/>
      <c r="S56" s="7">
        <f>24999+7910+2556</f>
        <v>35465</v>
      </c>
      <c r="T56" s="6"/>
      <c r="U56" s="296">
        <f t="shared" ref="U56" si="20">+S56/K56</f>
        <v>7.4319722545290706E-2</v>
      </c>
      <c r="W56">
        <f t="shared" si="1"/>
        <v>46</v>
      </c>
    </row>
    <row r="57" spans="3:32" x14ac:dyDescent="0.3">
      <c r="C57" s="180">
        <f t="shared" si="2"/>
        <v>43956</v>
      </c>
      <c r="E57" s="294">
        <v>321192</v>
      </c>
      <c r="F57" s="7"/>
      <c r="G57" s="7">
        <v>130593</v>
      </c>
      <c r="H57" s="7"/>
      <c r="I57" s="7">
        <v>30621</v>
      </c>
      <c r="J57" s="297"/>
      <c r="K57" s="7">
        <f t="shared" ref="K57" si="21">SUM(E57:I57)</f>
        <v>482406</v>
      </c>
      <c r="L57" s="6"/>
      <c r="M57" s="29">
        <f t="shared" ref="M57" si="22">+(K57-K56)/K56</f>
        <v>1.0920064124728884E-2</v>
      </c>
      <c r="N57" s="29"/>
      <c r="O57" s="29"/>
      <c r="P57" s="29"/>
      <c r="Q57" s="395">
        <f t="shared" si="5"/>
        <v>5211</v>
      </c>
      <c r="R57" s="6"/>
      <c r="S57" s="7">
        <f>25124+8244+2633</f>
        <v>36001</v>
      </c>
      <c r="T57" s="6"/>
      <c r="U57" s="296">
        <f t="shared" ref="U57" si="23">+S57/K57</f>
        <v>7.4628010431047706E-2</v>
      </c>
      <c r="W57">
        <f t="shared" si="1"/>
        <v>47</v>
      </c>
    </row>
    <row r="58" spans="3:32" x14ac:dyDescent="0.3">
      <c r="C58" s="180">
        <f t="shared" si="2"/>
        <v>43957</v>
      </c>
      <c r="E58" s="294">
        <v>323978</v>
      </c>
      <c r="F58" s="7"/>
      <c r="G58" s="7">
        <v>131890</v>
      </c>
      <c r="H58" s="7"/>
      <c r="I58" s="7">
        <v>30995</v>
      </c>
      <c r="J58" s="297"/>
      <c r="K58" s="7">
        <f t="shared" ref="K58" si="24">SUM(E58:I58)</f>
        <v>486863</v>
      </c>
      <c r="L58" s="6"/>
      <c r="M58" s="29">
        <f t="shared" ref="M58" si="25">+(K58-K57)/K57</f>
        <v>9.2391056495980568E-3</v>
      </c>
      <c r="N58" s="29"/>
      <c r="O58" s="29"/>
      <c r="P58" s="29"/>
      <c r="Q58" s="395">
        <f t="shared" si="5"/>
        <v>4457</v>
      </c>
      <c r="R58" s="6"/>
      <c r="S58" s="7">
        <f>25346+8549+2718</f>
        <v>36613</v>
      </c>
      <c r="T58" s="6"/>
      <c r="U58" s="296">
        <f t="shared" ref="U58" si="26">+S58/K58</f>
        <v>7.5201853498828214E-2</v>
      </c>
      <c r="W58">
        <f t="shared" si="1"/>
        <v>48</v>
      </c>
    </row>
    <row r="59" spans="3:32" x14ac:dyDescent="0.3">
      <c r="C59" s="180">
        <f t="shared" si="2"/>
        <v>43958</v>
      </c>
      <c r="E59" s="294">
        <v>327469</v>
      </c>
      <c r="F59" s="7"/>
      <c r="G59" s="7">
        <v>133991</v>
      </c>
      <c r="H59" s="7"/>
      <c r="I59" s="7">
        <v>31784</v>
      </c>
      <c r="J59" s="297"/>
      <c r="K59" s="7">
        <f t="shared" ref="K59" si="27">SUM(E59:I59)</f>
        <v>493244</v>
      </c>
      <c r="L59" s="6"/>
      <c r="M59" s="29">
        <f t="shared" ref="M59" si="28">+(K59-K58)/K58</f>
        <v>1.310635640827091E-2</v>
      </c>
      <c r="N59" s="29"/>
      <c r="O59" s="29"/>
      <c r="P59" s="29"/>
      <c r="Q59" s="395">
        <f t="shared" si="5"/>
        <v>6381</v>
      </c>
      <c r="R59" s="6"/>
      <c r="S59" s="7">
        <f>26144+8807+2797</f>
        <v>37748</v>
      </c>
      <c r="T59" s="6"/>
      <c r="U59" s="296">
        <f t="shared" ref="U59" si="29">+S59/K59</f>
        <v>7.6530074364817416E-2</v>
      </c>
      <c r="W59">
        <f t="shared" si="1"/>
        <v>49</v>
      </c>
    </row>
    <row r="60" spans="3:32" x14ac:dyDescent="0.3">
      <c r="C60" s="180">
        <f t="shared" si="2"/>
        <v>43959</v>
      </c>
      <c r="E60" s="294">
        <v>330407</v>
      </c>
      <c r="F60" s="7"/>
      <c r="G60" s="7">
        <v>135840</v>
      </c>
      <c r="H60" s="7"/>
      <c r="I60" s="7">
        <v>32411</v>
      </c>
      <c r="J60" s="297"/>
      <c r="K60" s="7">
        <f t="shared" ref="K60" si="30">SUM(E60:I60)</f>
        <v>498658</v>
      </c>
      <c r="L60" s="6"/>
      <c r="M60" s="29">
        <f t="shared" ref="M60" si="31">+(K60-K59)/K59</f>
        <v>1.0976311926754304E-2</v>
      </c>
      <c r="N60" s="29"/>
      <c r="O60" s="29"/>
      <c r="P60" s="29"/>
      <c r="Q60" s="395">
        <f t="shared" si="5"/>
        <v>5414</v>
      </c>
      <c r="R60" s="6"/>
      <c r="S60" s="7">
        <f>26243+8960+2874</f>
        <v>38077</v>
      </c>
      <c r="T60" s="6"/>
      <c r="U60" s="296">
        <f t="shared" ref="U60" si="32">+S60/K60</f>
        <v>7.6358947414861489E-2</v>
      </c>
      <c r="W60">
        <f t="shared" si="1"/>
        <v>50</v>
      </c>
    </row>
    <row r="61" spans="3:32" x14ac:dyDescent="0.3">
      <c r="C61" s="180">
        <f t="shared" si="2"/>
        <v>43960</v>
      </c>
      <c r="E61" s="294">
        <v>333122</v>
      </c>
      <c r="F61" s="7"/>
      <c r="G61" s="7">
        <v>137397</v>
      </c>
      <c r="H61" s="7"/>
      <c r="I61" s="7">
        <v>32984</v>
      </c>
      <c r="J61" s="297"/>
      <c r="K61" s="7">
        <f t="shared" ref="K61" si="33">SUM(E61:I61)</f>
        <v>503503</v>
      </c>
      <c r="L61" s="6"/>
      <c r="M61" s="29">
        <f t="shared" ref="M61" si="34">+(K61-K60)/K60</f>
        <v>9.7160779532264596E-3</v>
      </c>
      <c r="N61" s="29"/>
      <c r="O61" s="29"/>
      <c r="P61" s="29"/>
      <c r="Q61" s="395">
        <f t="shared" si="5"/>
        <v>4845</v>
      </c>
      <c r="R61" s="6"/>
      <c r="S61" s="7">
        <f>26563+9116+2932</f>
        <v>38611</v>
      </c>
      <c r="T61" s="6"/>
      <c r="U61" s="296">
        <f t="shared" ref="U61" si="35">+S61/K61</f>
        <v>7.6684746664865952E-2</v>
      </c>
      <c r="W61">
        <f t="shared" si="1"/>
        <v>51</v>
      </c>
    </row>
    <row r="62" spans="3:32" x14ac:dyDescent="0.3">
      <c r="C62" s="411">
        <f t="shared" si="2"/>
        <v>43961</v>
      </c>
      <c r="E62" s="294">
        <v>335395</v>
      </c>
      <c r="F62" s="7"/>
      <c r="G62" s="7">
        <v>138754</v>
      </c>
      <c r="H62" s="7"/>
      <c r="I62" s="7">
        <v>33554</v>
      </c>
      <c r="J62" s="297"/>
      <c r="K62" s="7">
        <f t="shared" ref="K62" si="36">SUM(E62:I62)</f>
        <v>507703</v>
      </c>
      <c r="L62" s="6"/>
      <c r="M62" s="29">
        <f t="shared" ref="M62" si="37">+(K62-K61)/K61</f>
        <v>8.3415590373840873E-3</v>
      </c>
      <c r="N62" s="29"/>
      <c r="O62" s="29"/>
      <c r="P62" s="29"/>
      <c r="Q62" s="395">
        <f t="shared" ref="Q62" si="38">+K62-K61</f>
        <v>4200</v>
      </c>
      <c r="R62" s="6"/>
      <c r="S62" s="7">
        <f>26641+9256+2967</f>
        <v>38864</v>
      </c>
      <c r="T62" s="6"/>
      <c r="U62" s="296">
        <f t="shared" ref="U62" si="39">+S62/K62</f>
        <v>7.6548690868480193E-2</v>
      </c>
      <c r="W62">
        <f t="shared" si="1"/>
        <v>52</v>
      </c>
    </row>
    <row r="63" spans="3:32" x14ac:dyDescent="0.3">
      <c r="C63" s="180">
        <f t="shared" si="2"/>
        <v>43962</v>
      </c>
      <c r="E63" s="294">
        <v>337055</v>
      </c>
      <c r="F63" s="7"/>
      <c r="G63" s="7">
        <v>140206</v>
      </c>
      <c r="H63" s="7"/>
      <c r="I63" s="7">
        <v>33765</v>
      </c>
      <c r="J63" s="297"/>
      <c r="K63" s="7">
        <f t="shared" ref="K63" si="40">SUM(E63:I63)</f>
        <v>511026</v>
      </c>
      <c r="L63" s="6"/>
      <c r="M63" s="29">
        <f t="shared" ref="M63" si="41">+(K63-K62)/K62</f>
        <v>6.5451651851574644E-3</v>
      </c>
      <c r="N63" s="29"/>
      <c r="O63" s="29"/>
      <c r="P63" s="29"/>
      <c r="Q63" s="395">
        <f t="shared" ref="Q63" si="42">+K63-K62</f>
        <v>3323</v>
      </c>
      <c r="R63" s="6"/>
      <c r="S63" s="7">
        <f>26721+9340+3008</f>
        <v>39069</v>
      </c>
      <c r="T63" s="6"/>
      <c r="U63" s="296">
        <f t="shared" ref="U63" si="43">+S63/K63</f>
        <v>7.6452078759202069E-2</v>
      </c>
      <c r="W63">
        <f t="shared" si="1"/>
        <v>53</v>
      </c>
    </row>
    <row r="64" spans="3:32" x14ac:dyDescent="0.3">
      <c r="C64" s="180">
        <f t="shared" si="2"/>
        <v>43963</v>
      </c>
      <c r="E64" s="294">
        <v>338485</v>
      </c>
      <c r="F64" s="7"/>
      <c r="G64" s="7">
        <v>140917</v>
      </c>
      <c r="H64" s="7"/>
      <c r="I64" s="7">
        <v>34333</v>
      </c>
      <c r="J64" s="297"/>
      <c r="K64" s="7">
        <f t="shared" ref="K64" si="44">SUM(E64:I64)</f>
        <v>513735</v>
      </c>
      <c r="L64" s="6"/>
      <c r="M64" s="29">
        <f t="shared" ref="M64" si="45">+(K64-K63)/K63</f>
        <v>5.3011001397189183E-3</v>
      </c>
      <c r="N64" s="29"/>
      <c r="O64" s="29"/>
      <c r="P64" s="29"/>
      <c r="Q64" s="395">
        <f t="shared" ref="Q64" si="46">+K64-K63</f>
        <v>2709</v>
      </c>
      <c r="R64" s="6"/>
      <c r="S64" s="7">
        <f>27284+9531+3041</f>
        <v>39856</v>
      </c>
      <c r="T64" s="6"/>
      <c r="U64" s="296">
        <f t="shared" ref="U64" si="47">+S64/K64</f>
        <v>7.7580853942207553E-2</v>
      </c>
      <c r="W64">
        <f t="shared" si="1"/>
        <v>54</v>
      </c>
    </row>
    <row r="65" spans="3:41" x14ac:dyDescent="0.3">
      <c r="C65" s="180">
        <f t="shared" si="2"/>
        <v>43964</v>
      </c>
      <c r="E65" s="294"/>
      <c r="F65" s="7"/>
      <c r="G65" s="7"/>
      <c r="H65" s="7"/>
      <c r="I65" s="7"/>
      <c r="J65" s="297"/>
      <c r="K65" s="7"/>
      <c r="L65" s="6"/>
      <c r="M65" s="29"/>
      <c r="N65" s="29"/>
      <c r="O65" s="29"/>
      <c r="P65" s="29"/>
      <c r="Q65" s="395"/>
      <c r="R65" s="6"/>
      <c r="S65" s="7"/>
      <c r="T65" s="6"/>
      <c r="U65" s="296"/>
      <c r="W65">
        <f t="shared" si="1"/>
        <v>55</v>
      </c>
    </row>
    <row r="66" spans="3:41" x14ac:dyDescent="0.3">
      <c r="C66" s="180">
        <f t="shared" si="2"/>
        <v>43965</v>
      </c>
      <c r="E66" s="294"/>
      <c r="F66" s="7"/>
      <c r="G66" s="7"/>
      <c r="H66" s="7"/>
      <c r="I66" s="7"/>
      <c r="J66" s="297"/>
      <c r="K66" s="7"/>
      <c r="L66" s="6"/>
      <c r="M66" s="29"/>
      <c r="N66" s="29"/>
      <c r="O66" s="29"/>
      <c r="P66" s="29"/>
      <c r="Q66" s="393"/>
      <c r="R66" s="6"/>
      <c r="S66" s="7"/>
      <c r="T66" s="6"/>
      <c r="U66" s="296"/>
      <c r="W66">
        <f t="shared" si="1"/>
        <v>56</v>
      </c>
    </row>
    <row r="67" spans="3:41" x14ac:dyDescent="0.3">
      <c r="C67" s="180">
        <f t="shared" si="2"/>
        <v>43966</v>
      </c>
      <c r="E67" s="294"/>
      <c r="F67" s="7"/>
      <c r="G67" s="7"/>
      <c r="H67" s="7"/>
      <c r="I67" s="7"/>
      <c r="J67" s="297"/>
      <c r="K67" s="7"/>
      <c r="L67" s="6"/>
      <c r="M67" s="29"/>
      <c r="N67" s="29"/>
      <c r="O67" s="29"/>
      <c r="P67" s="29"/>
      <c r="Q67" s="393"/>
      <c r="R67" s="6"/>
      <c r="S67" s="7"/>
      <c r="T67" s="6"/>
      <c r="U67" s="296"/>
      <c r="W67">
        <f t="shared" si="1"/>
        <v>57</v>
      </c>
    </row>
    <row r="68" spans="3:41" ht="15" thickBot="1" x14ac:dyDescent="0.35">
      <c r="C68" s="180">
        <f t="shared" si="2"/>
        <v>43967</v>
      </c>
      <c r="E68" s="298"/>
      <c r="F68" s="299"/>
      <c r="G68" s="299"/>
      <c r="H68" s="299"/>
      <c r="I68" s="299"/>
      <c r="J68" s="299"/>
      <c r="K68" s="299"/>
      <c r="L68" s="300"/>
      <c r="M68" s="301"/>
      <c r="N68" s="301"/>
      <c r="O68" s="301"/>
      <c r="P68" s="301"/>
      <c r="Q68" s="394"/>
      <c r="R68" s="300"/>
      <c r="S68" s="300"/>
      <c r="T68" s="300"/>
      <c r="U68" s="302"/>
      <c r="W68">
        <f t="shared" si="1"/>
        <v>58</v>
      </c>
    </row>
    <row r="69" spans="3:41" x14ac:dyDescent="0.3">
      <c r="E69" s="60"/>
      <c r="F69" s="1"/>
      <c r="G69" s="60"/>
      <c r="H69" s="60"/>
      <c r="I69" s="60"/>
      <c r="J69" s="1"/>
      <c r="K69" s="60"/>
      <c r="S69" s="60"/>
    </row>
    <row r="70" spans="3:41" x14ac:dyDescent="0.3">
      <c r="C70" s="189" t="s">
        <v>84</v>
      </c>
      <c r="E70" s="60">
        <f>+E63</f>
        <v>337055</v>
      </c>
      <c r="F70" s="60">
        <f t="shared" ref="F70" si="48">+F52</f>
        <v>0</v>
      </c>
      <c r="G70" s="60">
        <f t="shared" ref="G70:S70" si="49">+G63</f>
        <v>140206</v>
      </c>
      <c r="H70" s="60">
        <f t="shared" si="49"/>
        <v>0</v>
      </c>
      <c r="I70" s="60">
        <f t="shared" si="49"/>
        <v>33765</v>
      </c>
      <c r="J70" s="60">
        <f t="shared" si="49"/>
        <v>0</v>
      </c>
      <c r="K70" s="60">
        <f t="shared" si="49"/>
        <v>511026</v>
      </c>
      <c r="L70" s="60">
        <f t="shared" si="49"/>
        <v>0</v>
      </c>
      <c r="M70" s="60">
        <f t="shared" si="49"/>
        <v>6.5451651851574644E-3</v>
      </c>
      <c r="N70" s="60">
        <f t="shared" si="49"/>
        <v>0</v>
      </c>
      <c r="O70" s="60"/>
      <c r="P70" s="60">
        <f t="shared" si="49"/>
        <v>0</v>
      </c>
      <c r="Q70" s="60">
        <f t="shared" si="49"/>
        <v>3323</v>
      </c>
      <c r="R70" s="60">
        <f t="shared" si="49"/>
        <v>0</v>
      </c>
      <c r="S70" s="60">
        <f t="shared" si="49"/>
        <v>39069</v>
      </c>
      <c r="T70" s="60">
        <f t="shared" ref="T70" si="50">+T60</f>
        <v>0</v>
      </c>
    </row>
    <row r="71" spans="3:41" x14ac:dyDescent="0.3">
      <c r="E71" s="60"/>
      <c r="G71" s="60"/>
      <c r="H71" s="60"/>
      <c r="I71" s="60"/>
      <c r="J71" s="60"/>
      <c r="K71" s="60"/>
      <c r="L71" s="60"/>
      <c r="M71" s="63"/>
      <c r="N71" s="60"/>
      <c r="O71" s="60"/>
      <c r="P71" s="60"/>
      <c r="Q71" s="60"/>
      <c r="R71" s="60"/>
      <c r="S71" s="60"/>
    </row>
    <row r="72" spans="3:41" x14ac:dyDescent="0.3">
      <c r="E72" s="63"/>
      <c r="K72" s="1"/>
    </row>
    <row r="73" spans="3:41" x14ac:dyDescent="0.3">
      <c r="C73" s="129"/>
      <c r="D73" s="130"/>
      <c r="E73" s="413"/>
      <c r="F73" s="10"/>
      <c r="G73" s="10"/>
      <c r="H73" s="10"/>
      <c r="I73" s="65"/>
      <c r="J73" s="10"/>
      <c r="K73" s="10"/>
      <c r="L73" s="10"/>
      <c r="M73" s="10"/>
      <c r="N73" s="10"/>
      <c r="O73" s="10"/>
      <c r="P73" s="10"/>
      <c r="Q73" s="413"/>
      <c r="R73" s="10"/>
      <c r="S73" s="10"/>
    </row>
    <row r="74" spans="3:41" x14ac:dyDescent="0.3">
      <c r="E74" s="60"/>
      <c r="Q74" s="60"/>
    </row>
    <row r="75" spans="3:41" x14ac:dyDescent="0.3">
      <c r="Q75" s="60"/>
      <c r="S75" s="63"/>
    </row>
    <row r="78" spans="3:41" x14ac:dyDescent="0.3">
      <c r="AO78" s="1">
        <v>3797000</v>
      </c>
    </row>
    <row r="79" spans="3:41" x14ac:dyDescent="0.3">
      <c r="C79" s="1"/>
    </row>
    <row r="80" spans="3:41" x14ac:dyDescent="0.3">
      <c r="C80" s="1"/>
      <c r="AO80" s="1">
        <v>30000</v>
      </c>
    </row>
    <row r="81" spans="3:41" x14ac:dyDescent="0.3">
      <c r="C81" s="63"/>
    </row>
    <row r="82" spans="3:41" x14ac:dyDescent="0.3">
      <c r="AO82" s="287">
        <f>+AO80/AO78</f>
        <v>7.900974453515933E-3</v>
      </c>
    </row>
  </sheetData>
  <mergeCells count="10">
    <mergeCell ref="E7:F7"/>
    <mergeCell ref="E8:U8"/>
    <mergeCell ref="G7:U7"/>
    <mergeCell ref="AA36:AI36"/>
    <mergeCell ref="AH14:AH15"/>
    <mergeCell ref="AD14:AF14"/>
    <mergeCell ref="AA25:AK25"/>
    <mergeCell ref="S9:U9"/>
    <mergeCell ref="Q9:Q10"/>
    <mergeCell ref="E9:P9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6B2E5-8282-4A70-8BB2-E998E3C784DD}">
  <dimension ref="B1:AB66"/>
  <sheetViews>
    <sheetView topLeftCell="A7" workbookViewId="0">
      <selection activeCell="U43" sqref="U43"/>
    </sheetView>
  </sheetViews>
  <sheetFormatPr defaultRowHeight="14.4" x14ac:dyDescent="0.3"/>
  <cols>
    <col min="1" max="1" width="2.5546875" customWidth="1"/>
    <col min="2" max="2" width="3.88671875" customWidth="1"/>
    <col min="3" max="3" width="3.21875" customWidth="1"/>
    <col min="4" max="4" width="2" customWidth="1"/>
    <col min="5" max="5" width="3.6640625" customWidth="1"/>
    <col min="6" max="6" width="9.5546875" customWidth="1"/>
    <col min="10" max="10" width="2.6640625" customWidth="1"/>
    <col min="11" max="11" width="3.109375" customWidth="1"/>
    <col min="13" max="13" width="2.44140625" customWidth="1"/>
    <col min="15" max="15" width="2" customWidth="1"/>
    <col min="16" max="16" width="9.6640625" bestFit="1" customWidth="1"/>
    <col min="17" max="17" width="9.6640625" customWidth="1"/>
    <col min="18" max="18" width="2.33203125" customWidth="1"/>
    <col min="20" max="20" width="2.21875" customWidth="1"/>
    <col min="21" max="21" width="11.109375" bestFit="1" customWidth="1"/>
    <col min="22" max="22" width="1.88671875" customWidth="1"/>
    <col min="24" max="24" width="2" customWidth="1"/>
    <col min="26" max="26" width="2.33203125" customWidth="1"/>
    <col min="27" max="27" width="2.6640625" customWidth="1"/>
    <col min="28" max="28" width="2.44140625" customWidth="1"/>
  </cols>
  <sheetData>
    <row r="1" spans="2:28" ht="15.6" x14ac:dyDescent="0.3">
      <c r="B1" s="268" t="s">
        <v>5</v>
      </c>
      <c r="C1" s="268"/>
      <c r="D1" s="268"/>
    </row>
    <row r="2" spans="2:28" ht="16.2" thickBot="1" x14ac:dyDescent="0.35">
      <c r="B2" s="268" t="s">
        <v>6</v>
      </c>
      <c r="C2" s="268"/>
      <c r="D2" s="268"/>
    </row>
    <row r="3" spans="2:28" ht="16.2" thickBot="1" x14ac:dyDescent="0.35">
      <c r="B3" s="266" t="s">
        <v>14</v>
      </c>
      <c r="C3" s="266"/>
      <c r="D3" s="176"/>
      <c r="R3" s="490" t="s">
        <v>117</v>
      </c>
      <c r="S3" s="491"/>
      <c r="T3" s="491"/>
      <c r="U3" s="491"/>
      <c r="V3" s="491"/>
      <c r="W3" s="491"/>
      <c r="X3" s="491"/>
      <c r="Y3" s="491"/>
      <c r="Z3" s="491"/>
      <c r="AA3" s="491"/>
      <c r="AB3" s="492"/>
    </row>
    <row r="4" spans="2:28" ht="15.6" x14ac:dyDescent="0.3">
      <c r="B4" s="266"/>
      <c r="C4" s="266"/>
      <c r="D4" s="176"/>
      <c r="R4" s="303"/>
      <c r="S4" s="4" t="s">
        <v>81</v>
      </c>
      <c r="T4" s="6"/>
      <c r="U4" s="4" t="s">
        <v>109</v>
      </c>
      <c r="V4" s="5"/>
      <c r="W4" s="4" t="s">
        <v>110</v>
      </c>
      <c r="X4" s="5"/>
      <c r="Y4" s="4" t="s">
        <v>76</v>
      </c>
      <c r="Z4" s="6"/>
      <c r="AA4" s="304" t="s">
        <v>16</v>
      </c>
      <c r="AB4" s="305"/>
    </row>
    <row r="5" spans="2:28" ht="15.6" x14ac:dyDescent="0.3">
      <c r="B5" s="266"/>
      <c r="C5" t="s">
        <v>95</v>
      </c>
      <c r="D5" s="176"/>
      <c r="E5" t="s">
        <v>96</v>
      </c>
      <c r="R5" s="303"/>
      <c r="S5" s="6"/>
      <c r="T5" s="6"/>
      <c r="U5" s="6"/>
      <c r="V5" s="6"/>
      <c r="W5" s="6"/>
      <c r="X5" s="6"/>
      <c r="Y5" s="6"/>
      <c r="Z5" s="6"/>
      <c r="AA5" s="6"/>
      <c r="AB5" s="305"/>
    </row>
    <row r="6" spans="2:28" ht="15.6" x14ac:dyDescent="0.3">
      <c r="B6" s="266"/>
      <c r="C6" s="266"/>
      <c r="D6" s="179"/>
      <c r="E6" t="s">
        <v>97</v>
      </c>
      <c r="F6" t="s">
        <v>114</v>
      </c>
      <c r="R6" s="303"/>
      <c r="S6" s="306">
        <v>43951</v>
      </c>
      <c r="T6" s="314"/>
      <c r="U6" s="315">
        <v>427734</v>
      </c>
      <c r="V6" s="314"/>
      <c r="W6" s="316">
        <v>0.39100000000000001</v>
      </c>
      <c r="X6" s="314"/>
      <c r="Y6" s="314"/>
      <c r="Z6" s="314"/>
      <c r="AA6" s="314"/>
      <c r="AB6" s="305"/>
    </row>
    <row r="7" spans="2:28" ht="15.6" x14ac:dyDescent="0.3">
      <c r="B7" s="266"/>
      <c r="C7" s="266"/>
      <c r="D7" s="179"/>
      <c r="E7" t="s">
        <v>98</v>
      </c>
      <c r="F7" t="s">
        <v>100</v>
      </c>
      <c r="R7" s="303"/>
      <c r="S7" s="313">
        <f>+S6+1</f>
        <v>43952</v>
      </c>
      <c r="T7" s="314"/>
      <c r="U7" s="315">
        <v>432831</v>
      </c>
      <c r="V7" s="314"/>
      <c r="W7" s="316">
        <v>0.38300000000000001</v>
      </c>
      <c r="X7" s="314"/>
      <c r="Y7" s="308">
        <f>+U6-U7</f>
        <v>-5097</v>
      </c>
      <c r="Z7" s="314"/>
      <c r="AA7" s="314"/>
      <c r="AB7" s="305"/>
    </row>
    <row r="8" spans="2:28" ht="15.6" x14ac:dyDescent="0.3">
      <c r="B8" s="266"/>
      <c r="C8" s="266"/>
      <c r="D8" s="179"/>
      <c r="E8" t="s">
        <v>99</v>
      </c>
      <c r="F8" t="s">
        <v>115</v>
      </c>
      <c r="R8" s="303"/>
      <c r="S8" s="313">
        <f t="shared" ref="S8:S18" si="0">+S7+1</f>
        <v>43953</v>
      </c>
      <c r="T8" s="6"/>
      <c r="U8" s="7">
        <v>433512</v>
      </c>
      <c r="V8" s="6"/>
      <c r="W8" s="45">
        <v>0.373</v>
      </c>
      <c r="X8" s="6"/>
      <c r="Y8" s="308">
        <f t="shared" ref="Y8:Y12" si="1">+U7-U8</f>
        <v>-681</v>
      </c>
      <c r="Z8" s="6"/>
      <c r="AA8" s="6"/>
      <c r="AB8" s="305"/>
    </row>
    <row r="9" spans="2:28" ht="15.6" x14ac:dyDescent="0.3">
      <c r="B9" s="266"/>
      <c r="C9" s="266"/>
      <c r="D9" s="179"/>
      <c r="R9" s="303"/>
      <c r="S9" s="313">
        <f t="shared" si="0"/>
        <v>43954</v>
      </c>
      <c r="T9" s="6"/>
      <c r="U9" s="7">
        <v>434345</v>
      </c>
      <c r="V9" s="6"/>
      <c r="W9" s="45">
        <v>0.36599999999999999</v>
      </c>
      <c r="X9" s="6"/>
      <c r="Y9" s="308">
        <f t="shared" si="1"/>
        <v>-833</v>
      </c>
      <c r="Z9" s="6"/>
      <c r="AA9" s="6"/>
      <c r="AB9" s="305"/>
    </row>
    <row r="10" spans="2:28" ht="15.6" x14ac:dyDescent="0.3">
      <c r="B10" s="266"/>
      <c r="C10" s="288" t="s">
        <v>101</v>
      </c>
      <c r="D10" s="179"/>
      <c r="E10" t="s">
        <v>104</v>
      </c>
      <c r="R10" s="303"/>
      <c r="S10" s="313">
        <f t="shared" si="0"/>
        <v>43955</v>
      </c>
      <c r="T10" s="6"/>
      <c r="U10" s="7">
        <v>458962</v>
      </c>
      <c r="V10" s="6"/>
      <c r="W10" s="45">
        <v>0.378</v>
      </c>
      <c r="X10" s="6"/>
      <c r="Y10" s="308">
        <f t="shared" si="1"/>
        <v>-24617</v>
      </c>
      <c r="Z10" s="6"/>
      <c r="AA10" s="6"/>
      <c r="AB10" s="305"/>
    </row>
    <row r="11" spans="2:28" ht="15.6" x14ac:dyDescent="0.3">
      <c r="B11" s="266"/>
      <c r="C11" s="266"/>
      <c r="D11" s="179"/>
      <c r="E11" t="s">
        <v>97</v>
      </c>
      <c r="F11" t="s">
        <v>102</v>
      </c>
      <c r="R11" s="303"/>
      <c r="S11" s="313">
        <f t="shared" si="0"/>
        <v>43956</v>
      </c>
      <c r="T11" s="6"/>
      <c r="U11" s="307">
        <v>455743</v>
      </c>
      <c r="V11" s="6"/>
      <c r="W11" s="45">
        <v>0.36799999999999999</v>
      </c>
      <c r="X11" s="6"/>
      <c r="Y11" s="308">
        <f t="shared" si="1"/>
        <v>3219</v>
      </c>
      <c r="Z11" s="6"/>
      <c r="AA11" s="312"/>
      <c r="AB11" s="305"/>
    </row>
    <row r="12" spans="2:28" ht="15.6" x14ac:dyDescent="0.3">
      <c r="B12" s="266"/>
      <c r="C12" s="266"/>
      <c r="D12" s="179"/>
      <c r="E12" t="s">
        <v>98</v>
      </c>
      <c r="F12" t="s">
        <v>103</v>
      </c>
      <c r="R12" s="303"/>
      <c r="S12" s="313">
        <f t="shared" si="0"/>
        <v>43957</v>
      </c>
      <c r="T12" s="6"/>
      <c r="U12" s="307">
        <v>454697</v>
      </c>
      <c r="V12" s="6"/>
      <c r="W12" s="45">
        <f>+L36</f>
        <v>0.29382206571569053</v>
      </c>
      <c r="X12" s="6"/>
      <c r="Y12" s="308">
        <f t="shared" si="1"/>
        <v>1046</v>
      </c>
      <c r="Z12" s="6"/>
      <c r="AA12" s="312"/>
      <c r="AB12" s="305"/>
    </row>
    <row r="13" spans="2:28" ht="15.6" x14ac:dyDescent="0.3">
      <c r="B13" s="266"/>
      <c r="C13" s="266"/>
      <c r="D13" s="179"/>
      <c r="R13" s="303"/>
      <c r="S13" s="313">
        <f t="shared" si="0"/>
        <v>43958</v>
      </c>
      <c r="T13" s="6"/>
      <c r="U13" s="307">
        <v>454838</v>
      </c>
      <c r="V13" s="6"/>
      <c r="W13" s="45">
        <f>+L37</f>
        <v>0</v>
      </c>
      <c r="X13" s="6"/>
      <c r="Y13" s="308">
        <f t="shared" ref="Y13" si="2">+U12-U13</f>
        <v>-141</v>
      </c>
      <c r="Z13" s="6"/>
      <c r="AA13" s="312"/>
      <c r="AB13" s="305"/>
    </row>
    <row r="14" spans="2:28" ht="15.6" x14ac:dyDescent="0.3">
      <c r="B14" s="266"/>
      <c r="C14" s="288" t="s">
        <v>105</v>
      </c>
      <c r="D14" s="179"/>
      <c r="E14" t="s">
        <v>106</v>
      </c>
      <c r="R14" s="303"/>
      <c r="S14" s="313">
        <f t="shared" si="0"/>
        <v>43959</v>
      </c>
      <c r="T14" s="6"/>
      <c r="U14" s="307">
        <v>452043</v>
      </c>
      <c r="V14" s="6"/>
      <c r="W14" s="45">
        <f>+L38</f>
        <v>0</v>
      </c>
      <c r="X14" s="6"/>
      <c r="Y14" s="308">
        <f t="shared" ref="Y14" si="3">+U13-U14</f>
        <v>2795</v>
      </c>
      <c r="Z14" s="6"/>
      <c r="AA14" s="312"/>
      <c r="AB14" s="305"/>
    </row>
    <row r="15" spans="2:28" x14ac:dyDescent="0.3">
      <c r="B15" s="266"/>
      <c r="E15" s="493" t="s">
        <v>107</v>
      </c>
      <c r="F15" s="493"/>
      <c r="G15" s="493"/>
      <c r="H15" s="493"/>
      <c r="I15" s="493"/>
      <c r="R15" s="303"/>
      <c r="S15" s="313">
        <f t="shared" si="0"/>
        <v>43960</v>
      </c>
      <c r="T15" s="6"/>
      <c r="U15" s="307">
        <v>439209</v>
      </c>
      <c r="V15" s="6"/>
      <c r="W15" s="45">
        <f>+L39</f>
        <v>0</v>
      </c>
      <c r="X15" s="6"/>
      <c r="Y15" s="308">
        <f t="shared" ref="Y15" si="4">+U14-U15</f>
        <v>12834</v>
      </c>
      <c r="Z15" s="6"/>
      <c r="AA15" s="312"/>
      <c r="AB15" s="305"/>
    </row>
    <row r="16" spans="2:28" x14ac:dyDescent="0.3">
      <c r="R16" s="303"/>
      <c r="S16" s="313">
        <f t="shared" si="0"/>
        <v>43961</v>
      </c>
      <c r="T16" s="6"/>
      <c r="U16" s="307">
        <v>423501</v>
      </c>
      <c r="V16" s="6"/>
      <c r="W16" s="45">
        <f>+L40</f>
        <v>0</v>
      </c>
      <c r="X16" s="6"/>
      <c r="Y16" s="308">
        <f t="shared" ref="Y16" si="5">+U15-U16</f>
        <v>15708</v>
      </c>
      <c r="Z16" s="6"/>
      <c r="AA16" s="312"/>
      <c r="AB16" s="305"/>
    </row>
    <row r="17" spans="3:28" ht="15" thickBot="1" x14ac:dyDescent="0.35">
      <c r="C17" s="1"/>
      <c r="D17" s="1"/>
      <c r="E17" s="1"/>
      <c r="F17" s="1"/>
      <c r="G17" s="1"/>
      <c r="H17" s="1"/>
      <c r="I17" s="100"/>
      <c r="J17" s="96"/>
      <c r="K17" s="96"/>
      <c r="L17" s="96"/>
      <c r="M17" s="96"/>
      <c r="N17" s="99"/>
      <c r="O17" s="96"/>
      <c r="P17" s="96"/>
      <c r="Q17" s="96"/>
      <c r="R17" s="303"/>
      <c r="S17" s="313">
        <f t="shared" si="0"/>
        <v>43962</v>
      </c>
      <c r="T17" s="6"/>
      <c r="U17" s="307">
        <v>415158</v>
      </c>
      <c r="V17" s="6"/>
      <c r="W17" s="45">
        <f>+L41</f>
        <v>0</v>
      </c>
      <c r="X17" s="6"/>
      <c r="Y17" s="308">
        <f t="shared" ref="Y17" si="6">+U16-U17</f>
        <v>8343</v>
      </c>
      <c r="Z17" s="6"/>
      <c r="AA17" s="312"/>
      <c r="AB17" s="305"/>
    </row>
    <row r="18" spans="3:28" ht="15" thickBot="1" x14ac:dyDescent="0.35">
      <c r="C18" s="1"/>
      <c r="D18" s="499" t="s">
        <v>47</v>
      </c>
      <c r="E18" s="500"/>
      <c r="F18" s="500"/>
      <c r="G18" s="500"/>
      <c r="H18" s="500"/>
      <c r="I18" s="500"/>
      <c r="J18" s="500"/>
      <c r="K18" s="500"/>
      <c r="L18" s="500"/>
      <c r="M18" s="500"/>
      <c r="N18" s="500"/>
      <c r="O18" s="501"/>
      <c r="P18" s="96"/>
      <c r="Q18" s="96"/>
      <c r="R18" s="303"/>
      <c r="S18" s="313">
        <f t="shared" si="0"/>
        <v>43963</v>
      </c>
      <c r="T18" s="6"/>
      <c r="U18" s="307">
        <f>+I36</f>
        <v>413524</v>
      </c>
      <c r="V18" s="6"/>
      <c r="W18" s="45">
        <f>+L42</f>
        <v>0</v>
      </c>
      <c r="X18" s="6"/>
      <c r="Y18" s="308">
        <f t="shared" ref="Y18" si="7">+U17-U18</f>
        <v>1634</v>
      </c>
      <c r="Z18" s="6"/>
      <c r="AA18" s="312"/>
      <c r="AB18" s="305"/>
    </row>
    <row r="19" spans="3:28" ht="15" thickBot="1" x14ac:dyDescent="0.35">
      <c r="C19" s="1"/>
      <c r="D19" s="154"/>
      <c r="E19" s="502" t="s">
        <v>78</v>
      </c>
      <c r="F19" s="502"/>
      <c r="G19" s="502"/>
      <c r="H19" s="502"/>
      <c r="I19" s="155" t="s">
        <v>77</v>
      </c>
      <c r="J19" s="156"/>
      <c r="K19" s="507" t="s">
        <v>75</v>
      </c>
      <c r="L19" s="507"/>
      <c r="M19" s="149"/>
      <c r="N19" s="153" t="s">
        <v>76</v>
      </c>
      <c r="O19" s="150"/>
      <c r="P19" s="120"/>
      <c r="Q19" s="120"/>
      <c r="R19" s="303"/>
      <c r="S19" s="6"/>
      <c r="T19" s="6"/>
      <c r="U19" s="6"/>
      <c r="V19" s="6"/>
      <c r="W19" s="45"/>
      <c r="X19" s="6"/>
      <c r="Y19" s="6"/>
      <c r="Z19" s="6"/>
      <c r="AA19" s="6"/>
      <c r="AB19" s="305"/>
    </row>
    <row r="20" spans="3:28" ht="15" thickBot="1" x14ac:dyDescent="0.35">
      <c r="C20" s="1"/>
      <c r="D20" s="133"/>
      <c r="E20" s="134" t="s">
        <v>44</v>
      </c>
      <c r="F20" s="135"/>
      <c r="G20" s="134"/>
      <c r="H20" s="134"/>
      <c r="I20" s="99">
        <f>+'Main Table'!$H$48</f>
        <v>1010356</v>
      </c>
      <c r="J20" s="136"/>
      <c r="K20" s="148"/>
      <c r="L20" s="148"/>
      <c r="M20" s="148"/>
      <c r="N20" s="148"/>
      <c r="O20" s="143"/>
      <c r="P20" s="96"/>
      <c r="Q20" s="96"/>
      <c r="R20" s="309"/>
      <c r="S20" s="300"/>
      <c r="T20" s="300"/>
      <c r="U20" s="300"/>
      <c r="V20" s="300"/>
      <c r="W20" s="310"/>
      <c r="X20" s="300"/>
      <c r="Y20" s="300"/>
      <c r="Z20" s="300"/>
      <c r="AA20" s="300"/>
      <c r="AB20" s="311"/>
    </row>
    <row r="21" spans="3:28" x14ac:dyDescent="0.3">
      <c r="C21" s="1"/>
      <c r="D21" s="133"/>
      <c r="E21" s="134" t="s">
        <v>45</v>
      </c>
      <c r="F21" s="134" t="s">
        <v>4</v>
      </c>
      <c r="G21" s="134"/>
      <c r="H21" s="134"/>
      <c r="I21" s="137">
        <f>+'Main Table'!U68</f>
        <v>83311</v>
      </c>
      <c r="J21" s="136"/>
      <c r="K21" s="148"/>
      <c r="L21" s="148"/>
      <c r="M21" s="148"/>
      <c r="N21" s="148"/>
      <c r="O21" s="143"/>
      <c r="P21" s="96"/>
      <c r="Q21" s="96"/>
      <c r="W21" s="63"/>
    </row>
    <row r="22" spans="3:28" x14ac:dyDescent="0.3">
      <c r="C22" s="1"/>
      <c r="D22" s="133"/>
      <c r="E22" s="134"/>
      <c r="F22" s="134" t="s">
        <v>46</v>
      </c>
      <c r="G22" s="134"/>
      <c r="H22" s="134"/>
      <c r="I22" s="167">
        <v>16484</v>
      </c>
      <c r="J22" s="136"/>
      <c r="K22" s="148"/>
      <c r="L22" s="291">
        <v>16484</v>
      </c>
      <c r="M22" s="148"/>
      <c r="N22" s="168">
        <f>+(I22-L22)/I22</f>
        <v>0</v>
      </c>
      <c r="O22" s="143"/>
      <c r="P22" s="96"/>
      <c r="Q22" s="96"/>
      <c r="W22" s="63"/>
    </row>
    <row r="23" spans="3:28" x14ac:dyDescent="0.3">
      <c r="C23" s="1"/>
      <c r="D23" s="133"/>
      <c r="E23" s="134"/>
      <c r="F23" s="144" t="s">
        <v>73</v>
      </c>
      <c r="G23" s="144"/>
      <c r="H23" s="144"/>
      <c r="I23" s="137">
        <f>+I20-I21-I22</f>
        <v>910561</v>
      </c>
      <c r="J23" s="136"/>
      <c r="K23" s="148"/>
      <c r="L23" s="148"/>
      <c r="M23" s="148"/>
      <c r="N23" s="148"/>
      <c r="O23" s="143"/>
      <c r="P23" s="119"/>
      <c r="Q23" s="119"/>
      <c r="W23" s="63"/>
    </row>
    <row r="24" spans="3:28" x14ac:dyDescent="0.3">
      <c r="C24" s="1"/>
      <c r="D24" s="133"/>
      <c r="E24" s="134" t="s">
        <v>80</v>
      </c>
      <c r="F24" s="136"/>
      <c r="G24" s="136"/>
      <c r="H24" s="136"/>
      <c r="I24" s="138">
        <f>+'Main Table'!AF68</f>
        <v>282239</v>
      </c>
      <c r="J24" s="136"/>
      <c r="K24" s="148"/>
      <c r="L24" s="148"/>
      <c r="M24" s="148"/>
      <c r="N24" s="148"/>
      <c r="O24" s="143"/>
      <c r="P24" s="119"/>
      <c r="Q24" s="119"/>
      <c r="W24" s="63"/>
    </row>
    <row r="25" spans="3:28" x14ac:dyDescent="0.3">
      <c r="C25" s="1"/>
      <c r="D25" s="503" t="s">
        <v>50</v>
      </c>
      <c r="E25" s="504"/>
      <c r="F25" s="504"/>
      <c r="G25" s="504"/>
      <c r="H25" s="504"/>
      <c r="I25" s="139">
        <f>+I23-I24</f>
        <v>628322</v>
      </c>
      <c r="J25" s="136"/>
      <c r="K25" s="148"/>
      <c r="L25" s="148"/>
      <c r="M25" s="148"/>
      <c r="N25" s="148"/>
      <c r="O25" s="143"/>
      <c r="P25" s="119"/>
      <c r="Q25" s="119"/>
      <c r="W25" s="63"/>
    </row>
    <row r="26" spans="3:28" x14ac:dyDescent="0.3">
      <c r="C26" s="1"/>
      <c r="D26" s="133"/>
      <c r="E26" s="134" t="s">
        <v>74</v>
      </c>
      <c r="F26" s="136"/>
      <c r="G26" s="136"/>
      <c r="H26" s="136"/>
      <c r="I26" s="138">
        <f>+I24</f>
        <v>282239</v>
      </c>
      <c r="J26" s="136"/>
      <c r="K26" s="148"/>
      <c r="L26" s="148"/>
      <c r="M26" s="148"/>
      <c r="N26" s="148"/>
      <c r="O26" s="143"/>
      <c r="P26" s="96"/>
      <c r="Q26" s="96"/>
      <c r="W26" s="63"/>
    </row>
    <row r="27" spans="3:28" ht="15" thickBot="1" x14ac:dyDescent="0.35">
      <c r="C27" s="1"/>
      <c r="D27" s="503" t="s">
        <v>47</v>
      </c>
      <c r="E27" s="504"/>
      <c r="F27" s="504"/>
      <c r="G27" s="504"/>
      <c r="H27" s="504"/>
      <c r="I27" s="157">
        <f>+I25+I26</f>
        <v>910561</v>
      </c>
      <c r="J27" s="136"/>
      <c r="K27" s="508">
        <v>888881</v>
      </c>
      <c r="L27" s="508"/>
      <c r="M27" s="148"/>
      <c r="N27" s="158">
        <f>+I27-K27</f>
        <v>21680</v>
      </c>
      <c r="O27" s="143"/>
      <c r="P27" s="96"/>
      <c r="Q27" s="96"/>
      <c r="W27" s="63"/>
    </row>
    <row r="28" spans="3:28" ht="15.6" thickTop="1" thickBot="1" x14ac:dyDescent="0.35">
      <c r="C28" s="10"/>
      <c r="D28" s="142"/>
      <c r="E28" s="505" t="s">
        <v>72</v>
      </c>
      <c r="F28" s="505"/>
      <c r="G28" s="505"/>
      <c r="H28" s="144"/>
      <c r="I28" s="284">
        <f>+I27/I32</f>
        <v>0.64698279659740399</v>
      </c>
      <c r="J28" s="148"/>
      <c r="K28" s="148"/>
      <c r="L28" s="148"/>
      <c r="M28" s="116"/>
      <c r="N28" s="170">
        <f>+N27/K27</f>
        <v>2.4390216463171112E-2</v>
      </c>
      <c r="O28" s="143"/>
      <c r="P28" s="1"/>
      <c r="Q28" s="1"/>
      <c r="W28" s="63"/>
    </row>
    <row r="29" spans="3:28" ht="15.6" thickTop="1" thickBot="1" x14ac:dyDescent="0.35">
      <c r="C29" s="10"/>
      <c r="D29" s="140"/>
      <c r="E29" s="145"/>
      <c r="F29" s="145"/>
      <c r="G29" s="145"/>
      <c r="H29" s="145"/>
      <c r="I29" s="146"/>
      <c r="J29" s="141"/>
      <c r="K29" s="151"/>
      <c r="L29" s="151"/>
      <c r="M29" s="151"/>
      <c r="N29" s="151"/>
      <c r="O29" s="152"/>
      <c r="P29" s="1"/>
      <c r="Q29" s="1"/>
      <c r="W29" s="63"/>
    </row>
    <row r="30" spans="3:28" ht="15" thickBot="1" x14ac:dyDescent="0.35">
      <c r="C30" s="10"/>
      <c r="D30" s="96"/>
      <c r="E30" s="116"/>
      <c r="F30" s="116"/>
      <c r="G30" s="116"/>
      <c r="H30" s="116"/>
      <c r="I30" s="116"/>
      <c r="J30" s="96"/>
      <c r="P30" s="96"/>
      <c r="Q30" s="96"/>
      <c r="W30" s="63"/>
    </row>
    <row r="31" spans="3:28" ht="16.2" thickBot="1" x14ac:dyDescent="0.35">
      <c r="C31" s="96"/>
      <c r="D31" s="282"/>
      <c r="E31" s="468" t="s">
        <v>117</v>
      </c>
      <c r="F31" s="469"/>
      <c r="G31" s="469"/>
      <c r="H31" s="469"/>
      <c r="I31" s="469"/>
      <c r="J31" s="470"/>
      <c r="K31" s="281"/>
      <c r="L31" s="280" t="s">
        <v>10</v>
      </c>
      <c r="M31" s="279"/>
      <c r="N31" s="278"/>
      <c r="O31" s="116"/>
      <c r="P31" s="96"/>
      <c r="Q31" s="96"/>
      <c r="W31" s="63"/>
    </row>
    <row r="32" spans="3:28" x14ac:dyDescent="0.3">
      <c r="C32" s="10"/>
      <c r="D32" s="269"/>
      <c r="E32" s="270" t="s">
        <v>91</v>
      </c>
      <c r="F32" s="24"/>
      <c r="G32" s="24"/>
      <c r="H32" s="24"/>
      <c r="I32" s="509">
        <f>+'Main Table'!H68</f>
        <v>1407396</v>
      </c>
      <c r="J32" s="509"/>
      <c r="K32" s="24"/>
      <c r="L32" s="25">
        <f>+I32/$I$32</f>
        <v>1</v>
      </c>
      <c r="M32" s="271"/>
      <c r="N32" s="96"/>
      <c r="O32" s="96"/>
      <c r="P32" s="96"/>
      <c r="Q32" s="96"/>
      <c r="W32" s="63"/>
    </row>
    <row r="33" spans="3:23" x14ac:dyDescent="0.3">
      <c r="C33" s="10"/>
      <c r="D33" s="269"/>
      <c r="E33" s="270"/>
      <c r="F33" s="24"/>
      <c r="G33" s="24"/>
      <c r="H33" s="24"/>
      <c r="I33" s="24"/>
      <c r="J33" s="24"/>
      <c r="K33" s="24"/>
      <c r="L33" s="24"/>
      <c r="M33" s="271"/>
      <c r="N33" s="96"/>
      <c r="O33" s="96"/>
      <c r="P33" s="96"/>
      <c r="Q33" s="96"/>
      <c r="W33" s="63"/>
    </row>
    <row r="34" spans="3:23" x14ac:dyDescent="0.3">
      <c r="D34" s="272"/>
      <c r="E34" s="22"/>
      <c r="F34" s="273" t="s">
        <v>116</v>
      </c>
      <c r="G34" s="273"/>
      <c r="H34" s="22"/>
      <c r="I34" s="464">
        <f>+I27</f>
        <v>910561</v>
      </c>
      <c r="J34" s="465"/>
      <c r="K34" s="22"/>
      <c r="L34" s="25">
        <f>+I34/$I$32</f>
        <v>0.64698279659740399</v>
      </c>
      <c r="M34" s="274"/>
      <c r="P34" s="242"/>
      <c r="Q34" s="242"/>
      <c r="W34" s="63"/>
    </row>
    <row r="35" spans="3:23" x14ac:dyDescent="0.3">
      <c r="D35" s="272"/>
      <c r="E35" s="22"/>
      <c r="F35" s="22" t="s">
        <v>92</v>
      </c>
      <c r="G35" s="22"/>
      <c r="H35" s="22"/>
      <c r="I35" s="471">
        <f>+I21</f>
        <v>83311</v>
      </c>
      <c r="J35" s="472"/>
      <c r="K35" s="22"/>
      <c r="L35" s="25">
        <f>+I35/$I$32</f>
        <v>5.9195137686905465E-2</v>
      </c>
      <c r="M35" s="274"/>
      <c r="P35" s="283"/>
      <c r="Q35" s="283"/>
      <c r="W35" s="63"/>
    </row>
    <row r="36" spans="3:23" ht="15" thickBot="1" x14ac:dyDescent="0.35">
      <c r="D36" s="272"/>
      <c r="E36" s="506" t="s">
        <v>117</v>
      </c>
      <c r="F36" s="506"/>
      <c r="G36" s="506"/>
      <c r="H36" s="285"/>
      <c r="I36" s="466">
        <f>+I32-I34-I35</f>
        <v>413524</v>
      </c>
      <c r="J36" s="467"/>
      <c r="K36" s="317"/>
      <c r="L36" s="286">
        <f>+I36/$I$32</f>
        <v>0.29382206571569053</v>
      </c>
      <c r="M36" s="274"/>
    </row>
    <row r="37" spans="3:23" ht="15.6" thickTop="1" thickBot="1" x14ac:dyDescent="0.35">
      <c r="D37" s="275"/>
      <c r="E37" s="276"/>
      <c r="F37" s="276"/>
      <c r="G37" s="276"/>
      <c r="H37" s="276"/>
      <c r="I37" s="276"/>
      <c r="J37" s="276"/>
      <c r="K37" s="276"/>
      <c r="L37" s="276"/>
      <c r="M37" s="277"/>
    </row>
    <row r="39" spans="3:23" ht="15" thickBot="1" x14ac:dyDescent="0.35"/>
    <row r="40" spans="3:23" ht="15" thickBot="1" x14ac:dyDescent="0.35">
      <c r="D40" s="494" t="s">
        <v>122</v>
      </c>
      <c r="E40" s="495"/>
      <c r="F40" s="495"/>
      <c r="G40" s="495"/>
      <c r="H40" s="495"/>
      <c r="I40" s="495"/>
      <c r="J40" s="495"/>
      <c r="K40" s="495"/>
      <c r="L40" s="495"/>
      <c r="M40" s="495"/>
      <c r="N40" s="495"/>
      <c r="O40" s="496"/>
    </row>
    <row r="41" spans="3:23" ht="15" thickBot="1" x14ac:dyDescent="0.35">
      <c r="D41" s="335"/>
      <c r="E41" s="497" t="s">
        <v>78</v>
      </c>
      <c r="F41" s="497"/>
      <c r="G41" s="497"/>
      <c r="H41" s="497"/>
      <c r="I41" s="318" t="s">
        <v>77</v>
      </c>
      <c r="J41" s="319"/>
      <c r="K41" s="498" t="s">
        <v>38</v>
      </c>
      <c r="L41" s="498"/>
      <c r="M41" s="320"/>
      <c r="N41" s="321" t="s">
        <v>76</v>
      </c>
      <c r="O41" s="336"/>
    </row>
    <row r="42" spans="3:23" x14ac:dyDescent="0.3">
      <c r="D42" s="337"/>
      <c r="E42" s="322" t="s">
        <v>44</v>
      </c>
      <c r="F42" s="323"/>
      <c r="G42" s="322"/>
      <c r="H42" s="322"/>
      <c r="I42" s="400">
        <v>19862</v>
      </c>
      <c r="J42" s="400"/>
      <c r="K42" s="401"/>
      <c r="L42" s="401"/>
      <c r="M42" s="401"/>
      <c r="N42" s="401"/>
      <c r="O42" s="329"/>
    </row>
    <row r="43" spans="3:23" x14ac:dyDescent="0.3">
      <c r="D43" s="337"/>
      <c r="E43" s="322" t="s">
        <v>45</v>
      </c>
      <c r="F43" s="322" t="s">
        <v>4</v>
      </c>
      <c r="G43" s="322"/>
      <c r="H43" s="322"/>
      <c r="I43" s="400">
        <v>1436</v>
      </c>
      <c r="J43" s="400"/>
      <c r="K43" s="401"/>
      <c r="L43" s="401"/>
      <c r="M43" s="401"/>
      <c r="N43" s="401"/>
      <c r="O43" s="329"/>
    </row>
    <row r="44" spans="3:23" x14ac:dyDescent="0.3">
      <c r="D44" s="337"/>
      <c r="E44" s="322"/>
      <c r="F44" s="322" t="s">
        <v>46</v>
      </c>
      <c r="G44" s="322"/>
      <c r="H44" s="322"/>
      <c r="I44" s="402">
        <v>1232</v>
      </c>
      <c r="J44" s="400"/>
      <c r="K44" s="401"/>
      <c r="L44" s="400"/>
      <c r="M44" s="401"/>
      <c r="N44" s="403"/>
      <c r="O44" s="329"/>
    </row>
    <row r="45" spans="3:23" x14ac:dyDescent="0.3">
      <c r="D45" s="337"/>
      <c r="E45" s="322"/>
      <c r="F45" s="326" t="s">
        <v>73</v>
      </c>
      <c r="G45" s="326"/>
      <c r="H45" s="326"/>
      <c r="I45" s="400">
        <f>+I42-I43-I44</f>
        <v>17194</v>
      </c>
      <c r="J45" s="400"/>
      <c r="K45" s="401"/>
      <c r="L45" s="401"/>
      <c r="M45" s="401"/>
      <c r="N45" s="401"/>
      <c r="O45" s="329"/>
    </row>
    <row r="46" spans="3:23" x14ac:dyDescent="0.3">
      <c r="D46" s="337"/>
      <c r="E46" s="322" t="s">
        <v>80</v>
      </c>
      <c r="F46" s="324"/>
      <c r="G46" s="324"/>
      <c r="H46" s="324"/>
      <c r="I46" s="402">
        <f>+'Main Table'!AF90</f>
        <v>0</v>
      </c>
      <c r="J46" s="400"/>
      <c r="K46" s="401"/>
      <c r="L46" s="401"/>
      <c r="M46" s="401"/>
      <c r="N46" s="401"/>
      <c r="O46" s="329"/>
    </row>
    <row r="47" spans="3:23" x14ac:dyDescent="0.3">
      <c r="D47" s="474" t="s">
        <v>50</v>
      </c>
      <c r="E47" s="475"/>
      <c r="F47" s="475"/>
      <c r="G47" s="475"/>
      <c r="H47" s="475"/>
      <c r="I47" s="327">
        <f>+I45-I46</f>
        <v>17194</v>
      </c>
      <c r="J47" s="400"/>
      <c r="K47" s="401"/>
      <c r="L47" s="401"/>
      <c r="M47" s="401"/>
      <c r="N47" s="401"/>
      <c r="O47" s="329"/>
    </row>
    <row r="48" spans="3:23" x14ac:dyDescent="0.3">
      <c r="D48" s="337"/>
      <c r="E48" s="322" t="s">
        <v>74</v>
      </c>
      <c r="F48" s="324"/>
      <c r="G48" s="324"/>
      <c r="H48" s="324"/>
      <c r="I48" s="402">
        <f>+I46</f>
        <v>0</v>
      </c>
      <c r="J48" s="400"/>
      <c r="K48" s="401"/>
      <c r="L48" s="401"/>
      <c r="M48" s="401"/>
      <c r="N48" s="401"/>
      <c r="O48" s="329"/>
    </row>
    <row r="49" spans="4:17" ht="15" thickBot="1" x14ac:dyDescent="0.35">
      <c r="D49" s="474" t="s">
        <v>47</v>
      </c>
      <c r="E49" s="475"/>
      <c r="F49" s="475"/>
      <c r="G49" s="475"/>
      <c r="H49" s="475"/>
      <c r="I49" s="404">
        <f>+I47+I48</f>
        <v>17194</v>
      </c>
      <c r="J49" s="400"/>
      <c r="K49" s="476">
        <v>25250</v>
      </c>
      <c r="L49" s="476"/>
      <c r="M49" s="401"/>
      <c r="N49" s="405">
        <f>+K49-I49</f>
        <v>8056</v>
      </c>
      <c r="O49" s="329"/>
      <c r="Q49" s="60"/>
    </row>
    <row r="50" spans="4:17" ht="15.6" thickTop="1" thickBot="1" x14ac:dyDescent="0.35">
      <c r="D50" s="328"/>
      <c r="E50" s="477" t="s">
        <v>72</v>
      </c>
      <c r="F50" s="477"/>
      <c r="G50" s="477"/>
      <c r="H50" s="326"/>
      <c r="I50" s="406">
        <f>+I49/K49</f>
        <v>0.680950495049505</v>
      </c>
      <c r="J50" s="401"/>
      <c r="K50" s="401"/>
      <c r="L50" s="401"/>
      <c r="M50" s="401"/>
      <c r="N50" s="407">
        <f>+N49/K49</f>
        <v>0.31904950495049506</v>
      </c>
      <c r="O50" s="329"/>
      <c r="Q50" s="60"/>
    </row>
    <row r="51" spans="4:17" ht="15.6" thickTop="1" thickBot="1" x14ac:dyDescent="0.35">
      <c r="D51" s="338"/>
      <c r="E51" s="339"/>
      <c r="F51" s="339"/>
      <c r="G51" s="339"/>
      <c r="H51" s="339"/>
      <c r="I51" s="408"/>
      <c r="J51" s="409"/>
      <c r="K51" s="410"/>
      <c r="L51" s="410"/>
      <c r="M51" s="410"/>
      <c r="N51" s="410"/>
      <c r="O51" s="332"/>
    </row>
    <row r="52" spans="4:17" ht="15" thickBot="1" x14ac:dyDescent="0.35">
      <c r="D52" s="96"/>
      <c r="E52" s="160"/>
      <c r="F52" s="160"/>
      <c r="G52" s="160"/>
      <c r="H52" s="160"/>
      <c r="I52" s="373"/>
      <c r="J52" s="96"/>
      <c r="K52" s="116"/>
      <c r="L52" s="116"/>
      <c r="M52" s="379"/>
      <c r="N52" s="116"/>
      <c r="O52" s="116"/>
      <c r="P52" s="65"/>
    </row>
    <row r="53" spans="4:17" ht="16.2" thickBot="1" x14ac:dyDescent="0.35">
      <c r="D53" s="380"/>
      <c r="E53" s="478" t="s">
        <v>121</v>
      </c>
      <c r="F53" s="479"/>
      <c r="G53" s="479"/>
      <c r="H53" s="479"/>
      <c r="I53" s="479"/>
      <c r="J53" s="480"/>
      <c r="K53" s="381"/>
      <c r="L53" s="384" t="s">
        <v>10</v>
      </c>
      <c r="M53" s="383"/>
      <c r="N53" s="116"/>
      <c r="O53" s="116"/>
      <c r="P53" s="65"/>
    </row>
    <row r="54" spans="4:17" x14ac:dyDescent="0.3">
      <c r="D54" s="337"/>
      <c r="E54" s="374" t="s">
        <v>91</v>
      </c>
      <c r="F54" s="324"/>
      <c r="G54" s="324"/>
      <c r="H54" s="324"/>
      <c r="I54" s="481">
        <f>+K49</f>
        <v>25250</v>
      </c>
      <c r="J54" s="481"/>
      <c r="K54" s="324"/>
      <c r="L54" s="375">
        <f>+I54/$I$54</f>
        <v>1</v>
      </c>
      <c r="M54" s="382"/>
      <c r="N54" s="116"/>
      <c r="O54" s="116"/>
      <c r="P54" s="65"/>
    </row>
    <row r="55" spans="4:17" x14ac:dyDescent="0.3">
      <c r="D55" s="337"/>
      <c r="E55" s="374"/>
      <c r="F55" s="324"/>
      <c r="G55" s="324"/>
      <c r="H55" s="324"/>
      <c r="I55" s="324"/>
      <c r="J55" s="324"/>
      <c r="K55" s="324"/>
      <c r="L55" s="324"/>
      <c r="M55" s="382"/>
      <c r="N55" s="116"/>
      <c r="O55" s="116"/>
      <c r="P55" s="65"/>
    </row>
    <row r="56" spans="4:17" x14ac:dyDescent="0.3">
      <c r="D56" s="328"/>
      <c r="E56" s="325"/>
      <c r="F56" s="376" t="s">
        <v>116</v>
      </c>
      <c r="G56" s="376"/>
      <c r="H56" s="325"/>
      <c r="I56" s="482">
        <f>+I49</f>
        <v>17194</v>
      </c>
      <c r="J56" s="483"/>
      <c r="K56" s="325"/>
      <c r="L56" s="375">
        <f t="shared" ref="L56:L57" si="8">+I56/$I$54</f>
        <v>0.680950495049505</v>
      </c>
      <c r="M56" s="329"/>
      <c r="N56" s="116"/>
      <c r="O56" s="116"/>
      <c r="P56" s="65"/>
    </row>
    <row r="57" spans="4:17" x14ac:dyDescent="0.3">
      <c r="D57" s="328"/>
      <c r="E57" s="325"/>
      <c r="F57" s="325" t="s">
        <v>92</v>
      </c>
      <c r="G57" s="325"/>
      <c r="H57" s="325"/>
      <c r="I57" s="484">
        <f>+I43</f>
        <v>1436</v>
      </c>
      <c r="J57" s="485"/>
      <c r="K57" s="325"/>
      <c r="L57" s="375">
        <f t="shared" si="8"/>
        <v>5.6871287128712873E-2</v>
      </c>
      <c r="M57" s="329"/>
      <c r="N57" s="116"/>
      <c r="O57" s="116"/>
      <c r="P57" s="65"/>
    </row>
    <row r="58" spans="4:17" ht="15" thickBot="1" x14ac:dyDescent="0.35">
      <c r="D58" s="328"/>
      <c r="E58" s="486" t="s">
        <v>117</v>
      </c>
      <c r="F58" s="486"/>
      <c r="G58" s="486"/>
      <c r="H58" s="325"/>
      <c r="I58" s="487">
        <f>+I54-I56-I57</f>
        <v>6620</v>
      </c>
      <c r="J58" s="488"/>
      <c r="K58" s="377"/>
      <c r="L58" s="378">
        <f>+I58/$I$54</f>
        <v>0.26217821782178219</v>
      </c>
      <c r="M58" s="329"/>
      <c r="N58" s="116"/>
      <c r="O58" s="116"/>
      <c r="P58" s="166">
        <f>+I58-I44</f>
        <v>5388</v>
      </c>
    </row>
    <row r="59" spans="4:17" ht="15" thickTop="1" x14ac:dyDescent="0.3">
      <c r="D59" s="328"/>
      <c r="E59" s="396"/>
      <c r="F59" s="396"/>
      <c r="G59" s="396"/>
      <c r="H59" s="325"/>
      <c r="I59" s="397"/>
      <c r="J59" s="396"/>
      <c r="K59" s="377"/>
      <c r="L59" s="398"/>
      <c r="M59" s="329"/>
      <c r="N59" s="116"/>
      <c r="O59" s="116"/>
      <c r="P59" s="65"/>
    </row>
    <row r="60" spans="4:17" ht="15" thickBot="1" x14ac:dyDescent="0.35">
      <c r="D60" s="330"/>
      <c r="E60" s="331"/>
      <c r="F60" s="331"/>
      <c r="G60" s="331"/>
      <c r="H60" s="331"/>
      <c r="I60" s="331"/>
      <c r="J60" s="331"/>
      <c r="K60" s="331"/>
      <c r="L60" s="331"/>
      <c r="M60" s="332"/>
      <c r="N60" s="116"/>
      <c r="O60" s="116"/>
      <c r="P60" s="65"/>
    </row>
    <row r="61" spans="4:17" ht="15" thickBot="1" x14ac:dyDescent="0.35"/>
    <row r="62" spans="4:17" ht="15" thickBot="1" x14ac:dyDescent="0.35">
      <c r="E62" s="478" t="s">
        <v>120</v>
      </c>
      <c r="F62" s="479"/>
      <c r="G62" s="479"/>
      <c r="H62" s="479"/>
      <c r="I62" s="479"/>
      <c r="J62" s="479"/>
      <c r="K62" s="479"/>
      <c r="L62" s="479"/>
      <c r="M62" s="480"/>
      <c r="P62" s="390">
        <f>+I54/P63</f>
        <v>215.99657827202736</v>
      </c>
    </row>
    <row r="63" spans="4:17" x14ac:dyDescent="0.3">
      <c r="E63" s="385"/>
      <c r="F63" s="333" t="s">
        <v>112</v>
      </c>
      <c r="G63" s="333"/>
      <c r="H63" s="333"/>
      <c r="I63" s="473">
        <v>11690000</v>
      </c>
      <c r="J63" s="473"/>
      <c r="K63" s="473"/>
      <c r="L63" s="473"/>
      <c r="M63" s="386"/>
      <c r="P63">
        <f>+I63/100000</f>
        <v>116.9</v>
      </c>
    </row>
    <row r="64" spans="4:17" x14ac:dyDescent="0.3">
      <c r="E64" s="385"/>
      <c r="F64" s="333" t="s">
        <v>113</v>
      </c>
      <c r="G64" s="333"/>
      <c r="H64" s="333"/>
      <c r="I64" s="333"/>
      <c r="J64" s="333"/>
      <c r="K64" s="333"/>
      <c r="L64" s="334">
        <f>+I58/I63</f>
        <v>5.6629597946963222E-4</v>
      </c>
      <c r="M64" s="386"/>
    </row>
    <row r="65" spans="5:13" x14ac:dyDescent="0.3">
      <c r="E65" s="385"/>
      <c r="F65" s="489" t="s">
        <v>111</v>
      </c>
      <c r="G65" s="489"/>
      <c r="H65" s="333"/>
      <c r="I65" s="333"/>
      <c r="J65" s="333"/>
      <c r="K65" s="333"/>
      <c r="L65" s="399">
        <f>+I58/(I63/100000)</f>
        <v>56.629597946963216</v>
      </c>
      <c r="M65" s="386"/>
    </row>
    <row r="66" spans="5:13" ht="15" thickBot="1" x14ac:dyDescent="0.35">
      <c r="E66" s="387"/>
      <c r="F66" s="388"/>
      <c r="G66" s="388"/>
      <c r="H66" s="388"/>
      <c r="I66" s="388"/>
      <c r="J66" s="388"/>
      <c r="K66" s="388"/>
      <c r="L66" s="388"/>
      <c r="M66" s="389"/>
    </row>
  </sheetData>
  <mergeCells count="31">
    <mergeCell ref="F65:G65"/>
    <mergeCell ref="E62:M62"/>
    <mergeCell ref="R3:AB3"/>
    <mergeCell ref="E15:I15"/>
    <mergeCell ref="D40:O40"/>
    <mergeCell ref="E41:H41"/>
    <mergeCell ref="K41:L41"/>
    <mergeCell ref="D18:O18"/>
    <mergeCell ref="E19:H19"/>
    <mergeCell ref="D25:H25"/>
    <mergeCell ref="E28:G28"/>
    <mergeCell ref="E36:G36"/>
    <mergeCell ref="K19:L19"/>
    <mergeCell ref="D27:H27"/>
    <mergeCell ref="K27:L27"/>
    <mergeCell ref="I32:J32"/>
    <mergeCell ref="I34:J34"/>
    <mergeCell ref="I36:J36"/>
    <mergeCell ref="E31:J31"/>
    <mergeCell ref="I35:J35"/>
    <mergeCell ref="I63:L63"/>
    <mergeCell ref="D47:H47"/>
    <mergeCell ref="D49:H49"/>
    <mergeCell ref="K49:L49"/>
    <mergeCell ref="E50:G50"/>
    <mergeCell ref="E53:J53"/>
    <mergeCell ref="I54:J54"/>
    <mergeCell ref="I56:J56"/>
    <mergeCell ref="I57:J57"/>
    <mergeCell ref="E58:G58"/>
    <mergeCell ref="I58:J58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FAC1A4-5083-462C-AAF3-BADABD3C9F7C}">
  <dimension ref="B1:AG73"/>
  <sheetViews>
    <sheetView topLeftCell="A22" workbookViewId="0">
      <selection activeCell="J61" sqref="J61"/>
    </sheetView>
  </sheetViews>
  <sheetFormatPr defaultRowHeight="14.4" x14ac:dyDescent="0.3"/>
  <cols>
    <col min="1" max="1" width="2.44140625" customWidth="1"/>
    <col min="2" max="2" width="3.5546875" customWidth="1"/>
    <col min="3" max="3" width="2.44140625" customWidth="1"/>
    <col min="4" max="4" width="11.33203125" customWidth="1"/>
    <col min="5" max="5" width="1.88671875" customWidth="1"/>
    <col min="6" max="6" width="14.33203125" customWidth="1"/>
    <col min="7" max="7" width="1.6640625" customWidth="1"/>
    <col min="8" max="8" width="1.21875" customWidth="1"/>
    <col min="9" max="9" width="0.88671875" customWidth="1"/>
    <col min="11" max="11" width="1.33203125" customWidth="1"/>
    <col min="13" max="13" width="1.5546875" customWidth="1"/>
    <col min="14" max="14" width="0.77734375" customWidth="1"/>
    <col min="15" max="15" width="1.5546875" customWidth="1"/>
    <col min="17" max="17" width="1.109375" customWidth="1"/>
    <col min="18" max="18" width="1.77734375" customWidth="1"/>
    <col min="19" max="19" width="2" customWidth="1"/>
    <col min="21" max="21" width="3.109375" customWidth="1"/>
    <col min="24" max="24" width="1.88671875" customWidth="1"/>
    <col min="26" max="26" width="2" customWidth="1"/>
    <col min="28" max="28" width="1.5546875" customWidth="1"/>
    <col min="30" max="30" width="1.77734375" customWidth="1"/>
    <col min="32" max="32" width="1.33203125" customWidth="1"/>
  </cols>
  <sheetData>
    <row r="1" spans="2:31" ht="15.6" x14ac:dyDescent="0.3">
      <c r="B1" s="425" t="s">
        <v>5</v>
      </c>
      <c r="C1" s="425"/>
      <c r="D1" s="425"/>
    </row>
    <row r="2" spans="2:31" ht="15.6" x14ac:dyDescent="0.3">
      <c r="B2" s="425" t="s">
        <v>6</v>
      </c>
      <c r="C2" s="425"/>
      <c r="D2" s="425"/>
    </row>
    <row r="3" spans="2:31" ht="15.6" x14ac:dyDescent="0.3">
      <c r="B3" s="266" t="s">
        <v>14</v>
      </c>
      <c r="C3" s="266"/>
      <c r="D3" s="176"/>
    </row>
    <row r="4" spans="2:31" ht="15.6" x14ac:dyDescent="0.3">
      <c r="B4" s="177"/>
      <c r="C4" s="177"/>
      <c r="D4" s="176"/>
    </row>
    <row r="5" spans="2:31" ht="15.6" x14ac:dyDescent="0.3">
      <c r="B5" s="177"/>
      <c r="C5" s="177"/>
      <c r="D5" s="176" t="s">
        <v>86</v>
      </c>
      <c r="F5" s="267" t="s">
        <v>87</v>
      </c>
    </row>
    <row r="6" spans="2:31" ht="15.6" x14ac:dyDescent="0.3">
      <c r="B6" s="177"/>
      <c r="C6" s="177"/>
      <c r="D6" s="176"/>
      <c r="F6" t="s">
        <v>90</v>
      </c>
    </row>
    <row r="7" spans="2:31" ht="15.6" x14ac:dyDescent="0.3">
      <c r="B7" s="177"/>
      <c r="C7" s="177"/>
      <c r="D7" s="176"/>
      <c r="F7" s="267" t="s">
        <v>89</v>
      </c>
    </row>
    <row r="8" spans="2:31" ht="15.6" x14ac:dyDescent="0.3">
      <c r="B8" s="177"/>
      <c r="C8" s="177"/>
      <c r="D8" s="176"/>
      <c r="F8" s="267" t="s">
        <v>88</v>
      </c>
    </row>
    <row r="9" spans="2:31" ht="15.6" x14ac:dyDescent="0.3">
      <c r="B9" s="177"/>
      <c r="C9" s="177"/>
      <c r="D9" s="176"/>
      <c r="F9" s="267"/>
    </row>
    <row r="11" spans="2:31" ht="15" thickBot="1" x14ac:dyDescent="0.35">
      <c r="D11" s="93"/>
      <c r="F11" s="1"/>
      <c r="G11" s="1"/>
      <c r="H11" s="1"/>
      <c r="I11" s="1"/>
      <c r="J11" s="1"/>
      <c r="K11" s="1"/>
      <c r="L11" s="63"/>
      <c r="M11" s="1"/>
      <c r="N11" s="1"/>
      <c r="O11" s="1"/>
      <c r="P11" s="1"/>
      <c r="Q11" s="1"/>
      <c r="R11" s="1"/>
      <c r="S11" s="1"/>
      <c r="T11" s="1"/>
      <c r="U11" s="1"/>
      <c r="V11" s="63"/>
    </row>
    <row r="12" spans="2:31" ht="15" thickBot="1" x14ac:dyDescent="0.35">
      <c r="D12" s="511" t="s">
        <v>24</v>
      </c>
      <c r="E12" s="512"/>
      <c r="F12" s="512"/>
      <c r="G12" s="512"/>
      <c r="H12" s="512"/>
      <c r="I12" s="512"/>
      <c r="J12" s="512"/>
      <c r="K12" s="512"/>
      <c r="L12" s="512"/>
      <c r="M12" s="512"/>
      <c r="N12" s="512"/>
      <c r="O12" s="512"/>
      <c r="P12" s="512"/>
      <c r="Q12" s="512"/>
      <c r="R12" s="512"/>
      <c r="S12" s="512"/>
      <c r="T12" s="512"/>
      <c r="U12" s="513"/>
      <c r="V12" s="63"/>
    </row>
    <row r="13" spans="2:31" ht="15" thickBot="1" x14ac:dyDescent="0.35">
      <c r="D13" s="236" t="s">
        <v>20</v>
      </c>
      <c r="E13" s="82"/>
      <c r="F13" s="237" t="s">
        <v>21</v>
      </c>
      <c r="G13" s="83"/>
      <c r="H13" s="83"/>
      <c r="I13" s="83"/>
      <c r="J13" s="238" t="s">
        <v>22</v>
      </c>
      <c r="K13" s="83"/>
      <c r="L13" s="237" t="s">
        <v>19</v>
      </c>
      <c r="M13" s="84"/>
      <c r="N13" s="84"/>
      <c r="O13" s="84"/>
      <c r="P13" s="237" t="s">
        <v>21</v>
      </c>
      <c r="Q13" s="84"/>
      <c r="R13" s="84"/>
      <c r="S13" s="84"/>
      <c r="T13" s="237" t="s">
        <v>23</v>
      </c>
      <c r="U13" s="239"/>
      <c r="V13" s="1"/>
      <c r="X13" s="96"/>
      <c r="Y13" s="96"/>
      <c r="Z13" s="96"/>
      <c r="AA13" s="96"/>
      <c r="AB13" s="96"/>
      <c r="AC13" s="96"/>
      <c r="AD13" s="1"/>
      <c r="AE13" s="1"/>
    </row>
    <row r="14" spans="2:31" ht="15" thickBot="1" x14ac:dyDescent="0.35">
      <c r="D14" s="85">
        <v>43916</v>
      </c>
      <c r="E14" s="86"/>
      <c r="F14" s="87">
        <f>+'Main Table'!H16</f>
        <v>85435</v>
      </c>
      <c r="G14" s="87"/>
      <c r="H14" s="87"/>
      <c r="I14" s="87"/>
      <c r="J14" s="241">
        <f>+'Main Table'!J16</f>
        <v>0.25251059213323362</v>
      </c>
      <c r="K14" s="87"/>
      <c r="L14" s="87">
        <v>0</v>
      </c>
      <c r="M14" s="87"/>
      <c r="N14" s="87"/>
      <c r="O14" s="87"/>
      <c r="P14" s="87">
        <f>+F14</f>
        <v>85435</v>
      </c>
      <c r="Q14" s="87"/>
      <c r="R14" s="87"/>
      <c r="S14" s="87"/>
      <c r="T14" s="241">
        <f>+'Main Table'!J68</f>
        <v>1.5558862028208284E-2</v>
      </c>
      <c r="U14" s="239"/>
      <c r="V14" s="1"/>
      <c r="X14" s="243"/>
      <c r="Y14" s="510" t="s">
        <v>64</v>
      </c>
      <c r="Z14" s="510"/>
      <c r="AA14" s="510"/>
      <c r="AB14" s="510"/>
      <c r="AC14" s="510"/>
      <c r="AD14" s="244"/>
      <c r="AE14" s="1"/>
    </row>
    <row r="15" spans="2:31" x14ac:dyDescent="0.3">
      <c r="D15" s="85">
        <f t="shared" ref="D15:D60" si="0">1+D14</f>
        <v>43917</v>
      </c>
      <c r="E15" s="86"/>
      <c r="F15" s="87">
        <f t="shared" ref="F15:F49" si="1">+F14*(1+J14)</f>
        <v>107008.24243890282</v>
      </c>
      <c r="G15" s="87"/>
      <c r="H15" s="87"/>
      <c r="I15" s="87"/>
      <c r="J15" s="88">
        <f t="shared" ref="J15:J59" si="2">+J14</f>
        <v>0.25251059213323362</v>
      </c>
      <c r="K15" s="87"/>
      <c r="L15" s="87">
        <f t="shared" ref="L15:L59" si="3">+L14+1</f>
        <v>1</v>
      </c>
      <c r="M15" s="87"/>
      <c r="N15" s="87"/>
      <c r="O15" s="87"/>
      <c r="P15" s="87">
        <f t="shared" ref="P15:P49" si="4">+P14*(1+T14)</f>
        <v>86764.271377379977</v>
      </c>
      <c r="Q15" s="87"/>
      <c r="R15" s="87"/>
      <c r="S15" s="87"/>
      <c r="T15" s="88">
        <f t="shared" ref="T15:T59" si="5">+T14</f>
        <v>1.5558862028208284E-2</v>
      </c>
      <c r="U15" s="239"/>
      <c r="V15" s="1"/>
      <c r="X15" s="245"/>
      <c r="Y15" s="246" t="s">
        <v>65</v>
      </c>
      <c r="Z15" s="247"/>
      <c r="AA15" s="246" t="s">
        <v>66</v>
      </c>
      <c r="AB15" s="248"/>
      <c r="AC15" s="249" t="s">
        <v>10</v>
      </c>
      <c r="AD15" s="250"/>
      <c r="AE15" s="1"/>
    </row>
    <row r="16" spans="2:31" x14ac:dyDescent="0.3">
      <c r="D16" s="85">
        <f t="shared" si="0"/>
        <v>43918</v>
      </c>
      <c r="E16" s="86"/>
      <c r="F16" s="87">
        <f t="shared" si="1"/>
        <v>134028.95710028679</v>
      </c>
      <c r="G16" s="87"/>
      <c r="H16" s="87"/>
      <c r="I16" s="87"/>
      <c r="J16" s="88">
        <f t="shared" si="2"/>
        <v>0.25251059213323362</v>
      </c>
      <c r="K16" s="87"/>
      <c r="L16" s="87">
        <f t="shared" si="3"/>
        <v>2</v>
      </c>
      <c r="M16" s="87"/>
      <c r="N16" s="87"/>
      <c r="O16" s="87"/>
      <c r="P16" s="87">
        <f t="shared" si="4"/>
        <v>88114.224704718654</v>
      </c>
      <c r="Q16" s="87"/>
      <c r="R16" s="87"/>
      <c r="S16" s="87"/>
      <c r="T16" s="88">
        <f t="shared" si="5"/>
        <v>1.5558862028208284E-2</v>
      </c>
      <c r="U16" s="239"/>
      <c r="V16" s="1"/>
      <c r="X16" s="245"/>
      <c r="Y16" s="251" t="s">
        <v>61</v>
      </c>
      <c r="Z16" s="251"/>
      <c r="AA16" s="252">
        <v>330</v>
      </c>
      <c r="AB16" s="251"/>
      <c r="AC16" s="253">
        <f>+AA16/AA16</f>
        <v>1</v>
      </c>
      <c r="AD16" s="250"/>
      <c r="AE16" s="1"/>
    </row>
    <row r="17" spans="4:33" x14ac:dyDescent="0.3">
      <c r="D17" s="85">
        <f t="shared" si="0"/>
        <v>43919</v>
      </c>
      <c r="E17" s="86"/>
      <c r="F17" s="87">
        <f t="shared" si="1"/>
        <v>167872.68842067997</v>
      </c>
      <c r="G17" s="87"/>
      <c r="H17" s="87"/>
      <c r="I17" s="87"/>
      <c r="J17" s="88">
        <f t="shared" si="2"/>
        <v>0.25251059213323362</v>
      </c>
      <c r="K17" s="87"/>
      <c r="L17" s="87">
        <f t="shared" si="3"/>
        <v>3</v>
      </c>
      <c r="M17" s="87"/>
      <c r="N17" s="87"/>
      <c r="O17" s="87"/>
      <c r="P17" s="87">
        <f t="shared" si="4"/>
        <v>89485.181769621922</v>
      </c>
      <c r="Q17" s="87"/>
      <c r="R17" s="87"/>
      <c r="S17" s="87"/>
      <c r="T17" s="88">
        <f t="shared" si="5"/>
        <v>1.5558862028208284E-2</v>
      </c>
      <c r="U17" s="239"/>
      <c r="V17" s="1"/>
      <c r="X17" s="245"/>
      <c r="Y17" s="254" t="s">
        <v>63</v>
      </c>
      <c r="Z17" s="251"/>
      <c r="AA17" s="255">
        <v>53.42</v>
      </c>
      <c r="AB17" s="251"/>
      <c r="AC17" s="253">
        <f>+AA17/AA16</f>
        <v>0.16187878787878787</v>
      </c>
      <c r="AD17" s="250"/>
      <c r="AE17" s="1"/>
    </row>
    <row r="18" spans="4:33" x14ac:dyDescent="0.3">
      <c r="D18" s="85">
        <f t="shared" si="0"/>
        <v>43920</v>
      </c>
      <c r="E18" s="86"/>
      <c r="F18" s="87">
        <f t="shared" si="1"/>
        <v>210262.3203767837</v>
      </c>
      <c r="G18" s="87"/>
      <c r="H18" s="87"/>
      <c r="I18" s="87"/>
      <c r="J18" s="88">
        <f t="shared" si="2"/>
        <v>0.25251059213323362</v>
      </c>
      <c r="K18" s="87"/>
      <c r="L18" s="87">
        <f t="shared" si="3"/>
        <v>4</v>
      </c>
      <c r="M18" s="87"/>
      <c r="N18" s="87"/>
      <c r="O18" s="87"/>
      <c r="P18" s="87">
        <f t="shared" si="4"/>
        <v>90877.469366344609</v>
      </c>
      <c r="Q18" s="87"/>
      <c r="R18" s="87"/>
      <c r="S18" s="87"/>
      <c r="T18" s="88">
        <f t="shared" si="5"/>
        <v>1.5558862028208284E-2</v>
      </c>
      <c r="U18" s="239"/>
      <c r="V18" s="1"/>
      <c r="X18" s="245"/>
      <c r="Y18" s="256" t="s">
        <v>67</v>
      </c>
      <c r="Z18" s="256"/>
      <c r="AA18" s="252">
        <f>+AC18*AA17</f>
        <v>11.37846</v>
      </c>
      <c r="AB18" s="251"/>
      <c r="AC18" s="253">
        <v>0.21299999999999999</v>
      </c>
      <c r="AD18" s="250"/>
      <c r="AE18" s="1"/>
    </row>
    <row r="19" spans="4:33" ht="15" thickBot="1" x14ac:dyDescent="0.35">
      <c r="D19" s="85">
        <f t="shared" si="0"/>
        <v>43921</v>
      </c>
      <c r="E19" s="86"/>
      <c r="F19" s="87">
        <f t="shared" si="1"/>
        <v>263355.78339843301</v>
      </c>
      <c r="G19" s="87"/>
      <c r="H19" s="87"/>
      <c r="I19" s="87"/>
      <c r="J19" s="88">
        <f t="shared" si="2"/>
        <v>0.25251059213323362</v>
      </c>
      <c r="K19" s="87"/>
      <c r="L19" s="87">
        <f t="shared" si="3"/>
        <v>5</v>
      </c>
      <c r="M19" s="87"/>
      <c r="N19" s="87"/>
      <c r="O19" s="87"/>
      <c r="P19" s="87">
        <f t="shared" si="4"/>
        <v>92291.419373688288</v>
      </c>
      <c r="Q19" s="87"/>
      <c r="R19" s="87"/>
      <c r="S19" s="87"/>
      <c r="T19" s="88">
        <f t="shared" si="5"/>
        <v>1.5558862028208284E-2</v>
      </c>
      <c r="U19" s="239"/>
      <c r="V19" s="1"/>
      <c r="X19" s="257"/>
      <c r="Y19" s="258" t="s">
        <v>68</v>
      </c>
      <c r="Z19" s="258"/>
      <c r="AA19" s="259"/>
      <c r="AB19" s="260"/>
      <c r="AC19" s="259">
        <f>+AA18/AA16</f>
        <v>3.448018181818182E-2</v>
      </c>
      <c r="AD19" s="261"/>
      <c r="AE19" s="1"/>
    </row>
    <row r="20" spans="4:33" x14ac:dyDescent="0.3">
      <c r="D20" s="85">
        <f t="shared" si="0"/>
        <v>43922</v>
      </c>
      <c r="E20" s="86"/>
      <c r="F20" s="87">
        <f t="shared" si="1"/>
        <v>329855.90820608294</v>
      </c>
      <c r="G20" s="87"/>
      <c r="H20" s="87"/>
      <c r="I20" s="87"/>
      <c r="J20" s="88">
        <f t="shared" si="2"/>
        <v>0.25251059213323362</v>
      </c>
      <c r="K20" s="87"/>
      <c r="L20" s="87">
        <f t="shared" si="3"/>
        <v>6</v>
      </c>
      <c r="M20" s="87"/>
      <c r="N20" s="87"/>
      <c r="O20" s="87"/>
      <c r="P20" s="87">
        <f t="shared" si="4"/>
        <v>93727.368834111025</v>
      </c>
      <c r="Q20" s="87"/>
      <c r="R20" s="87"/>
      <c r="S20" s="87"/>
      <c r="T20" s="88">
        <f t="shared" si="5"/>
        <v>1.5558862028208284E-2</v>
      </c>
      <c r="U20" s="239"/>
      <c r="V20" s="1"/>
      <c r="X20" s="96"/>
      <c r="Y20" s="96"/>
      <c r="Z20" s="96"/>
      <c r="AA20" s="96"/>
      <c r="AB20" s="96"/>
      <c r="AC20" s="96"/>
      <c r="AD20" s="1"/>
      <c r="AE20" s="1"/>
    </row>
    <row r="21" spans="4:33" x14ac:dyDescent="0.3">
      <c r="D21" s="85">
        <f t="shared" si="0"/>
        <v>43923</v>
      </c>
      <c r="E21" s="86"/>
      <c r="F21" s="87">
        <f t="shared" si="1"/>
        <v>413148.01890584646</v>
      </c>
      <c r="G21" s="87"/>
      <c r="H21" s="87"/>
      <c r="I21" s="87"/>
      <c r="J21" s="88">
        <f t="shared" si="2"/>
        <v>0.25251059213323362</v>
      </c>
      <c r="K21" s="87"/>
      <c r="L21" s="87">
        <f t="shared" si="3"/>
        <v>7</v>
      </c>
      <c r="M21" s="87"/>
      <c r="N21" s="87"/>
      <c r="O21" s="87"/>
      <c r="P21" s="87">
        <f t="shared" si="4"/>
        <v>95185.660034067958</v>
      </c>
      <c r="Q21" s="87"/>
      <c r="R21" s="87"/>
      <c r="S21" s="87"/>
      <c r="T21" s="88">
        <f t="shared" si="5"/>
        <v>1.5558862028208284E-2</v>
      </c>
      <c r="U21" s="239"/>
      <c r="V21" s="1"/>
      <c r="X21" s="96"/>
      <c r="Y21" s="96"/>
      <c r="Z21" s="96"/>
      <c r="AA21" s="96"/>
      <c r="AB21" s="96"/>
      <c r="AC21" s="96"/>
      <c r="AD21" s="1"/>
      <c r="AE21" s="1"/>
    </row>
    <row r="22" spans="4:33" x14ac:dyDescent="0.3">
      <c r="D22" s="85">
        <f t="shared" si="0"/>
        <v>43924</v>
      </c>
      <c r="E22" s="86"/>
      <c r="F22" s="87">
        <f t="shared" si="1"/>
        <v>517472.26979843411</v>
      </c>
      <c r="G22" s="87"/>
      <c r="H22" s="87"/>
      <c r="I22" s="87"/>
      <c r="J22" s="88">
        <f t="shared" si="2"/>
        <v>0.25251059213323362</v>
      </c>
      <c r="K22" s="87"/>
      <c r="L22" s="87">
        <f t="shared" si="3"/>
        <v>8</v>
      </c>
      <c r="M22" s="87"/>
      <c r="N22" s="87"/>
      <c r="O22" s="87"/>
      <c r="P22" s="87">
        <f t="shared" si="4"/>
        <v>96666.64058560197</v>
      </c>
      <c r="Q22" s="87"/>
      <c r="R22" s="87"/>
      <c r="S22" s="87"/>
      <c r="T22" s="88">
        <f t="shared" si="5"/>
        <v>1.5558862028208284E-2</v>
      </c>
      <c r="U22" s="239"/>
      <c r="V22" s="1"/>
    </row>
    <row r="23" spans="4:33" x14ac:dyDescent="0.3">
      <c r="D23" s="85">
        <f t="shared" si="0"/>
        <v>43925</v>
      </c>
      <c r="E23" s="86"/>
      <c r="F23" s="87">
        <f t="shared" si="1"/>
        <v>648139.49905776512</v>
      </c>
      <c r="G23" s="87"/>
      <c r="H23" s="87"/>
      <c r="I23" s="87"/>
      <c r="J23" s="88">
        <f t="shared" si="2"/>
        <v>0.25251059213323362</v>
      </c>
      <c r="K23" s="87"/>
      <c r="L23" s="87">
        <f t="shared" si="3"/>
        <v>9</v>
      </c>
      <c r="M23" s="87"/>
      <c r="N23" s="87"/>
      <c r="O23" s="87"/>
      <c r="P23" s="87">
        <f t="shared" si="4"/>
        <v>98170.663509203761</v>
      </c>
      <c r="Q23" s="87"/>
      <c r="R23" s="87"/>
      <c r="S23" s="87"/>
      <c r="T23" s="88">
        <f t="shared" si="5"/>
        <v>1.5558862028208284E-2</v>
      </c>
      <c r="U23" s="239"/>
      <c r="V23" s="1"/>
      <c r="X23" s="116"/>
      <c r="Y23" s="96"/>
      <c r="Z23" s="96"/>
      <c r="AA23" s="96"/>
      <c r="AB23" s="96"/>
      <c r="AC23" s="96"/>
      <c r="AD23" s="96"/>
      <c r="AE23" s="96"/>
      <c r="AF23" s="96"/>
      <c r="AG23" s="116"/>
    </row>
    <row r="24" spans="4:33" x14ac:dyDescent="0.3">
      <c r="D24" s="85">
        <f t="shared" si="0"/>
        <v>43926</v>
      </c>
      <c r="E24" s="86"/>
      <c r="F24" s="87">
        <f t="shared" si="1"/>
        <v>811801.58774977876</v>
      </c>
      <c r="G24" s="87"/>
      <c r="H24" s="87"/>
      <c r="I24" s="87"/>
      <c r="J24" s="88">
        <f t="shared" si="2"/>
        <v>0.25251059213323362</v>
      </c>
      <c r="K24" s="87"/>
      <c r="L24" s="87">
        <f t="shared" si="3"/>
        <v>10</v>
      </c>
      <c r="M24" s="87"/>
      <c r="N24" s="87"/>
      <c r="O24" s="87"/>
      <c r="P24" s="87">
        <f t="shared" si="4"/>
        <v>99698.087317961123</v>
      </c>
      <c r="Q24" s="87"/>
      <c r="R24" s="87"/>
      <c r="S24" s="87"/>
      <c r="T24" s="88">
        <f t="shared" si="5"/>
        <v>1.5558862028208284E-2</v>
      </c>
      <c r="U24" s="239"/>
      <c r="V24" s="1"/>
      <c r="X24" s="116"/>
      <c r="Y24" s="120"/>
      <c r="Z24" s="265"/>
      <c r="AA24" s="265"/>
      <c r="AB24" s="265"/>
      <c r="AC24" s="265"/>
      <c r="AD24" s="265"/>
      <c r="AE24" s="96"/>
      <c r="AF24" s="96"/>
      <c r="AG24" s="116"/>
    </row>
    <row r="25" spans="4:33" x14ac:dyDescent="0.3">
      <c r="D25" s="85">
        <f t="shared" si="0"/>
        <v>43927</v>
      </c>
      <c r="E25" s="86"/>
      <c r="F25" s="87">
        <f t="shared" si="1"/>
        <v>1016790.0873671746</v>
      </c>
      <c r="G25" s="87"/>
      <c r="H25" s="87"/>
      <c r="I25" s="87"/>
      <c r="J25" s="88">
        <f t="shared" si="2"/>
        <v>0.25251059213323362</v>
      </c>
      <c r="K25" s="87"/>
      <c r="L25" s="87">
        <f t="shared" si="3"/>
        <v>11</v>
      </c>
      <c r="M25" s="87"/>
      <c r="N25" s="87"/>
      <c r="O25" s="87"/>
      <c r="P25" s="87">
        <f t="shared" si="4"/>
        <v>101249.27610301755</v>
      </c>
      <c r="Q25" s="87"/>
      <c r="R25" s="87"/>
      <c r="S25" s="87"/>
      <c r="T25" s="88">
        <f t="shared" si="5"/>
        <v>1.5558862028208284E-2</v>
      </c>
      <c r="U25" s="239"/>
      <c r="V25" s="1"/>
      <c r="X25" s="116"/>
      <c r="Y25" s="264"/>
      <c r="Z25" s="264"/>
      <c r="AA25" s="264"/>
      <c r="AB25" s="116"/>
      <c r="AC25" s="113"/>
      <c r="AD25" s="116"/>
      <c r="AE25" s="101"/>
      <c r="AF25" s="96"/>
      <c r="AG25" s="116"/>
    </row>
    <row r="26" spans="4:33" x14ac:dyDescent="0.3">
      <c r="D26" s="85">
        <f t="shared" si="0"/>
        <v>43928</v>
      </c>
      <c r="E26" s="86"/>
      <c r="F26" s="87">
        <f t="shared" si="1"/>
        <v>1273540.354403462</v>
      </c>
      <c r="G26" s="87"/>
      <c r="H26" s="87"/>
      <c r="I26" s="87"/>
      <c r="J26" s="88">
        <f t="shared" si="2"/>
        <v>0.25251059213323362</v>
      </c>
      <c r="K26" s="87"/>
      <c r="L26" s="87">
        <f t="shared" si="3"/>
        <v>12</v>
      </c>
      <c r="M26" s="87"/>
      <c r="N26" s="87"/>
      <c r="O26" s="87"/>
      <c r="P26" s="87">
        <f t="shared" si="4"/>
        <v>102824.59962036037</v>
      </c>
      <c r="Q26" s="87"/>
      <c r="R26" s="87"/>
      <c r="S26" s="87"/>
      <c r="T26" s="88">
        <f t="shared" si="5"/>
        <v>1.5558862028208284E-2</v>
      </c>
      <c r="U26" s="239"/>
      <c r="V26" s="1"/>
      <c r="X26" s="116"/>
      <c r="Y26" s="120"/>
      <c r="Z26" s="120"/>
      <c r="AA26" s="120"/>
      <c r="AB26" s="116"/>
      <c r="AC26" s="262"/>
      <c r="AD26" s="116"/>
      <c r="AE26" s="263"/>
      <c r="AF26" s="96"/>
      <c r="AG26" s="116"/>
    </row>
    <row r="27" spans="4:33" x14ac:dyDescent="0.3">
      <c r="D27" s="85">
        <f t="shared" si="0"/>
        <v>43929</v>
      </c>
      <c r="E27" s="86"/>
      <c r="F27" s="87">
        <f t="shared" si="1"/>
        <v>1595122.7833994483</v>
      </c>
      <c r="G27" s="87"/>
      <c r="H27" s="87"/>
      <c r="I27" s="87"/>
      <c r="J27" s="88">
        <f t="shared" si="2"/>
        <v>0.25251059213323362</v>
      </c>
      <c r="K27" s="87"/>
      <c r="L27" s="87">
        <f t="shared" si="3"/>
        <v>13</v>
      </c>
      <c r="M27" s="87"/>
      <c r="N27" s="87"/>
      <c r="O27" s="87"/>
      <c r="P27" s="87">
        <f t="shared" si="4"/>
        <v>104424.43337895932</v>
      </c>
      <c r="Q27" s="87"/>
      <c r="R27" s="87"/>
      <c r="S27" s="87"/>
      <c r="T27" s="88">
        <f t="shared" si="5"/>
        <v>1.5558862028208284E-2</v>
      </c>
      <c r="U27" s="239"/>
      <c r="V27" s="1"/>
      <c r="X27" s="116"/>
      <c r="Y27" s="120"/>
      <c r="Z27" s="120"/>
      <c r="AA27" s="120"/>
      <c r="AB27" s="116"/>
      <c r="AC27" s="262"/>
      <c r="AD27" s="116"/>
      <c r="AE27" s="263"/>
      <c r="AF27" s="96"/>
      <c r="AG27" s="116"/>
    </row>
    <row r="28" spans="4:33" x14ac:dyDescent="0.3">
      <c r="D28" s="85">
        <f t="shared" si="0"/>
        <v>43930</v>
      </c>
      <c r="E28" s="86"/>
      <c r="F28" s="87">
        <f t="shared" si="1"/>
        <v>1997908.1819608547</v>
      </c>
      <c r="G28" s="87"/>
      <c r="H28" s="87"/>
      <c r="I28" s="87"/>
      <c r="J28" s="88">
        <f t="shared" si="2"/>
        <v>0.25251059213323362</v>
      </c>
      <c r="K28" s="87"/>
      <c r="L28" s="87">
        <f t="shared" si="3"/>
        <v>14</v>
      </c>
      <c r="M28" s="87"/>
      <c r="N28" s="87"/>
      <c r="O28" s="87"/>
      <c r="P28" s="87">
        <f t="shared" si="4"/>
        <v>106049.15873027638</v>
      </c>
      <c r="Q28" s="87"/>
      <c r="R28" s="87"/>
      <c r="S28" s="87"/>
      <c r="T28" s="88">
        <f t="shared" si="5"/>
        <v>1.5558862028208284E-2</v>
      </c>
      <c r="U28" s="239"/>
      <c r="V28" s="1"/>
      <c r="X28" s="116"/>
      <c r="Y28" s="265"/>
      <c r="Z28" s="265"/>
      <c r="AA28" s="265"/>
      <c r="AB28" s="116"/>
      <c r="AC28" s="262"/>
      <c r="AD28" s="116"/>
      <c r="AE28" s="263"/>
      <c r="AF28" s="96"/>
      <c r="AG28" s="116"/>
    </row>
    <row r="29" spans="4:33" x14ac:dyDescent="0.3">
      <c r="D29" s="85">
        <f t="shared" si="0"/>
        <v>43931</v>
      </c>
      <c r="E29" s="86"/>
      <c r="F29" s="87">
        <f t="shared" si="1"/>
        <v>2502401.1600156222</v>
      </c>
      <c r="G29" s="87"/>
      <c r="H29" s="87"/>
      <c r="I29" s="87"/>
      <c r="J29" s="88">
        <f t="shared" si="2"/>
        <v>0.25251059213323362</v>
      </c>
      <c r="K29" s="87"/>
      <c r="L29" s="87">
        <f t="shared" si="3"/>
        <v>15</v>
      </c>
      <c r="M29" s="87"/>
      <c r="N29" s="87"/>
      <c r="O29" s="87"/>
      <c r="P29" s="87">
        <f t="shared" si="4"/>
        <v>107699.16295916832</v>
      </c>
      <c r="Q29" s="87"/>
      <c r="R29" s="87"/>
      <c r="S29" s="87"/>
      <c r="T29" s="88">
        <f t="shared" si="5"/>
        <v>1.5558862028208284E-2</v>
      </c>
      <c r="U29" s="239"/>
      <c r="V29" s="94"/>
      <c r="X29" s="116"/>
      <c r="Y29" s="265"/>
      <c r="Z29" s="265"/>
      <c r="AA29" s="265"/>
      <c r="AB29" s="116"/>
      <c r="AC29" s="263"/>
      <c r="AD29" s="116"/>
      <c r="AE29" s="263"/>
      <c r="AF29" s="96"/>
      <c r="AG29" s="116"/>
    </row>
    <row r="30" spans="4:33" x14ac:dyDescent="0.3">
      <c r="D30" s="85">
        <f t="shared" si="0"/>
        <v>43932</v>
      </c>
      <c r="E30" s="86"/>
      <c r="F30" s="87">
        <f t="shared" si="1"/>
        <v>3134283.9586860575</v>
      </c>
      <c r="G30" s="87"/>
      <c r="H30" s="87"/>
      <c r="I30" s="87"/>
      <c r="J30" s="88">
        <f t="shared" si="2"/>
        <v>0.25251059213323362</v>
      </c>
      <c r="K30" s="87"/>
      <c r="L30" s="87">
        <f t="shared" si="3"/>
        <v>16</v>
      </c>
      <c r="M30" s="87"/>
      <c r="N30" s="87"/>
      <c r="O30" s="87"/>
      <c r="P30" s="87">
        <f t="shared" si="4"/>
        <v>109374.83937620354</v>
      </c>
      <c r="Q30" s="87"/>
      <c r="R30" s="87"/>
      <c r="S30" s="87"/>
      <c r="T30" s="88">
        <f t="shared" si="5"/>
        <v>1.5558862028208284E-2</v>
      </c>
      <c r="U30" s="239"/>
      <c r="V30" s="1"/>
      <c r="X30" s="116"/>
      <c r="Y30" s="96"/>
      <c r="Z30" s="96"/>
      <c r="AA30" s="96"/>
      <c r="AB30" s="96"/>
      <c r="AC30" s="96"/>
      <c r="AD30" s="96"/>
      <c r="AE30" s="96"/>
      <c r="AF30" s="96"/>
      <c r="AG30" s="116"/>
    </row>
    <row r="31" spans="4:33" x14ac:dyDescent="0.3">
      <c r="D31" s="85">
        <f t="shared" si="0"/>
        <v>43933</v>
      </c>
      <c r="E31" s="86"/>
      <c r="F31" s="87">
        <f t="shared" si="1"/>
        <v>3925723.8570075692</v>
      </c>
      <c r="G31" s="87"/>
      <c r="H31" s="87"/>
      <c r="I31" s="87"/>
      <c r="J31" s="88">
        <f t="shared" si="2"/>
        <v>0.25251059213323362</v>
      </c>
      <c r="K31" s="87"/>
      <c r="L31" s="87">
        <f t="shared" si="3"/>
        <v>17</v>
      </c>
      <c r="M31" s="87"/>
      <c r="N31" s="87"/>
      <c r="O31" s="87"/>
      <c r="P31" s="87">
        <f t="shared" si="4"/>
        <v>111076.58741141534</v>
      </c>
      <c r="Q31" s="87"/>
      <c r="R31" s="87"/>
      <c r="S31" s="87"/>
      <c r="T31" s="88">
        <f t="shared" si="5"/>
        <v>1.5558862028208284E-2</v>
      </c>
      <c r="U31" s="239"/>
      <c r="V31" s="1"/>
      <c r="Y31" s="96"/>
      <c r="Z31" s="96"/>
      <c r="AA31" s="96"/>
      <c r="AB31" s="96"/>
      <c r="AC31" s="96"/>
      <c r="AD31" s="96"/>
      <c r="AE31" s="1"/>
      <c r="AF31" s="1"/>
    </row>
    <row r="32" spans="4:33" x14ac:dyDescent="0.3">
      <c r="D32" s="85">
        <f t="shared" si="0"/>
        <v>43934</v>
      </c>
      <c r="E32" s="86"/>
      <c r="F32" s="87">
        <f t="shared" si="1"/>
        <v>4917010.7126921117</v>
      </c>
      <c r="G32" s="87"/>
      <c r="H32" s="87"/>
      <c r="I32" s="87"/>
      <c r="J32" s="88">
        <f t="shared" si="2"/>
        <v>0.25251059213323362</v>
      </c>
      <c r="K32" s="87"/>
      <c r="L32" s="87">
        <f t="shared" si="3"/>
        <v>18</v>
      </c>
      <c r="M32" s="87"/>
      <c r="N32" s="87"/>
      <c r="O32" s="87"/>
      <c r="P32" s="87">
        <f t="shared" si="4"/>
        <v>112804.81270951378</v>
      </c>
      <c r="Q32" s="87"/>
      <c r="R32" s="87"/>
      <c r="S32" s="87"/>
      <c r="T32" s="88">
        <f t="shared" si="5"/>
        <v>1.5558862028208284E-2</v>
      </c>
      <c r="U32" s="239"/>
      <c r="V32" s="1"/>
    </row>
    <row r="33" spans="4:22" x14ac:dyDescent="0.3">
      <c r="D33" s="85">
        <f t="shared" si="0"/>
        <v>43935</v>
      </c>
      <c r="E33" s="86"/>
      <c r="F33" s="87">
        <f t="shared" si="1"/>
        <v>6158607.9992794497</v>
      </c>
      <c r="G33" s="87"/>
      <c r="H33" s="87"/>
      <c r="I33" s="87"/>
      <c r="J33" s="88">
        <f t="shared" si="2"/>
        <v>0.25251059213323362</v>
      </c>
      <c r="K33" s="87"/>
      <c r="L33" s="87">
        <f t="shared" si="3"/>
        <v>19</v>
      </c>
      <c r="M33" s="87"/>
      <c r="N33" s="87"/>
      <c r="O33" s="87"/>
      <c r="P33" s="87">
        <f t="shared" si="4"/>
        <v>114559.92722657898</v>
      </c>
      <c r="Q33" s="87"/>
      <c r="R33" s="87"/>
      <c r="S33" s="87"/>
      <c r="T33" s="88">
        <f t="shared" si="5"/>
        <v>1.5558862028208284E-2</v>
      </c>
      <c r="U33" s="239"/>
      <c r="V33" s="1"/>
    </row>
    <row r="34" spans="4:22" x14ac:dyDescent="0.3">
      <c r="D34" s="85">
        <f t="shared" si="0"/>
        <v>43936</v>
      </c>
      <c r="E34" s="86"/>
      <c r="F34" s="87">
        <f t="shared" si="1"/>
        <v>7713721.751893972</v>
      </c>
      <c r="G34" s="87"/>
      <c r="H34" s="87"/>
      <c r="I34" s="87"/>
      <c r="J34" s="88">
        <f t="shared" si="2"/>
        <v>0.25251059213323362</v>
      </c>
      <c r="K34" s="87"/>
      <c r="L34" s="87">
        <f t="shared" si="3"/>
        <v>20</v>
      </c>
      <c r="M34" s="87"/>
      <c r="N34" s="87"/>
      <c r="O34" s="87"/>
      <c r="P34" s="87">
        <f t="shared" si="4"/>
        <v>116342.3493282589</v>
      </c>
      <c r="Q34" s="87"/>
      <c r="R34" s="87"/>
      <c r="S34" s="87"/>
      <c r="T34" s="88">
        <f t="shared" si="5"/>
        <v>1.5558862028208284E-2</v>
      </c>
      <c r="U34" s="239"/>
      <c r="V34" s="1"/>
    </row>
    <row r="35" spans="4:22" x14ac:dyDescent="0.3">
      <c r="D35" s="85">
        <f t="shared" si="0"/>
        <v>43937</v>
      </c>
      <c r="E35" s="86"/>
      <c r="F35" s="87">
        <f t="shared" si="1"/>
        <v>9661518.1990157235</v>
      </c>
      <c r="G35" s="87"/>
      <c r="H35" s="87"/>
      <c r="I35" s="87"/>
      <c r="J35" s="88">
        <f t="shared" si="2"/>
        <v>0.25251059213323362</v>
      </c>
      <c r="K35" s="87"/>
      <c r="L35" s="87">
        <f t="shared" si="3"/>
        <v>21</v>
      </c>
      <c r="M35" s="87"/>
      <c r="N35" s="87"/>
      <c r="O35" s="87"/>
      <c r="P35" s="87">
        <f t="shared" si="4"/>
        <v>118152.5038894949</v>
      </c>
      <c r="Q35" s="87"/>
      <c r="R35" s="87"/>
      <c r="S35" s="87"/>
      <c r="T35" s="88">
        <f t="shared" si="5"/>
        <v>1.5558862028208284E-2</v>
      </c>
      <c r="U35" s="239"/>
      <c r="V35" s="1"/>
    </row>
    <row r="36" spans="4:22" x14ac:dyDescent="0.3">
      <c r="D36" s="85">
        <f t="shared" si="0"/>
        <v>43938</v>
      </c>
      <c r="E36" s="86"/>
      <c r="F36" s="87">
        <f t="shared" si="1"/>
        <v>12101153.880355196</v>
      </c>
      <c r="G36" s="87"/>
      <c r="H36" s="87"/>
      <c r="I36" s="87"/>
      <c r="J36" s="88">
        <f t="shared" si="2"/>
        <v>0.25251059213323362</v>
      </c>
      <c r="K36" s="87"/>
      <c r="L36" s="87">
        <f t="shared" si="3"/>
        <v>22</v>
      </c>
      <c r="M36" s="87"/>
      <c r="N36" s="87"/>
      <c r="O36" s="87"/>
      <c r="P36" s="87">
        <f t="shared" si="4"/>
        <v>119990.8223957989</v>
      </c>
      <c r="Q36" s="87"/>
      <c r="R36" s="87"/>
      <c r="S36" s="87"/>
      <c r="T36" s="88">
        <f t="shared" si="5"/>
        <v>1.5558862028208284E-2</v>
      </c>
      <c r="U36" s="239"/>
      <c r="V36" s="10"/>
    </row>
    <row r="37" spans="4:22" x14ac:dyDescent="0.3">
      <c r="D37" s="85">
        <f t="shared" si="0"/>
        <v>43939</v>
      </c>
      <c r="E37" s="86"/>
      <c r="F37" s="87">
        <f t="shared" si="1"/>
        <v>15156823.412179064</v>
      </c>
      <c r="G37" s="87"/>
      <c r="H37" s="87"/>
      <c r="I37" s="87"/>
      <c r="J37" s="88">
        <f t="shared" si="2"/>
        <v>0.25251059213323362</v>
      </c>
      <c r="K37" s="87"/>
      <c r="L37" s="87">
        <f t="shared" si="3"/>
        <v>23</v>
      </c>
      <c r="M37" s="87"/>
      <c r="N37" s="87"/>
      <c r="O37" s="87"/>
      <c r="P37" s="87">
        <f t="shared" si="4"/>
        <v>121857.74304610638</v>
      </c>
      <c r="Q37" s="87"/>
      <c r="R37" s="87"/>
      <c r="S37" s="87"/>
      <c r="T37" s="88">
        <f t="shared" si="5"/>
        <v>1.5558862028208284E-2</v>
      </c>
      <c r="U37" s="239"/>
      <c r="V37" s="10"/>
    </row>
    <row r="38" spans="4:22" x14ac:dyDescent="0.3">
      <c r="D38" s="85">
        <f t="shared" si="0"/>
        <v>43940</v>
      </c>
      <c r="E38" s="86"/>
      <c r="F38" s="87">
        <f t="shared" si="1"/>
        <v>18984081.866847258</v>
      </c>
      <c r="G38" s="87"/>
      <c r="H38" s="87"/>
      <c r="I38" s="87"/>
      <c r="J38" s="88">
        <f t="shared" si="2"/>
        <v>0.25251059213323362</v>
      </c>
      <c r="K38" s="87"/>
      <c r="L38" s="87">
        <f t="shared" si="3"/>
        <v>24</v>
      </c>
      <c r="M38" s="87"/>
      <c r="N38" s="87"/>
      <c r="O38" s="87"/>
      <c r="P38" s="87">
        <f t="shared" si="4"/>
        <v>123753.71085722961</v>
      </c>
      <c r="Q38" s="87"/>
      <c r="R38" s="87"/>
      <c r="S38" s="87"/>
      <c r="T38" s="88">
        <f t="shared" si="5"/>
        <v>1.5558862028208284E-2</v>
      </c>
      <c r="U38" s="239"/>
      <c r="V38" s="10"/>
    </row>
    <row r="39" spans="4:22" x14ac:dyDescent="0.3">
      <c r="D39" s="85">
        <f t="shared" si="0"/>
        <v>43941</v>
      </c>
      <c r="E39" s="86"/>
      <c r="F39" s="87">
        <f t="shared" si="1"/>
        <v>23777763.620150641</v>
      </c>
      <c r="G39" s="87"/>
      <c r="H39" s="87"/>
      <c r="I39" s="87"/>
      <c r="J39" s="88">
        <f t="shared" si="2"/>
        <v>0.25251059213323362</v>
      </c>
      <c r="K39" s="87"/>
      <c r="L39" s="87">
        <f t="shared" si="3"/>
        <v>25</v>
      </c>
      <c r="M39" s="87"/>
      <c r="N39" s="87"/>
      <c r="O39" s="87"/>
      <c r="P39" s="87">
        <f t="shared" si="4"/>
        <v>125679.17776993604</v>
      </c>
      <c r="Q39" s="87"/>
      <c r="R39" s="87"/>
      <c r="S39" s="87"/>
      <c r="T39" s="88">
        <f t="shared" si="5"/>
        <v>1.5558862028208284E-2</v>
      </c>
      <c r="U39" s="239"/>
      <c r="V39" s="10"/>
    </row>
    <row r="40" spans="4:22" x14ac:dyDescent="0.3">
      <c r="D40" s="85">
        <f t="shared" si="0"/>
        <v>43942</v>
      </c>
      <c r="E40" s="86"/>
      <c r="F40" s="87">
        <f t="shared" si="1"/>
        <v>29781900.791478939</v>
      </c>
      <c r="G40" s="87"/>
      <c r="H40" s="87"/>
      <c r="I40" s="87"/>
      <c r="J40" s="88">
        <f t="shared" si="2"/>
        <v>0.25251059213323362</v>
      </c>
      <c r="K40" s="87"/>
      <c r="L40" s="87">
        <f t="shared" si="3"/>
        <v>26</v>
      </c>
      <c r="M40" s="87"/>
      <c r="N40" s="87"/>
      <c r="O40" s="87"/>
      <c r="P40" s="87">
        <f t="shared" si="4"/>
        <v>127634.60275667714</v>
      </c>
      <c r="Q40" s="87"/>
      <c r="R40" s="87"/>
      <c r="S40" s="87"/>
      <c r="T40" s="88">
        <f t="shared" si="5"/>
        <v>1.5558862028208284E-2</v>
      </c>
      <c r="U40" s="239"/>
      <c r="V40" s="10"/>
    </row>
    <row r="41" spans="4:22" x14ac:dyDescent="0.3">
      <c r="D41" s="85">
        <f t="shared" si="0"/>
        <v>43943</v>
      </c>
      <c r="E41" s="86"/>
      <c r="F41" s="87">
        <f t="shared" si="1"/>
        <v>37302146.195188507</v>
      </c>
      <c r="G41" s="87"/>
      <c r="H41" s="87"/>
      <c r="I41" s="87"/>
      <c r="J41" s="88">
        <f t="shared" si="2"/>
        <v>0.25251059213323362</v>
      </c>
      <c r="K41" s="87"/>
      <c r="L41" s="87">
        <f t="shared" si="3"/>
        <v>27</v>
      </c>
      <c r="M41" s="87"/>
      <c r="N41" s="87"/>
      <c r="O41" s="87"/>
      <c r="P41" s="87">
        <f t="shared" si="4"/>
        <v>129620.45193099345</v>
      </c>
      <c r="Q41" s="87"/>
      <c r="R41" s="87"/>
      <c r="S41" s="87"/>
      <c r="T41" s="88">
        <f t="shared" si="5"/>
        <v>1.5558862028208284E-2</v>
      </c>
      <c r="U41" s="239"/>
      <c r="V41" s="10"/>
    </row>
    <row r="42" spans="4:22" x14ac:dyDescent="0.3">
      <c r="D42" s="85">
        <f t="shared" si="0"/>
        <v>43944</v>
      </c>
      <c r="E42" s="86"/>
      <c r="F42" s="87">
        <f t="shared" si="1"/>
        <v>46721333.218776003</v>
      </c>
      <c r="G42" s="87"/>
      <c r="H42" s="87"/>
      <c r="I42" s="87"/>
      <c r="J42" s="88">
        <f t="shared" si="2"/>
        <v>0.25251059213323362</v>
      </c>
      <c r="K42" s="87"/>
      <c r="L42" s="87">
        <f t="shared" si="3"/>
        <v>28</v>
      </c>
      <c r="M42" s="87"/>
      <c r="N42" s="87"/>
      <c r="O42" s="87"/>
      <c r="P42" s="87">
        <f t="shared" si="4"/>
        <v>131637.19865862178</v>
      </c>
      <c r="Q42" s="87"/>
      <c r="R42" s="87"/>
      <c r="S42" s="87"/>
      <c r="T42" s="88">
        <f t="shared" si="5"/>
        <v>1.5558862028208284E-2</v>
      </c>
      <c r="U42" s="239"/>
      <c r="V42" s="10"/>
    </row>
    <row r="43" spans="4:22" x14ac:dyDescent="0.3">
      <c r="D43" s="85">
        <f t="shared" si="0"/>
        <v>43945</v>
      </c>
      <c r="E43" s="86"/>
      <c r="F43" s="87">
        <f t="shared" si="1"/>
        <v>58518964.73510325</v>
      </c>
      <c r="G43" s="87"/>
      <c r="H43" s="87"/>
      <c r="I43" s="87"/>
      <c r="J43" s="88">
        <f t="shared" si="2"/>
        <v>0.25251059213323362</v>
      </c>
      <c r="K43" s="87"/>
      <c r="L43" s="87">
        <f t="shared" si="3"/>
        <v>29</v>
      </c>
      <c r="M43" s="87"/>
      <c r="N43" s="87"/>
      <c r="O43" s="87"/>
      <c r="P43" s="87">
        <f t="shared" si="4"/>
        <v>133685.32367033113</v>
      </c>
      <c r="Q43" s="87"/>
      <c r="R43" s="87"/>
      <c r="S43" s="87"/>
      <c r="T43" s="88">
        <f t="shared" si="5"/>
        <v>1.5558862028208284E-2</v>
      </c>
      <c r="U43" s="239"/>
      <c r="V43" s="10"/>
    </row>
    <row r="44" spans="4:22" x14ac:dyDescent="0.3">
      <c r="D44" s="85">
        <f t="shared" si="0"/>
        <v>43946</v>
      </c>
      <c r="E44" s="86"/>
      <c r="F44" s="87">
        <f t="shared" si="1"/>
        <v>73295623.171387985</v>
      </c>
      <c r="G44" s="87"/>
      <c r="H44" s="87"/>
      <c r="I44" s="87"/>
      <c r="J44" s="88">
        <f t="shared" si="2"/>
        <v>0.25251059213323362</v>
      </c>
      <c r="K44" s="87"/>
      <c r="L44" s="87">
        <f t="shared" si="3"/>
        <v>30</v>
      </c>
      <c r="M44" s="87"/>
      <c r="N44" s="87"/>
      <c r="O44" s="87"/>
      <c r="P44" s="87">
        <f t="shared" si="4"/>
        <v>135765.31517651418</v>
      </c>
      <c r="Q44" s="87"/>
      <c r="R44" s="87"/>
      <c r="S44" s="87"/>
      <c r="T44" s="88">
        <f t="shared" si="5"/>
        <v>1.5558862028208284E-2</v>
      </c>
      <c r="U44" s="239"/>
      <c r="V44" s="10"/>
    </row>
    <row r="45" spans="4:22" x14ac:dyDescent="0.3">
      <c r="D45" s="85">
        <f t="shared" si="0"/>
        <v>43947</v>
      </c>
      <c r="E45" s="86"/>
      <c r="F45" s="87">
        <f t="shared" si="1"/>
        <v>91803544.379169524</v>
      </c>
      <c r="G45" s="87"/>
      <c r="H45" s="87"/>
      <c r="I45" s="87"/>
      <c r="J45" s="88">
        <f t="shared" si="2"/>
        <v>0.25251059213323362</v>
      </c>
      <c r="K45" s="87"/>
      <c r="L45" s="87">
        <f t="shared" si="3"/>
        <v>31</v>
      </c>
      <c r="M45" s="87"/>
      <c r="N45" s="87"/>
      <c r="O45" s="87"/>
      <c r="P45" s="87">
        <f t="shared" si="4"/>
        <v>137877.66898356177</v>
      </c>
      <c r="Q45" s="87"/>
      <c r="R45" s="87"/>
      <c r="S45" s="87"/>
      <c r="T45" s="88">
        <f t="shared" si="5"/>
        <v>1.5558862028208284E-2</v>
      </c>
      <c r="U45" s="239"/>
      <c r="V45" s="10"/>
    </row>
    <row r="46" spans="4:22" x14ac:dyDescent="0.3">
      <c r="D46" s="85">
        <f t="shared" si="0"/>
        <v>43948</v>
      </c>
      <c r="E46" s="86"/>
      <c r="F46" s="87">
        <f t="shared" si="1"/>
        <v>114984911.7302832</v>
      </c>
      <c r="G46" s="87"/>
      <c r="H46" s="87"/>
      <c r="I46" s="87"/>
      <c r="J46" s="88">
        <f t="shared" si="2"/>
        <v>0.25251059213323362</v>
      </c>
      <c r="K46" s="87"/>
      <c r="L46" s="87">
        <f t="shared" si="3"/>
        <v>32</v>
      </c>
      <c r="M46" s="87"/>
      <c r="N46" s="87"/>
      <c r="O46" s="87"/>
      <c r="P46" s="87">
        <f t="shared" si="4"/>
        <v>140022.888612048</v>
      </c>
      <c r="Q46" s="87"/>
      <c r="R46" s="87"/>
      <c r="S46" s="87"/>
      <c r="T46" s="88">
        <f t="shared" si="5"/>
        <v>1.5558862028208284E-2</v>
      </c>
      <c r="U46" s="239"/>
      <c r="V46" s="10"/>
    </row>
    <row r="47" spans="4:22" x14ac:dyDescent="0.3">
      <c r="D47" s="85">
        <f t="shared" si="0"/>
        <v>43949</v>
      </c>
      <c r="E47" s="86"/>
      <c r="F47" s="87">
        <f t="shared" si="1"/>
        <v>144019819.87768459</v>
      </c>
      <c r="G47" s="87"/>
      <c r="H47" s="87"/>
      <c r="I47" s="87"/>
      <c r="J47" s="88">
        <f t="shared" si="2"/>
        <v>0.25251059213323362</v>
      </c>
      <c r="K47" s="87"/>
      <c r="L47" s="87">
        <f t="shared" si="3"/>
        <v>33</v>
      </c>
      <c r="M47" s="87"/>
      <c r="N47" s="87"/>
      <c r="O47" s="87"/>
      <c r="P47" s="87">
        <f t="shared" si="4"/>
        <v>142201.48541675403</v>
      </c>
      <c r="Q47" s="87"/>
      <c r="R47" s="87"/>
      <c r="S47" s="87"/>
      <c r="T47" s="88">
        <f t="shared" si="5"/>
        <v>1.5558862028208284E-2</v>
      </c>
      <c r="U47" s="239"/>
      <c r="V47" s="10"/>
    </row>
    <row r="48" spans="4:22" x14ac:dyDescent="0.3">
      <c r="D48" s="85">
        <f t="shared" si="0"/>
        <v>43950</v>
      </c>
      <c r="E48" s="86"/>
      <c r="F48" s="87">
        <f t="shared" si="1"/>
        <v>180386349.87392038</v>
      </c>
      <c r="G48" s="87"/>
      <c r="H48" s="87"/>
      <c r="I48" s="87"/>
      <c r="J48" s="88">
        <f t="shared" si="2"/>
        <v>0.25251059213323362</v>
      </c>
      <c r="K48" s="87"/>
      <c r="L48" s="87">
        <f t="shared" si="3"/>
        <v>34</v>
      </c>
      <c r="M48" s="87"/>
      <c r="N48" s="87"/>
      <c r="O48" s="87"/>
      <c r="P48" s="87">
        <f t="shared" si="4"/>
        <v>144413.97870855959</v>
      </c>
      <c r="Q48" s="87"/>
      <c r="R48" s="87"/>
      <c r="S48" s="87"/>
      <c r="T48" s="88">
        <f t="shared" si="5"/>
        <v>1.5558862028208284E-2</v>
      </c>
      <c r="U48" s="239"/>
      <c r="V48" s="10"/>
    </row>
    <row r="49" spans="4:22" x14ac:dyDescent="0.3">
      <c r="D49" s="85">
        <f t="shared" si="0"/>
        <v>43951</v>
      </c>
      <c r="E49" s="86"/>
      <c r="F49" s="87">
        <f t="shared" si="1"/>
        <v>225935813.89333665</v>
      </c>
      <c r="G49" s="87"/>
      <c r="H49" s="87"/>
      <c r="I49" s="87"/>
      <c r="J49" s="88">
        <f t="shared" si="2"/>
        <v>0.25251059213323362</v>
      </c>
      <c r="K49" s="87"/>
      <c r="L49" s="87">
        <f t="shared" si="3"/>
        <v>35</v>
      </c>
      <c r="M49" s="87"/>
      <c r="N49" s="87"/>
      <c r="O49" s="87"/>
      <c r="P49" s="87">
        <f t="shared" si="4"/>
        <v>146660.89587823069</v>
      </c>
      <c r="Q49" s="87"/>
      <c r="R49" s="87"/>
      <c r="S49" s="87"/>
      <c r="T49" s="88">
        <f t="shared" si="5"/>
        <v>1.5558862028208284E-2</v>
      </c>
      <c r="U49" s="239"/>
      <c r="V49" s="10"/>
    </row>
    <row r="50" spans="4:22" x14ac:dyDescent="0.3">
      <c r="D50" s="85">
        <f t="shared" si="0"/>
        <v>43952</v>
      </c>
      <c r="E50" s="86"/>
      <c r="F50" s="87">
        <f t="shared" ref="F50" si="6">+F49*(1+J49)</f>
        <v>282987000.04364717</v>
      </c>
      <c r="G50" s="87"/>
      <c r="H50" s="87"/>
      <c r="I50" s="87"/>
      <c r="J50" s="88">
        <f t="shared" si="2"/>
        <v>0.25251059213323362</v>
      </c>
      <c r="K50" s="87"/>
      <c r="L50" s="87">
        <f t="shared" si="3"/>
        <v>36</v>
      </c>
      <c r="M50" s="87"/>
      <c r="N50" s="87"/>
      <c r="O50" s="87"/>
      <c r="P50" s="87">
        <f t="shared" ref="P50" si="7">+P49*(1+T49)</f>
        <v>148942.77252213351</v>
      </c>
      <c r="Q50" s="87"/>
      <c r="R50" s="87"/>
      <c r="S50" s="87"/>
      <c r="T50" s="88">
        <f t="shared" si="5"/>
        <v>1.5558862028208284E-2</v>
      </c>
      <c r="U50" s="239"/>
      <c r="V50" s="10"/>
    </row>
    <row r="51" spans="4:22" x14ac:dyDescent="0.3">
      <c r="D51" s="85">
        <f t="shared" si="0"/>
        <v>43953</v>
      </c>
      <c r="E51" s="86"/>
      <c r="F51" s="87">
        <f t="shared" ref="F51" si="8">+F50*(1+J50)</f>
        <v>354444214.99067593</v>
      </c>
      <c r="G51" s="87"/>
      <c r="H51" s="87"/>
      <c r="I51" s="87"/>
      <c r="J51" s="88">
        <f t="shared" si="2"/>
        <v>0.25251059213323362</v>
      </c>
      <c r="K51" s="87"/>
      <c r="L51" s="87">
        <f t="shared" si="3"/>
        <v>37</v>
      </c>
      <c r="M51" s="87"/>
      <c r="N51" s="87"/>
      <c r="O51" s="87"/>
      <c r="P51" s="87">
        <f t="shared" ref="P51" si="9">+P50*(1+T50)</f>
        <v>151260.1525699042</v>
      </c>
      <c r="Q51" s="87"/>
      <c r="R51" s="87"/>
      <c r="S51" s="87"/>
      <c r="T51" s="88">
        <f t="shared" si="5"/>
        <v>1.5558862028208284E-2</v>
      </c>
      <c r="U51" s="239"/>
      <c r="V51" s="10"/>
    </row>
    <row r="52" spans="4:22" x14ac:dyDescent="0.3">
      <c r="D52" s="85">
        <f t="shared" si="0"/>
        <v>43954</v>
      </c>
      <c r="E52" s="86"/>
      <c r="F52" s="87">
        <f t="shared" ref="F52" si="10">+F51*(1+J51)</f>
        <v>443945133.59617066</v>
      </c>
      <c r="G52" s="87"/>
      <c r="H52" s="87"/>
      <c r="I52" s="87"/>
      <c r="J52" s="88">
        <f t="shared" si="2"/>
        <v>0.25251059213323362</v>
      </c>
      <c r="K52" s="87"/>
      <c r="L52" s="87">
        <f t="shared" si="3"/>
        <v>38</v>
      </c>
      <c r="M52" s="87"/>
      <c r="N52" s="87"/>
      <c r="O52" s="87"/>
      <c r="P52" s="87">
        <f t="shared" ref="P52" si="11">+P51*(1+T51)</f>
        <v>153613.58841410506</v>
      </c>
      <c r="Q52" s="87"/>
      <c r="R52" s="87"/>
      <c r="S52" s="87"/>
      <c r="T52" s="88">
        <f t="shared" si="5"/>
        <v>1.5558862028208284E-2</v>
      </c>
      <c r="U52" s="239"/>
      <c r="V52" s="10"/>
    </row>
    <row r="53" spans="4:22" x14ac:dyDescent="0.3">
      <c r="D53" s="85">
        <f t="shared" si="0"/>
        <v>43955</v>
      </c>
      <c r="E53" s="86"/>
      <c r="F53" s="87">
        <f t="shared" ref="F53" si="12">+F52*(1+J52)</f>
        <v>556045982.15520716</v>
      </c>
      <c r="G53" s="87"/>
      <c r="H53" s="87"/>
      <c r="I53" s="87"/>
      <c r="J53" s="88">
        <f t="shared" si="2"/>
        <v>0.25251059213323362</v>
      </c>
      <c r="K53" s="87"/>
      <c r="L53" s="87">
        <f t="shared" si="3"/>
        <v>39</v>
      </c>
      <c r="M53" s="87"/>
      <c r="N53" s="87"/>
      <c r="O53" s="87"/>
      <c r="P53" s="87">
        <f t="shared" ref="P53" si="13">+P52*(1+T52)</f>
        <v>156003.64104189811</v>
      </c>
      <c r="Q53" s="87"/>
      <c r="R53" s="87"/>
      <c r="S53" s="87"/>
      <c r="T53" s="88">
        <f t="shared" si="5"/>
        <v>1.5558862028208284E-2</v>
      </c>
      <c r="U53" s="239"/>
      <c r="V53" s="10"/>
    </row>
    <row r="54" spans="4:22" x14ac:dyDescent="0.3">
      <c r="D54" s="85">
        <f t="shared" si="0"/>
        <v>43956</v>
      </c>
      <c r="E54" s="86"/>
      <c r="F54" s="87">
        <f t="shared" ref="F54" si="14">+F53*(1+J53)</f>
        <v>696453482.36252391</v>
      </c>
      <c r="G54" s="87"/>
      <c r="H54" s="87"/>
      <c r="I54" s="87"/>
      <c r="J54" s="88">
        <f t="shared" si="2"/>
        <v>0.25251059213323362</v>
      </c>
      <c r="K54" s="87"/>
      <c r="L54" s="87">
        <f t="shared" si="3"/>
        <v>40</v>
      </c>
      <c r="M54" s="87"/>
      <c r="N54" s="87"/>
      <c r="O54" s="87"/>
      <c r="P54" s="87">
        <f t="shared" ref="P54" si="15">+P53*(1+T53)</f>
        <v>158430.88016876715</v>
      </c>
      <c r="Q54" s="87"/>
      <c r="R54" s="87"/>
      <c r="S54" s="87"/>
      <c r="T54" s="88">
        <f t="shared" si="5"/>
        <v>1.5558862028208284E-2</v>
      </c>
      <c r="U54" s="239"/>
      <c r="V54" s="10"/>
    </row>
    <row r="55" spans="4:22" x14ac:dyDescent="0.3">
      <c r="D55" s="85">
        <f t="shared" si="0"/>
        <v>43957</v>
      </c>
      <c r="E55" s="86"/>
      <c r="F55" s="87">
        <f t="shared" ref="F55:F59" si="16">+F54*(1+J54)</f>
        <v>872315363.58713734</v>
      </c>
      <c r="G55" s="87"/>
      <c r="H55" s="87"/>
      <c r="I55" s="87"/>
      <c r="J55" s="88">
        <f t="shared" si="2"/>
        <v>0.25251059213323362</v>
      </c>
      <c r="K55" s="87"/>
      <c r="L55" s="87">
        <f t="shared" si="3"/>
        <v>41</v>
      </c>
      <c r="M55" s="87"/>
      <c r="N55" s="87"/>
      <c r="O55" s="87"/>
      <c r="P55" s="87">
        <f t="shared" ref="P55:P59" si="17">+P54*(1+T54)</f>
        <v>160895.88437432059</v>
      </c>
      <c r="Q55" s="87"/>
      <c r="R55" s="87"/>
      <c r="S55" s="87"/>
      <c r="T55" s="88">
        <f t="shared" si="5"/>
        <v>1.5558862028208284E-2</v>
      </c>
      <c r="U55" s="239"/>
      <c r="V55" s="10"/>
    </row>
    <row r="56" spans="4:22" x14ac:dyDescent="0.3">
      <c r="D56" s="85">
        <f t="shared" si="0"/>
        <v>43958</v>
      </c>
      <c r="E56" s="86"/>
      <c r="F56" s="87">
        <f t="shared" si="16"/>
        <v>1092584232.5734422</v>
      </c>
      <c r="G56" s="87"/>
      <c r="H56" s="87"/>
      <c r="I56" s="87"/>
      <c r="J56" s="88">
        <f t="shared" si="2"/>
        <v>0.25251059213323362</v>
      </c>
      <c r="K56" s="87"/>
      <c r="L56" s="87">
        <f t="shared" si="3"/>
        <v>42</v>
      </c>
      <c r="M56" s="87"/>
      <c r="N56" s="87"/>
      <c r="O56" s="87"/>
      <c r="P56" s="87">
        <f t="shared" si="17"/>
        <v>163399.24124020722</v>
      </c>
      <c r="Q56" s="87"/>
      <c r="R56" s="87"/>
      <c r="S56" s="87"/>
      <c r="T56" s="88">
        <f t="shared" si="5"/>
        <v>1.5558862028208284E-2</v>
      </c>
      <c r="U56" s="239"/>
      <c r="V56" s="10"/>
    </row>
    <row r="57" spans="4:22" x14ac:dyDescent="0.3">
      <c r="D57" s="85">
        <f t="shared" si="0"/>
        <v>43959</v>
      </c>
      <c r="E57" s="86"/>
      <c r="F57" s="87">
        <f t="shared" si="16"/>
        <v>1368473324.0959966</v>
      </c>
      <c r="G57" s="87"/>
      <c r="H57" s="87"/>
      <c r="I57" s="87"/>
      <c r="J57" s="88">
        <f t="shared" si="2"/>
        <v>0.25251059213323362</v>
      </c>
      <c r="K57" s="87"/>
      <c r="L57" s="87">
        <f t="shared" si="3"/>
        <v>43</v>
      </c>
      <c r="M57" s="87"/>
      <c r="N57" s="87"/>
      <c r="O57" s="87"/>
      <c r="P57" s="87">
        <f t="shared" si="17"/>
        <v>165941.54749017753</v>
      </c>
      <c r="Q57" s="87"/>
      <c r="R57" s="87"/>
      <c r="S57" s="87"/>
      <c r="T57" s="88">
        <f t="shared" si="5"/>
        <v>1.5558862028208284E-2</v>
      </c>
      <c r="U57" s="239"/>
      <c r="V57" s="10"/>
    </row>
    <row r="58" spans="4:22" x14ac:dyDescent="0.3">
      <c r="D58" s="85">
        <f t="shared" si="0"/>
        <v>43960</v>
      </c>
      <c r="E58" s="86"/>
      <c r="F58" s="87">
        <f t="shared" si="16"/>
        <v>1714027333.4820111</v>
      </c>
      <c r="G58" s="87"/>
      <c r="H58" s="87"/>
      <c r="I58" s="87"/>
      <c r="J58" s="88">
        <f t="shared" si="2"/>
        <v>0.25251059213323362</v>
      </c>
      <c r="K58" s="87"/>
      <c r="L58" s="87">
        <f t="shared" si="3"/>
        <v>44</v>
      </c>
      <c r="M58" s="87"/>
      <c r="N58" s="87"/>
      <c r="O58" s="87"/>
      <c r="P58" s="87">
        <f t="shared" si="17"/>
        <v>168523.4091323246</v>
      </c>
      <c r="Q58" s="87"/>
      <c r="R58" s="87"/>
      <c r="S58" s="87"/>
      <c r="T58" s="88">
        <f t="shared" si="5"/>
        <v>1.5558862028208284E-2</v>
      </c>
      <c r="U58" s="239"/>
      <c r="V58" s="10"/>
    </row>
    <row r="59" spans="4:22" x14ac:dyDescent="0.3">
      <c r="D59" s="85">
        <f t="shared" si="0"/>
        <v>43961</v>
      </c>
      <c r="E59" s="86"/>
      <c r="F59" s="87">
        <f t="shared" si="16"/>
        <v>2146837390.392101</v>
      </c>
      <c r="G59" s="87"/>
      <c r="H59" s="87"/>
      <c r="I59" s="87"/>
      <c r="J59" s="88">
        <f t="shared" si="2"/>
        <v>0.25251059213323362</v>
      </c>
      <c r="K59" s="87"/>
      <c r="L59" s="87">
        <f t="shared" si="3"/>
        <v>45</v>
      </c>
      <c r="M59" s="87"/>
      <c r="N59" s="87"/>
      <c r="O59" s="87"/>
      <c r="P59" s="87">
        <f t="shared" si="17"/>
        <v>171145.44160353774</v>
      </c>
      <c r="Q59" s="87"/>
      <c r="R59" s="87"/>
      <c r="S59" s="87"/>
      <c r="T59" s="88">
        <f t="shared" si="5"/>
        <v>1.5558862028208284E-2</v>
      </c>
      <c r="U59" s="239"/>
      <c r="V59" s="10"/>
    </row>
    <row r="60" spans="4:22" ht="15" thickBot="1" x14ac:dyDescent="0.35">
      <c r="D60" s="289">
        <f t="shared" si="0"/>
        <v>43962</v>
      </c>
      <c r="E60" s="89"/>
      <c r="F60" s="90"/>
      <c r="G60" s="90"/>
      <c r="H60" s="90"/>
      <c r="I60" s="90"/>
      <c r="J60" s="91"/>
      <c r="K60" s="90"/>
      <c r="L60" s="90"/>
      <c r="M60" s="90"/>
      <c r="N60" s="90"/>
      <c r="O60" s="90"/>
      <c r="P60" s="90"/>
      <c r="Q60" s="90"/>
      <c r="R60" s="90"/>
      <c r="S60" s="90"/>
      <c r="T60" s="91"/>
      <c r="U60" s="240"/>
      <c r="V60" s="10"/>
    </row>
    <row r="61" spans="4:22" x14ac:dyDescent="0.3">
      <c r="D61" s="93"/>
      <c r="F61" s="59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0"/>
      <c r="U61" s="10"/>
      <c r="V61" s="10"/>
    </row>
    <row r="62" spans="4:22" x14ac:dyDescent="0.3">
      <c r="D62" s="1"/>
      <c r="F62" s="59"/>
    </row>
    <row r="69" spans="6:6" x14ac:dyDescent="0.3">
      <c r="F69" s="1">
        <v>3797000</v>
      </c>
    </row>
    <row r="71" spans="6:6" x14ac:dyDescent="0.3">
      <c r="F71" s="1">
        <f>310*50</f>
        <v>15500</v>
      </c>
    </row>
    <row r="73" spans="6:6" x14ac:dyDescent="0.3">
      <c r="F73" s="287">
        <f>+F71/F69</f>
        <v>4.0821701343165661E-3</v>
      </c>
    </row>
  </sheetData>
  <mergeCells count="4">
    <mergeCell ref="Y14:AC14"/>
    <mergeCell ref="B1:D1"/>
    <mergeCell ref="B2:D2"/>
    <mergeCell ref="D12:U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Main Table</vt:lpstr>
      <vt:lpstr>Hot Spots</vt:lpstr>
      <vt:lpstr>ONC</vt:lpstr>
      <vt:lpstr>Other</vt:lpstr>
      <vt:lpstr>'Main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mkeresman</dc:creator>
  <cp:lastModifiedBy>mkeresman</cp:lastModifiedBy>
  <cp:lastPrinted>2020-03-30T14:27:53Z</cp:lastPrinted>
  <dcterms:created xsi:type="dcterms:W3CDTF">2020-03-28T00:34:23Z</dcterms:created>
  <dcterms:modified xsi:type="dcterms:W3CDTF">2020-05-13T00:33:03Z</dcterms:modified>
</cp:coreProperties>
</file>