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C13BD59B-649E-463C-96D5-CD5554203686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69" i="2" l="1"/>
  <c r="W70" i="2" s="1"/>
  <c r="W71" i="2" s="1"/>
  <c r="W72" i="2" s="1"/>
  <c r="W68" i="2"/>
  <c r="C68" i="2"/>
  <c r="C69" i="2" s="1"/>
  <c r="C70" i="2" s="1"/>
  <c r="C71" i="2" s="1"/>
  <c r="C72" i="2" s="1"/>
  <c r="AU67" i="1"/>
  <c r="D94" i="1" l="1"/>
  <c r="S74" i="2"/>
  <c r="R74" i="2"/>
  <c r="Q74" i="2"/>
  <c r="P74" i="2"/>
  <c r="O74" i="2"/>
  <c r="N74" i="2"/>
  <c r="L74" i="2"/>
  <c r="J74" i="2"/>
  <c r="I74" i="2"/>
  <c r="H74" i="2"/>
  <c r="G74" i="2"/>
  <c r="E74" i="2"/>
  <c r="S67" i="2"/>
  <c r="K67" i="2"/>
  <c r="K74" i="2" s="1"/>
  <c r="BB72" i="1"/>
  <c r="AZ72" i="1"/>
  <c r="AX72" i="1"/>
  <c r="AV72" i="1"/>
  <c r="AT72" i="1"/>
  <c r="AS72" i="1"/>
  <c r="AR72" i="1"/>
  <c r="AM72" i="1"/>
  <c r="AK72" i="1"/>
  <c r="AI72" i="1"/>
  <c r="AG72" i="1"/>
  <c r="AF72" i="1"/>
  <c r="AE72" i="1"/>
  <c r="AD72" i="1"/>
  <c r="AC72" i="1"/>
  <c r="Z72" i="1"/>
  <c r="X72" i="1"/>
  <c r="V72" i="1"/>
  <c r="T72" i="1"/>
  <c r="S72" i="1"/>
  <c r="R72" i="1"/>
  <c r="Q72" i="1"/>
  <c r="O72" i="1"/>
  <c r="M72" i="1"/>
  <c r="L72" i="1"/>
  <c r="K72" i="1"/>
  <c r="I72" i="1"/>
  <c r="BB71" i="1"/>
  <c r="AZ71" i="1"/>
  <c r="AX71" i="1"/>
  <c r="AV71" i="1"/>
  <c r="AT71" i="1"/>
  <c r="AS71" i="1"/>
  <c r="AR71" i="1"/>
  <c r="AM71" i="1"/>
  <c r="AK71" i="1"/>
  <c r="AI71" i="1"/>
  <c r="AG71" i="1"/>
  <c r="AF71" i="1"/>
  <c r="AE71" i="1"/>
  <c r="AD71" i="1"/>
  <c r="AC71" i="1"/>
  <c r="Z71" i="1"/>
  <c r="X71" i="1"/>
  <c r="V71" i="1"/>
  <c r="T71" i="1"/>
  <c r="S71" i="1"/>
  <c r="R71" i="1"/>
  <c r="Q71" i="1"/>
  <c r="O71" i="1"/>
  <c r="M71" i="1"/>
  <c r="L71" i="1"/>
  <c r="K71" i="1"/>
  <c r="I71" i="1"/>
  <c r="D72" i="1"/>
  <c r="D71" i="1"/>
  <c r="AU66" i="1"/>
  <c r="AQ66" i="1"/>
  <c r="AO66" i="1"/>
  <c r="AB66" i="1"/>
  <c r="AH66" i="1" s="1"/>
  <c r="W21" i="3"/>
  <c r="AQ71" i="1" l="1"/>
  <c r="AH71" i="1"/>
  <c r="AB71" i="1"/>
  <c r="AU71" i="1"/>
  <c r="U67" i="2"/>
  <c r="M67" i="2"/>
  <c r="M74" i="2" s="1"/>
  <c r="AW66" i="1"/>
  <c r="S66" i="2"/>
  <c r="AW71" i="1" l="1"/>
  <c r="K66" i="2"/>
  <c r="Q66" i="2" s="1"/>
  <c r="AU65" i="1"/>
  <c r="AU72" i="1" s="1"/>
  <c r="AQ65" i="1"/>
  <c r="AQ72" i="1" s="1"/>
  <c r="AO65" i="1"/>
  <c r="AB65" i="1"/>
  <c r="W20" i="3"/>
  <c r="AH65" i="1" l="1"/>
  <c r="AH72" i="1" s="1"/>
  <c r="AB72" i="1"/>
  <c r="U66" i="2"/>
  <c r="M66" i="2"/>
  <c r="AW65" i="1"/>
  <c r="AW72" i="1" s="1"/>
  <c r="L87" i="3" l="1"/>
  <c r="L84" i="3"/>
  <c r="S65" i="2"/>
  <c r="I87" i="3" l="1"/>
  <c r="I84" i="3"/>
  <c r="I76" i="3"/>
  <c r="I78" i="3" s="1"/>
  <c r="I75" i="3"/>
  <c r="AU64" i="1"/>
  <c r="AQ64" i="1"/>
  <c r="AO64" i="1"/>
  <c r="AB64" i="1"/>
  <c r="AH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AW64" i="1"/>
  <c r="U65" i="2"/>
  <c r="M65" i="2"/>
  <c r="S64" i="2"/>
  <c r="N79" i="3" l="1"/>
  <c r="N80" i="3" s="1"/>
  <c r="I86" i="3"/>
  <c r="L86" i="3" s="1"/>
  <c r="K64" i="2"/>
  <c r="Q64" i="2" s="1"/>
  <c r="AU63" i="1"/>
  <c r="AQ63" i="1"/>
  <c r="AO63" i="1"/>
  <c r="AB63" i="1"/>
  <c r="AH63" i="1" s="1"/>
  <c r="W18" i="3"/>
  <c r="S18" i="3"/>
  <c r="I88" i="3" l="1"/>
  <c r="U64" i="2"/>
  <c r="M64" i="2"/>
  <c r="AW63" i="1"/>
  <c r="L95" i="3" l="1"/>
  <c r="L88" i="3"/>
  <c r="L94" i="3"/>
  <c r="S63" i="2"/>
  <c r="AU62" i="1"/>
  <c r="AQ62" i="1"/>
  <c r="AO62" i="1"/>
  <c r="AB62" i="1"/>
  <c r="AH62" i="1" s="1"/>
  <c r="K63" i="2"/>
  <c r="M63" i="2" s="1"/>
  <c r="W17" i="3"/>
  <c r="S17" i="3"/>
  <c r="AW62" i="1" l="1"/>
  <c r="U63" i="2"/>
  <c r="Q63" i="2"/>
  <c r="L55" i="7"/>
  <c r="L56" i="7" s="1"/>
  <c r="L57" i="7" s="1"/>
  <c r="L58" i="7" s="1"/>
  <c r="L59" i="7" s="1"/>
  <c r="S62" i="2"/>
  <c r="AU61" i="1" l="1"/>
  <c r="AQ61" i="1"/>
  <c r="AO61" i="1"/>
  <c r="AB61" i="1"/>
  <c r="AH61" i="1" s="1"/>
  <c r="K62" i="2"/>
  <c r="Q62" i="2" s="1"/>
  <c r="W16" i="3"/>
  <c r="S16" i="3"/>
  <c r="AW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AU60" i="1"/>
  <c r="AQ60" i="1"/>
  <c r="AO60" i="1"/>
  <c r="AB60" i="1"/>
  <c r="I57" i="3"/>
  <c r="I54" i="3"/>
  <c r="P62" i="3" s="1"/>
  <c r="L54" i="3" l="1"/>
  <c r="L57" i="3"/>
  <c r="AH60" i="1"/>
  <c r="AW60" i="1"/>
  <c r="S60" i="2"/>
  <c r="AO59" i="1"/>
  <c r="T74" i="2"/>
  <c r="S59" i="2"/>
  <c r="K60" i="2"/>
  <c r="AU59" i="1"/>
  <c r="AQ59" i="1"/>
  <c r="AB59" i="1"/>
  <c r="AH59" i="1" s="1"/>
  <c r="W14" i="3"/>
  <c r="U60" i="2" l="1"/>
  <c r="M60" i="2"/>
  <c r="AW59" i="1"/>
  <c r="D55" i="7"/>
  <c r="D56" i="7" s="1"/>
  <c r="D57" i="7" s="1"/>
  <c r="D58" i="7" s="1"/>
  <c r="D59" i="7" s="1"/>
  <c r="D60" i="7" s="1"/>
  <c r="K59" i="2"/>
  <c r="M59" i="2" s="1"/>
  <c r="W13" i="3"/>
  <c r="AU58" i="1"/>
  <c r="AQ58" i="1"/>
  <c r="AB58" i="1"/>
  <c r="AH58" i="1" s="1"/>
  <c r="U59" i="2" l="1"/>
  <c r="AW58" i="1"/>
  <c r="S58" i="2"/>
  <c r="Y11" i="3" l="1"/>
  <c r="Y10" i="3"/>
  <c r="Y9" i="3"/>
  <c r="Y8" i="3"/>
  <c r="Y7" i="3"/>
  <c r="K58" i="2" l="1"/>
  <c r="AU57" i="1"/>
  <c r="AQ57" i="1"/>
  <c r="AB57" i="1"/>
  <c r="AH57" i="1" s="1"/>
  <c r="M58" i="2" l="1"/>
  <c r="U58" i="2"/>
  <c r="AW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AU56" i="1"/>
  <c r="AQ56" i="1"/>
  <c r="AB56" i="1"/>
  <c r="AH56" i="1" s="1"/>
  <c r="I58" i="3" l="1"/>
  <c r="P58" i="3" s="1"/>
  <c r="L56" i="3"/>
  <c r="N49" i="3"/>
  <c r="I50" i="3"/>
  <c r="U57" i="2"/>
  <c r="AW56" i="1"/>
  <c r="S56" i="2"/>
  <c r="L53" i="7"/>
  <c r="K56" i="2"/>
  <c r="M56" i="2" s="1"/>
  <c r="AU55" i="1"/>
  <c r="AQ55" i="1"/>
  <c r="AB55" i="1"/>
  <c r="AH55" i="1" s="1"/>
  <c r="L65" i="3" l="1"/>
  <c r="L64" i="3"/>
  <c r="L58" i="3"/>
  <c r="N50" i="3"/>
  <c r="U56" i="2"/>
  <c r="AW55" i="1"/>
  <c r="Q48" i="1"/>
  <c r="S55" i="2"/>
  <c r="L52" i="7"/>
  <c r="K55" i="2"/>
  <c r="U55" i="2" s="1"/>
  <c r="AU54" i="1"/>
  <c r="AQ54" i="1"/>
  <c r="AB54" i="1"/>
  <c r="AH54" i="1" s="1"/>
  <c r="M55" i="2" l="1"/>
  <c r="AW54" i="1"/>
  <c r="S54" i="2"/>
  <c r="L51" i="7" l="1"/>
  <c r="K54" i="2"/>
  <c r="M54" i="2" s="1"/>
  <c r="AU53" i="1"/>
  <c r="AQ53" i="1"/>
  <c r="AB53" i="1"/>
  <c r="AH53" i="1" s="1"/>
  <c r="F73" i="7"/>
  <c r="F71" i="7"/>
  <c r="S53" i="2"/>
  <c r="L50" i="7"/>
  <c r="U54" i="2" l="1"/>
  <c r="AW53" i="1"/>
  <c r="K53" i="2"/>
  <c r="M53" i="2" s="1"/>
  <c r="AU52" i="1"/>
  <c r="AQ52" i="1"/>
  <c r="AB52" i="1"/>
  <c r="AH52" i="1" s="1"/>
  <c r="U53" i="2" l="1"/>
  <c r="AW52" i="1"/>
  <c r="G46" i="2"/>
  <c r="AO8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BJ13" i="1" l="1"/>
  <c r="AN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AU51" i="1"/>
  <c r="AQ51" i="1"/>
  <c r="AB51" i="1"/>
  <c r="AH51" i="1" s="1"/>
  <c r="BJ14" i="1" l="1"/>
  <c r="AN13" i="1"/>
  <c r="AH29" i="2"/>
  <c r="AJ29" i="2" s="1"/>
  <c r="AH28" i="2"/>
  <c r="AJ28" i="2" s="1"/>
  <c r="AH27" i="2"/>
  <c r="AW51" i="1"/>
  <c r="AU50" i="1"/>
  <c r="AQ50" i="1"/>
  <c r="AB50" i="1"/>
  <c r="AH50" i="1" s="1"/>
  <c r="BJ15" i="1" l="1"/>
  <c r="AN14" i="1"/>
  <c r="AJ27" i="2"/>
  <c r="AH31" i="2"/>
  <c r="AW50" i="1"/>
  <c r="BJ16" i="1" l="1"/>
  <c r="AN15" i="1"/>
  <c r="AJ31" i="2"/>
  <c r="AH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20" i="1"/>
  <c r="B123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BA40" i="1" s="1"/>
  <c r="AN39" i="1"/>
  <c r="AU28" i="1"/>
  <c r="AQ28" i="1"/>
  <c r="AB28" i="1"/>
  <c r="AH28" i="1" s="1"/>
  <c r="BJ41" i="1" l="1"/>
  <c r="BA41" i="1" s="1"/>
  <c r="AN40" i="1"/>
  <c r="AU27" i="1"/>
  <c r="AB27" i="1"/>
  <c r="AH27" i="1" s="1"/>
  <c r="Q25" i="1"/>
  <c r="AU26" i="1"/>
  <c r="AB26" i="1"/>
  <c r="AH26" i="1" s="1"/>
  <c r="BJ42" i="1" l="1"/>
  <c r="BA42" i="1" s="1"/>
  <c r="AN41" i="1"/>
  <c r="Q24" i="1"/>
  <c r="Q23" i="1"/>
  <c r="Q22" i="1"/>
  <c r="Q21" i="1"/>
  <c r="Q20" i="1"/>
  <c r="Q17" i="1"/>
  <c r="Q13" i="1"/>
  <c r="Q12" i="1"/>
  <c r="Q10" i="1"/>
  <c r="BJ43" i="1" l="1"/>
  <c r="BA43" i="1" s="1"/>
  <c r="AN42" i="1"/>
  <c r="AU24" i="1"/>
  <c r="AS24" i="1"/>
  <c r="BJ44" i="1" l="1"/>
  <c r="BA44" i="1" s="1"/>
  <c r="AN43" i="1"/>
  <c r="BC24" i="1"/>
  <c r="AB25" i="1"/>
  <c r="AH25" i="1" s="1"/>
  <c r="AU25" i="1"/>
  <c r="AS25" i="1"/>
  <c r="AS26" i="1" s="1"/>
  <c r="AQ27" i="1" s="1"/>
  <c r="BJ45" i="1" l="1"/>
  <c r="BA45" i="1" s="1"/>
  <c r="AN44" i="1"/>
  <c r="BC25" i="1"/>
  <c r="BE24" i="1"/>
  <c r="AB24" i="1"/>
  <c r="AH24" i="1" s="1"/>
  <c r="D23" i="1"/>
  <c r="AB23" i="1"/>
  <c r="AH23" i="1" s="1"/>
  <c r="BJ46" i="1" l="1"/>
  <c r="BA46" i="1" s="1"/>
  <c r="AN45" i="1"/>
  <c r="BE25" i="1"/>
  <c r="BC26" i="1"/>
  <c r="BJ47" i="1" l="1"/>
  <c r="BA47" i="1" s="1"/>
  <c r="AN46" i="1"/>
  <c r="BE26" i="1"/>
  <c r="BC27" i="1"/>
  <c r="AB22" i="1"/>
  <c r="AH22" i="1" s="1"/>
  <c r="BJ48" i="1" l="1"/>
  <c r="BA48" i="1" s="1"/>
  <c r="AN47" i="1"/>
  <c r="BE27" i="1"/>
  <c r="BC28" i="1"/>
  <c r="BJ49" i="1" l="1"/>
  <c r="BA49" i="1" s="1"/>
  <c r="AN48" i="1"/>
  <c r="BE28" i="1"/>
  <c r="BC29" i="1"/>
  <c r="AB21" i="1"/>
  <c r="AH21" i="1" s="1"/>
  <c r="BJ50" i="1" l="1"/>
  <c r="BA50" i="1" s="1"/>
  <c r="AN49" i="1"/>
  <c r="BE29" i="1"/>
  <c r="BC30" i="1"/>
  <c r="AB20" i="1"/>
  <c r="AH20" i="1" s="1"/>
  <c r="AB19" i="1"/>
  <c r="AH19" i="1" s="1"/>
  <c r="AB18" i="1"/>
  <c r="AH18" i="1" s="1"/>
  <c r="BJ51" i="1" l="1"/>
  <c r="BA51" i="1" s="1"/>
  <c r="AN50" i="1"/>
  <c r="BE30" i="1"/>
  <c r="BC31" i="1"/>
  <c r="AB17" i="1"/>
  <c r="BJ52" i="1" l="1"/>
  <c r="BA52" i="1" s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BA53" i="1" s="1"/>
  <c r="AN52" i="1"/>
  <c r="BE32" i="1"/>
  <c r="BC33" i="1"/>
  <c r="H10" i="1"/>
  <c r="J10" i="1"/>
  <c r="U11" i="1"/>
  <c r="Y11" i="1" s="1"/>
  <c r="BJ54" i="1" l="1"/>
  <c r="BA54" i="1" s="1"/>
  <c r="AN53" i="1"/>
  <c r="J11" i="1"/>
  <c r="N10" i="1"/>
  <c r="BE33" i="1"/>
  <c r="BC34" i="1"/>
  <c r="H11" i="1"/>
  <c r="W10" i="1"/>
  <c r="U12" i="1"/>
  <c r="Y12" i="1" s="1"/>
  <c r="BJ55" i="1" l="1"/>
  <c r="BA55" i="1" s="1"/>
  <c r="AN54" i="1"/>
  <c r="W11" i="1"/>
  <c r="N11" i="1"/>
  <c r="J12" i="1"/>
  <c r="H12" i="1"/>
  <c r="W12" i="1" s="1"/>
  <c r="BE34" i="1"/>
  <c r="BC35" i="1"/>
  <c r="U13" i="1"/>
  <c r="Y13" i="1" s="1"/>
  <c r="BJ56" i="1" l="1"/>
  <c r="BA56" i="1" s="1"/>
  <c r="AN55" i="1"/>
  <c r="AL12" i="1"/>
  <c r="N12" i="1"/>
  <c r="J13" i="1"/>
  <c r="H13" i="1"/>
  <c r="BE35" i="1"/>
  <c r="BC36" i="1"/>
  <c r="U14" i="1"/>
  <c r="Y14" i="1" s="1"/>
  <c r="BJ57" i="1" l="1"/>
  <c r="BA57" i="1" s="1"/>
  <c r="AN56" i="1"/>
  <c r="AL13" i="1"/>
  <c r="N13" i="1"/>
  <c r="J14" i="1"/>
  <c r="H14" i="1"/>
  <c r="W13" i="1"/>
  <c r="BE36" i="1"/>
  <c r="BC37" i="1"/>
  <c r="U15" i="1"/>
  <c r="Y15" i="1" s="1"/>
  <c r="BJ58" i="1" l="1"/>
  <c r="BA58" i="1" s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BA59" i="1" s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W15" i="1"/>
  <c r="BE38" i="1"/>
  <c r="BC39" i="1"/>
  <c r="U17" i="1"/>
  <c r="Y17" i="1" s="1"/>
  <c r="BJ60" i="1" l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BJ61" i="1" l="1"/>
  <c r="BJ62" i="1" s="1"/>
  <c r="BA60" i="1"/>
  <c r="AN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E40" i="1"/>
  <c r="BC41" i="1"/>
  <c r="U19" i="1"/>
  <c r="Y19" i="1" s="1"/>
  <c r="W18" i="1"/>
  <c r="AL18" i="1"/>
  <c r="J19" i="1"/>
  <c r="H19" i="1"/>
  <c r="N19" i="1" s="1"/>
  <c r="BJ63" i="1" l="1"/>
  <c r="BJ64" i="1" s="1"/>
  <c r="BA62" i="1"/>
  <c r="AN62" i="1"/>
  <c r="AN61" i="1"/>
  <c r="BA61" i="1"/>
  <c r="U20" i="1"/>
  <c r="BE41" i="1"/>
  <c r="BC42" i="1"/>
  <c r="H20" i="1"/>
  <c r="N20" i="1" s="1"/>
  <c r="J20" i="1"/>
  <c r="AL19" i="1"/>
  <c r="W19" i="1"/>
  <c r="AN64" i="1" l="1"/>
  <c r="BJ65" i="1"/>
  <c r="BA64" i="1"/>
  <c r="AN63" i="1"/>
  <c r="BA63" i="1"/>
  <c r="U21" i="1"/>
  <c r="Y21" i="1" s="1"/>
  <c r="Y20" i="1"/>
  <c r="BE42" i="1"/>
  <c r="BC43" i="1"/>
  <c r="W20" i="1"/>
  <c r="AL20" i="1"/>
  <c r="J21" i="1"/>
  <c r="H21" i="1"/>
  <c r="N21" i="1" s="1"/>
  <c r="BJ66" i="1" l="1"/>
  <c r="AN65" i="1"/>
  <c r="BA65" i="1"/>
  <c r="U22" i="1"/>
  <c r="Y22" i="1" s="1"/>
  <c r="W21" i="1"/>
  <c r="BE43" i="1"/>
  <c r="BC44" i="1"/>
  <c r="U23" i="1"/>
  <c r="Y23" i="1" s="1"/>
  <c r="J22" i="1"/>
  <c r="H22" i="1"/>
  <c r="N22" i="1" s="1"/>
  <c r="AL21" i="1"/>
  <c r="BJ67" i="1" l="1"/>
  <c r="BJ68" i="1" s="1"/>
  <c r="BJ69" i="1" s="1"/>
  <c r="BA66" i="1"/>
  <c r="AN66" i="1"/>
  <c r="W22" i="1"/>
  <c r="U24" i="1"/>
  <c r="BE44" i="1"/>
  <c r="BC45" i="1"/>
  <c r="AL22" i="1"/>
  <c r="J23" i="1"/>
  <c r="H23" i="1"/>
  <c r="N23" i="1" s="1"/>
  <c r="AN72" i="1" l="1"/>
  <c r="AN71" i="1"/>
  <c r="BA72" i="1"/>
  <c r="BA71" i="1"/>
  <c r="U25" i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BE46" i="1"/>
  <c r="BC47" i="1"/>
  <c r="AL24" i="1"/>
  <c r="J25" i="1"/>
  <c r="H25" i="1"/>
  <c r="N25" i="1" s="1"/>
  <c r="W24" i="1"/>
  <c r="U28" i="1" l="1"/>
  <c r="Y28" i="1" s="1"/>
  <c r="BE47" i="1"/>
  <c r="BC48" i="1"/>
  <c r="H26" i="1"/>
  <c r="N26" i="1" s="1"/>
  <c r="J26" i="1"/>
  <c r="AL25" i="1"/>
  <c r="W25" i="1"/>
  <c r="U29" i="1" l="1"/>
  <c r="Y29" i="1" s="1"/>
  <c r="BE48" i="1"/>
  <c r="BC49" i="1"/>
  <c r="H27" i="1"/>
  <c r="N27" i="1" s="1"/>
  <c r="J27" i="1"/>
  <c r="AL26" i="1"/>
  <c r="W26" i="1"/>
  <c r="U30" i="1" l="1"/>
  <c r="Y30" i="1" s="1"/>
  <c r="BE49" i="1"/>
  <c r="BC50" i="1"/>
  <c r="J28" i="1"/>
  <c r="H28" i="1"/>
  <c r="N28" i="1" s="1"/>
  <c r="AL27" i="1"/>
  <c r="W27" i="1"/>
  <c r="U31" i="1" l="1"/>
  <c r="Y31" i="1" s="1"/>
  <c r="BE50" i="1"/>
  <c r="BC51" i="1"/>
  <c r="H29" i="1"/>
  <c r="N29" i="1" s="1"/>
  <c r="J29" i="1"/>
  <c r="AL28" i="1"/>
  <c r="W28" i="1"/>
  <c r="U32" i="1" l="1"/>
  <c r="Y32" i="1" s="1"/>
  <c r="BE51" i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U40" i="1"/>
  <c r="Y40" i="1" s="1"/>
  <c r="J38" i="1"/>
  <c r="H38" i="1"/>
  <c r="N38" i="1" s="1"/>
  <c r="AL37" i="1"/>
  <c r="W37" i="1"/>
  <c r="BE59" i="1" l="1"/>
  <c r="BC60" i="1"/>
  <c r="U41" i="1"/>
  <c r="Y41" i="1" s="1"/>
  <c r="AL38" i="1"/>
  <c r="J39" i="1"/>
  <c r="H39" i="1"/>
  <c r="N39" i="1" s="1"/>
  <c r="W38" i="1"/>
  <c r="BE60" i="1" l="1"/>
  <c r="BC61" i="1"/>
  <c r="H40" i="1"/>
  <c r="N40" i="1" s="1"/>
  <c r="U42" i="1"/>
  <c r="Y42" i="1" s="1"/>
  <c r="J40" i="1"/>
  <c r="AL39" i="1"/>
  <c r="W39" i="1"/>
  <c r="BE61" i="1" l="1"/>
  <c r="BC62" i="1"/>
  <c r="U43" i="1"/>
  <c r="Y43" i="1" s="1"/>
  <c r="J41" i="1"/>
  <c r="H41" i="1"/>
  <c r="N41" i="1" s="1"/>
  <c r="AL40" i="1"/>
  <c r="W40" i="1"/>
  <c r="BE62" i="1" l="1"/>
  <c r="BC63" i="1"/>
  <c r="U44" i="1"/>
  <c r="Y44" i="1" s="1"/>
  <c r="J42" i="1"/>
  <c r="H42" i="1"/>
  <c r="N42" i="1" s="1"/>
  <c r="AL41" i="1"/>
  <c r="W41" i="1"/>
  <c r="BC64" i="1" l="1"/>
  <c r="BE63" i="1"/>
  <c r="U45" i="1"/>
  <c r="Y45" i="1" s="1"/>
  <c r="J43" i="1"/>
  <c r="H43" i="1"/>
  <c r="N43" i="1" s="1"/>
  <c r="AL42" i="1"/>
  <c r="W42" i="1"/>
  <c r="BC65" i="1" l="1"/>
  <c r="BE64" i="1"/>
  <c r="U46" i="1"/>
  <c r="Y46" i="1" s="1"/>
  <c r="J44" i="1"/>
  <c r="H44" i="1"/>
  <c r="AL43" i="1"/>
  <c r="W43" i="1"/>
  <c r="BC66" i="1" l="1"/>
  <c r="BC72" i="1" s="1"/>
  <c r="BE65" i="1"/>
  <c r="N44" i="1"/>
  <c r="U47" i="1"/>
  <c r="Y47" i="1" s="1"/>
  <c r="AL44" i="1"/>
  <c r="J45" i="1"/>
  <c r="W44" i="1"/>
  <c r="H45" i="1"/>
  <c r="N45" i="1" s="1"/>
  <c r="BE66" i="1" l="1"/>
  <c r="BC71" i="1"/>
  <c r="H46" i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U51" i="1"/>
  <c r="H50" i="1"/>
  <c r="N50" i="1" s="1"/>
  <c r="AL49" i="1"/>
  <c r="W49" i="1"/>
  <c r="N49" i="1" l="1"/>
  <c r="J50" i="1"/>
  <c r="U52" i="1"/>
  <c r="Y51" i="1"/>
  <c r="J51" i="1"/>
  <c r="H51" i="1"/>
  <c r="AL50" i="1"/>
  <c r="W50" i="1"/>
  <c r="N51" i="1" l="1"/>
  <c r="I20" i="3"/>
  <c r="U53" i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J54" i="1"/>
  <c r="W53" i="1"/>
  <c r="N54" i="1" l="1"/>
  <c r="Y55" i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U60" i="1" s="1"/>
  <c r="AL57" i="1"/>
  <c r="N57" i="1"/>
  <c r="J58" i="1"/>
  <c r="H58" i="1"/>
  <c r="W58" i="1" s="1"/>
  <c r="U61" i="1" l="1"/>
  <c r="Y60" i="1"/>
  <c r="Y59" i="1"/>
  <c r="AL58" i="1"/>
  <c r="J59" i="1"/>
  <c r="H59" i="1"/>
  <c r="N58" i="1"/>
  <c r="U62" i="1" l="1"/>
  <c r="Y61" i="1"/>
  <c r="J60" i="1"/>
  <c r="H60" i="1"/>
  <c r="AL59" i="1"/>
  <c r="N59" i="1"/>
  <c r="W59" i="1"/>
  <c r="Y12" i="3"/>
  <c r="Y13" i="3"/>
  <c r="Y62" i="1" l="1"/>
  <c r="U63" i="1"/>
  <c r="J61" i="1"/>
  <c r="H61" i="1"/>
  <c r="AL60" i="1"/>
  <c r="N60" i="1"/>
  <c r="W60" i="1"/>
  <c r="U64" i="1" l="1"/>
  <c r="U65" i="1" s="1"/>
  <c r="H62" i="1"/>
  <c r="J62" i="1"/>
  <c r="Y63" i="1"/>
  <c r="AL61" i="1"/>
  <c r="N61" i="1"/>
  <c r="W61" i="1"/>
  <c r="Y65" i="1" l="1"/>
  <c r="U66" i="1"/>
  <c r="U72" i="1" s="1"/>
  <c r="Y64" i="1"/>
  <c r="AL62" i="1"/>
  <c r="H63" i="1"/>
  <c r="J63" i="1"/>
  <c r="N62" i="1"/>
  <c r="W62" i="1"/>
  <c r="Y66" i="1" l="1"/>
  <c r="U71" i="1"/>
  <c r="J64" i="1"/>
  <c r="H64" i="1"/>
  <c r="AL63" i="1"/>
  <c r="N63" i="1"/>
  <c r="W63" i="1"/>
  <c r="Y17" i="3"/>
  <c r="Y18" i="3"/>
  <c r="Y15" i="3"/>
  <c r="Y16" i="3"/>
  <c r="Y14" i="3"/>
  <c r="AJ21" i="2" l="1"/>
  <c r="I21" i="3"/>
  <c r="H65" i="1"/>
  <c r="J65" i="1"/>
  <c r="Y72" i="1"/>
  <c r="Y71" i="1"/>
  <c r="AL64" i="1"/>
  <c r="N64" i="1"/>
  <c r="W64" i="1"/>
  <c r="W65" i="1" l="1"/>
  <c r="J66" i="1"/>
  <c r="J71" i="1" s="1"/>
  <c r="T14" i="7" s="1"/>
  <c r="H66" i="1"/>
  <c r="H72" i="1"/>
  <c r="AL65" i="1"/>
  <c r="N65" i="1"/>
  <c r="I23" i="3"/>
  <c r="I25" i="3" s="1"/>
  <c r="I27" i="3" s="1"/>
  <c r="I35" i="3"/>
  <c r="J72" i="1" l="1"/>
  <c r="AL66" i="1"/>
  <c r="H71" i="1"/>
  <c r="N66" i="1"/>
  <c r="N71" i="1" s="1"/>
  <c r="W66" i="1"/>
  <c r="W71" i="1" s="1"/>
  <c r="I34" i="3"/>
  <c r="N27" i="3"/>
  <c r="N28" i="3" s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Y20" i="3"/>
  <c r="Y19" i="3"/>
  <c r="AF21" i="2" l="1"/>
  <c r="I32" i="3"/>
  <c r="W72" i="1"/>
  <c r="AL72" i="1"/>
  <c r="AL71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N72" i="1"/>
  <c r="I36" i="3" l="1"/>
  <c r="L32" i="3"/>
  <c r="I28" i="3"/>
  <c r="L35" i="3"/>
  <c r="L34" i="3"/>
  <c r="U21" i="3" l="1"/>
  <c r="Y21" i="3" s="1"/>
  <c r="L36" i="3"/>
  <c r="W12" i="3" s="1"/>
</calcChain>
</file>

<file path=xl/sharedStrings.xml><?xml version="1.0" encoding="utf-8"?>
<sst xmlns="http://schemas.openxmlformats.org/spreadsheetml/2006/main" count="232" uniqueCount="130">
  <si>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</si>
  <si>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</si>
  <si>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</si>
  <si>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</si>
  <si>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</si>
  <si>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</si>
  <si>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</si>
  <si>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</si>
  <si>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</si>
  <si>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</si>
  <si>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</si>
  <si>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</si>
  <si>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</si>
  <si>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</si>
  <si>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</si>
  <si>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</si>
  <si>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</si>
  <si>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</si>
  <si>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</si>
  <si>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</si>
  <si>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</si>
  <si>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</si>
  <si>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</si>
  <si>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</si>
  <si>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</si>
  <si>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</si>
  <si>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</si>
  <si>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</si>
  <si>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</si>
  <si>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</si>
  <si>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</si>
  <si>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</si>
  <si>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</si>
  <si>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</si>
  <si>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</si>
  <si>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</si>
  <si>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</si>
  <si>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</si>
  <si>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</si>
  <si>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</si>
  <si>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</si>
  <si>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</si>
  <si>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</si>
  <si>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</si>
  <si>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</si>
  <si>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</si>
  <si>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</si>
  <si>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</si>
  <si>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</si>
  <si>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</si>
  <si>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</si>
  <si>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</si>
  <si>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</si>
  <si>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</si>
  <si>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</si>
  <si>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</si>
  <si>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</si>
  <si>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</si>
  <si>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</si>
  <si>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</si>
  <si>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</si>
  <si>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</si>
  <si>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</si>
  <si>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</si>
  <si>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</si>
  <si>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</si>
  <si>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</si>
  <si>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</si>
  <si>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</si>
  <si>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</si>
  <si>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</si>
  <si>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</si>
  <si>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</si>
  <si>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</si>
  <si>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</si>
  <si>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</si>
  <si>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</si>
  <si>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</si>
  <si>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</si>
  <si>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</si>
  <si>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</si>
  <si>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</si>
  <si>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</si>
  <si>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</si>
  <si>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</si>
  <si>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</si>
  <si>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</si>
  <si>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</si>
  <si>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</si>
  <si>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</si>
  <si>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</si>
  <si>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</si>
  <si>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</si>
  <si>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</si>
  <si>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</si>
  <si>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</si>
  <si>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</si>
  <si>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</si>
  <si>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</si>
  <si>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</si>
  <si>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</si>
  <si>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</si>
  <si>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</si>
  <si>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</si>
  <si>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</si>
  <si>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</si>
  <si>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</si>
  <si>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</si>
  <si>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</si>
  <si>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</si>
  <si>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</si>
  <si>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</si>
  <si>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</si>
  <si>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</si>
  <si>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</si>
  <si>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</si>
  <si>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</si>
  <si>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</si>
  <si>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</si>
  <si>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</si>
  <si>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Open Net Cases (5/11/20)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</si>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</sst>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59</xdr:row>
      <xdr:rowOff>0</xdr:rowOff>
    </xdr:from>
    <xdr:to>
      <xdr:col>35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59</xdr:row>
      <xdr:rowOff>0</xdr:rowOff>
    </xdr:from>
    <xdr:to>
      <xdr:col>29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59</xdr:row>
      <xdr:rowOff>0</xdr:rowOff>
    </xdr:from>
    <xdr:to>
      <xdr:col>58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59</xdr:row>
      <xdr:rowOff>0</xdr:rowOff>
    </xdr:from>
    <xdr:to>
      <xdr:col>18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50</xdr:col>
      <xdr:colOff>0</xdr:colOff>
      <xdr:row>59</xdr:row>
      <xdr:rowOff>0</xdr:rowOff>
    </xdr:from>
    <xdr:to>
      <xdr:col>50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60</xdr:row>
      <xdr:rowOff>0</xdr:rowOff>
    </xdr:from>
    <xdr:to>
      <xdr:col>35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60</xdr:row>
      <xdr:rowOff>0</xdr:rowOff>
    </xdr:from>
    <xdr:to>
      <xdr:col>29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60</xdr:row>
      <xdr:rowOff>0</xdr:rowOff>
    </xdr:from>
    <xdr:to>
      <xdr:col>58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60</xdr:row>
      <xdr:rowOff>0</xdr:rowOff>
    </xdr:from>
    <xdr:to>
      <xdr:col>18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160020</xdr:colOff>
      <xdr:row>74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160020</xdr:colOff>
      <xdr:row>75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50</xdr:col>
      <xdr:colOff>0</xdr:colOff>
      <xdr:row>60</xdr:row>
      <xdr:rowOff>0</xdr:rowOff>
    </xdr:from>
    <xdr:to>
      <xdr:col>50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61</xdr:row>
      <xdr:rowOff>0</xdr:rowOff>
    </xdr:from>
    <xdr:to>
      <xdr:col>35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18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61</xdr:row>
      <xdr:rowOff>0</xdr:rowOff>
    </xdr:from>
    <xdr:to>
      <xdr:col>29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61</xdr:row>
      <xdr:rowOff>0</xdr:rowOff>
    </xdr:from>
    <xdr:to>
      <xdr:col>50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61</xdr:row>
      <xdr:rowOff>0</xdr:rowOff>
    </xdr:from>
    <xdr:to>
      <xdr:col>58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62</xdr:row>
      <xdr:rowOff>0</xdr:rowOff>
    </xdr:from>
    <xdr:to>
      <xdr:col>35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62</xdr:row>
      <xdr:rowOff>0</xdr:rowOff>
    </xdr:from>
    <xdr:to>
      <xdr:col>18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29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62</xdr:row>
      <xdr:rowOff>0</xdr:rowOff>
    </xdr:from>
    <xdr:to>
      <xdr:col>50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62</xdr:row>
      <xdr:rowOff>0</xdr:rowOff>
    </xdr:from>
    <xdr:to>
      <xdr:col>58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63</xdr:row>
      <xdr:rowOff>0</xdr:rowOff>
    </xdr:from>
    <xdr:to>
      <xdr:col>35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18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63</xdr:row>
      <xdr:rowOff>0</xdr:rowOff>
    </xdr:from>
    <xdr:to>
      <xdr:col>29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63</xdr:row>
      <xdr:rowOff>0</xdr:rowOff>
    </xdr:from>
    <xdr:to>
      <xdr:col>50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63</xdr:row>
      <xdr:rowOff>0</xdr:rowOff>
    </xdr:from>
    <xdr:to>
      <xdr:col>58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64</xdr:row>
      <xdr:rowOff>0</xdr:rowOff>
    </xdr:from>
    <xdr:to>
      <xdr:col>35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64</xdr:row>
      <xdr:rowOff>0</xdr:rowOff>
    </xdr:from>
    <xdr:to>
      <xdr:col>58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64</xdr:row>
      <xdr:rowOff>0</xdr:rowOff>
    </xdr:from>
    <xdr:to>
      <xdr:col>50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64</xdr:row>
      <xdr:rowOff>0</xdr:rowOff>
    </xdr:from>
    <xdr:to>
      <xdr:col>18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64</xdr:row>
      <xdr:rowOff>0</xdr:rowOff>
    </xdr:from>
    <xdr:to>
      <xdr:col>29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65</xdr:row>
      <xdr:rowOff>0</xdr:rowOff>
    </xdr:from>
    <xdr:to>
      <xdr:col>35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65</xdr:row>
      <xdr:rowOff>0</xdr:rowOff>
    </xdr:from>
    <xdr:to>
      <xdr:col>58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65</xdr:row>
      <xdr:rowOff>0</xdr:rowOff>
    </xdr:from>
    <xdr:to>
      <xdr:col>18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65</xdr:row>
      <xdr:rowOff>0</xdr:rowOff>
    </xdr:from>
    <xdr:to>
      <xdr:col>29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65</xdr:row>
      <xdr:rowOff>0</xdr:rowOff>
    </xdr:from>
    <xdr:to>
      <xdr:col>50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40"/>
  <sheetViews>
    <sheetView tabSelected="1" zoomScaleNormal="100" workbookViewId="0">
      <selection activeCell="AS67" sqref="AS67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1.109375" customWidth="1"/>
    <col min="46" max="46" width="0.6640625" customWidth="1"/>
    <col min="47" max="47" width="8.777343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478" t="s">
        <v>5</v>
      </c>
      <c r="C1" s="478"/>
      <c r="D1" s="478"/>
    </row>
    <row r="2" spans="2:77" ht="15.6" x14ac:dyDescent="0.3">
      <c r="B2" s="478" t="s">
        <v>6</v>
      </c>
      <c r="C2" s="478"/>
      <c r="D2" s="478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483" t="s">
        <v>13</v>
      </c>
      <c r="C3" s="483"/>
      <c r="D3" s="174"/>
      <c r="E3" s="174"/>
      <c r="F3" s="174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479" t="s">
        <v>11</v>
      </c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11"/>
      <c r="Y4" s="336"/>
      <c r="Z4" s="12"/>
      <c r="AB4" s="465" t="s">
        <v>14</v>
      </c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  <c r="AY4" s="466"/>
      <c r="AZ4" s="466"/>
      <c r="BA4" s="466"/>
      <c r="BB4" s="466"/>
      <c r="BC4" s="466"/>
      <c r="BD4" s="466"/>
      <c r="BE4" s="466"/>
      <c r="BF4" s="466"/>
      <c r="BG4" s="466"/>
      <c r="BH4" s="467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345" t="s">
        <v>7</v>
      </c>
      <c r="E6" s="346"/>
      <c r="F6" s="484" t="s">
        <v>12</v>
      </c>
      <c r="G6" s="484"/>
      <c r="H6" s="484"/>
      <c r="I6" s="484"/>
      <c r="J6" s="484"/>
      <c r="K6" s="484"/>
      <c r="L6" s="484"/>
      <c r="M6" s="347"/>
      <c r="N6" s="347"/>
      <c r="O6" s="348"/>
      <c r="P6" s="3"/>
      <c r="Q6" s="8" t="s">
        <v>7</v>
      </c>
      <c r="R6" s="30"/>
      <c r="S6" s="485">
        <v>1.2500000000000001E-2</v>
      </c>
      <c r="T6" s="485"/>
      <c r="U6" s="485"/>
      <c r="V6" s="485"/>
      <c r="W6" s="485"/>
      <c r="X6" s="485"/>
      <c r="Y6" s="485"/>
      <c r="Z6" s="486"/>
      <c r="AA6" s="3"/>
      <c r="AB6" s="474" t="s">
        <v>27</v>
      </c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6"/>
      <c r="AP6" s="3"/>
      <c r="AQ6" s="477" t="s">
        <v>7</v>
      </c>
      <c r="AR6" s="469"/>
      <c r="AS6" s="469"/>
      <c r="AT6" s="103"/>
      <c r="AU6" s="468" t="s">
        <v>26</v>
      </c>
      <c r="AV6" s="468"/>
      <c r="AW6" s="468"/>
      <c r="AX6" s="468"/>
      <c r="AY6" s="468"/>
      <c r="AZ6" s="468"/>
      <c r="BA6" s="468"/>
      <c r="BB6" s="468"/>
      <c r="BC6" s="468"/>
      <c r="BD6" s="468"/>
      <c r="BE6" s="469"/>
      <c r="BF6" s="469"/>
      <c r="BG6" s="469"/>
      <c r="BH6" s="470"/>
      <c r="BI6" s="3"/>
    </row>
    <row r="7" spans="2:77" ht="16.2" x14ac:dyDescent="0.3">
      <c r="D7" s="481" t="s">
        <v>20</v>
      </c>
      <c r="E7" s="482"/>
      <c r="F7" s="482"/>
      <c r="G7" s="482"/>
      <c r="H7" s="482"/>
      <c r="I7" s="482"/>
      <c r="J7" s="482"/>
      <c r="K7" s="339"/>
      <c r="L7" s="339"/>
      <c r="M7" s="339"/>
      <c r="N7" s="339"/>
      <c r="O7" s="349"/>
      <c r="P7" s="3"/>
      <c r="Q7" s="487" t="s">
        <v>35</v>
      </c>
      <c r="R7" s="488"/>
      <c r="S7" s="488"/>
      <c r="T7" s="488"/>
      <c r="U7" s="488"/>
      <c r="V7" s="488"/>
      <c r="W7" s="488"/>
      <c r="X7" s="488"/>
      <c r="Y7" s="488"/>
      <c r="Z7" s="489"/>
      <c r="AA7" s="3"/>
      <c r="AB7" s="471" t="s">
        <v>78</v>
      </c>
      <c r="AC7" s="472"/>
      <c r="AD7" s="472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3"/>
      <c r="AQ7" s="471" t="s">
        <v>25</v>
      </c>
      <c r="AR7" s="472"/>
      <c r="AS7" s="472"/>
      <c r="AT7" s="472"/>
      <c r="AU7" s="472"/>
      <c r="AV7" s="472"/>
      <c r="AW7" s="472"/>
      <c r="AX7" s="472"/>
      <c r="AY7" s="472"/>
      <c r="AZ7" s="472"/>
      <c r="BA7" s="472"/>
      <c r="BB7" s="472"/>
      <c r="BC7" s="472"/>
      <c r="BD7" s="472"/>
      <c r="BE7" s="472"/>
      <c r="BF7" s="472"/>
      <c r="BG7" s="472"/>
      <c r="BH7" s="473"/>
      <c r="BJ7" s="182" t="s">
        <v>18</v>
      </c>
    </row>
    <row r="8" spans="2:77" x14ac:dyDescent="0.3">
      <c r="D8" s="56" t="s">
        <v>1</v>
      </c>
      <c r="E8" s="13"/>
      <c r="F8" s="57" t="s">
        <v>15</v>
      </c>
      <c r="G8" s="13"/>
      <c r="H8" s="77" t="s">
        <v>2</v>
      </c>
      <c r="I8" s="13"/>
      <c r="J8" s="58" t="s">
        <v>3</v>
      </c>
      <c r="K8" s="13"/>
      <c r="L8" s="57" t="s">
        <v>15</v>
      </c>
      <c r="M8" s="340"/>
      <c r="N8" s="343" t="s">
        <v>117</v>
      </c>
      <c r="O8" s="350"/>
      <c r="Q8" s="50" t="s">
        <v>1</v>
      </c>
      <c r="R8" s="31"/>
      <c r="S8" s="49" t="s">
        <v>15</v>
      </c>
      <c r="T8" s="31"/>
      <c r="U8" s="78" t="s">
        <v>2</v>
      </c>
      <c r="V8" s="31"/>
      <c r="W8" s="51" t="s">
        <v>3</v>
      </c>
      <c r="X8" s="31"/>
      <c r="Y8" s="351" t="s">
        <v>117</v>
      </c>
      <c r="Z8" s="52"/>
      <c r="AB8" s="20" t="s">
        <v>1</v>
      </c>
      <c r="AC8" s="337"/>
      <c r="AD8" s="357" t="s">
        <v>15</v>
      </c>
      <c r="AE8" s="337"/>
      <c r="AF8" s="79" t="s">
        <v>2</v>
      </c>
      <c r="AG8" s="337"/>
      <c r="AH8" s="338" t="s">
        <v>3</v>
      </c>
      <c r="AI8" s="337"/>
      <c r="AJ8" s="357" t="s">
        <v>15</v>
      </c>
      <c r="AK8" s="337"/>
      <c r="AL8" s="358" t="s">
        <v>16</v>
      </c>
      <c r="AM8" s="355"/>
      <c r="AN8" s="359" t="s">
        <v>117</v>
      </c>
      <c r="AO8" s="360"/>
      <c r="AQ8" s="463" t="s">
        <v>1</v>
      </c>
      <c r="AR8" s="464"/>
      <c r="AS8" s="464"/>
      <c r="AT8" s="68"/>
      <c r="AU8" s="464" t="s">
        <v>24</v>
      </c>
      <c r="AV8" s="464"/>
      <c r="AW8" s="464"/>
      <c r="AX8" s="464"/>
      <c r="AY8" s="464"/>
      <c r="AZ8" s="464"/>
      <c r="BA8" s="464"/>
      <c r="BB8" s="464"/>
      <c r="BC8" s="464"/>
      <c r="BD8" s="68"/>
      <c r="BE8" s="74"/>
      <c r="BF8" s="335"/>
      <c r="BG8" s="67"/>
      <c r="BH8" s="189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46"/>
      <c r="AM9" s="146"/>
      <c r="AN9" s="22"/>
      <c r="AO9" s="361"/>
      <c r="AQ9" s="334" t="s">
        <v>36</v>
      </c>
      <c r="AR9" s="68"/>
      <c r="AS9" s="104" t="s">
        <v>2</v>
      </c>
      <c r="AT9" s="69"/>
      <c r="AU9" s="335" t="s">
        <v>36</v>
      </c>
      <c r="AV9" s="68"/>
      <c r="AW9" s="67" t="s">
        <v>10</v>
      </c>
      <c r="AX9" s="162"/>
      <c r="AY9" s="67" t="s">
        <v>15</v>
      </c>
      <c r="AZ9" s="68"/>
      <c r="BA9" s="366" t="s">
        <v>117</v>
      </c>
      <c r="BB9" s="68"/>
      <c r="BC9" s="110" t="s">
        <v>2</v>
      </c>
      <c r="BD9" s="365"/>
      <c r="BE9" s="111" t="s">
        <v>22</v>
      </c>
      <c r="BF9" s="68"/>
      <c r="BG9" s="112" t="s">
        <v>15</v>
      </c>
      <c r="BH9" s="190"/>
    </row>
    <row r="10" spans="2:77" x14ac:dyDescent="0.3">
      <c r="B10" s="178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 t="shared" ref="N10:N41" si="2"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3">+U9+Q10</f>
        <v>255</v>
      </c>
      <c r="V10" s="34"/>
      <c r="W10" s="47">
        <f t="shared" ref="W10:W51" si="4">+U10/H10</f>
        <v>1.3119983535706935E-2</v>
      </c>
      <c r="X10" s="239"/>
      <c r="Y10" s="34">
        <f t="shared" ref="Y10:Y41" si="5"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46"/>
      <c r="AM10" s="146"/>
      <c r="AN10" s="22"/>
      <c r="AO10" s="361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1"/>
      <c r="BI10" s="1"/>
      <c r="BJ10">
        <v>1</v>
      </c>
    </row>
    <row r="11" spans="2:77" x14ac:dyDescent="0.3">
      <c r="B11" s="178">
        <f t="shared" ref="B11:B69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 t="shared" si="2"/>
        <v>12130</v>
      </c>
      <c r="O11" s="43"/>
      <c r="P11" s="1"/>
      <c r="Q11" s="35">
        <v>46</v>
      </c>
      <c r="R11" s="34"/>
      <c r="S11" s="34"/>
      <c r="T11" s="34"/>
      <c r="U11" s="34">
        <f t="shared" si="3"/>
        <v>301</v>
      </c>
      <c r="V11" s="34"/>
      <c r="W11" s="47">
        <f t="shared" si="4"/>
        <v>1.2407254740313274E-2</v>
      </c>
      <c r="X11" s="239"/>
      <c r="Y11" s="34">
        <f t="shared" si="5"/>
        <v>150.5</v>
      </c>
      <c r="Z11" s="53"/>
      <c r="AA11" s="1"/>
      <c r="AB11" s="23">
        <f t="shared" ref="AB11:AB51" si="7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46"/>
      <c r="AM11" s="146"/>
      <c r="AN11" s="22"/>
      <c r="AO11" s="361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1"/>
      <c r="BI11" s="1"/>
      <c r="BJ11">
        <f>+BJ10+1</f>
        <v>2</v>
      </c>
    </row>
    <row r="12" spans="2:77" x14ac:dyDescent="0.3">
      <c r="B12" s="178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 t="shared" si="2"/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3"/>
        <v>414</v>
      </c>
      <c r="V12" s="34"/>
      <c r="W12" s="47">
        <f t="shared" si="4"/>
        <v>1.2321795291526534E-2</v>
      </c>
      <c r="X12" s="239"/>
      <c r="Y12" s="34">
        <f t="shared" si="5"/>
        <v>138</v>
      </c>
      <c r="Z12" s="53"/>
      <c r="AA12" s="1"/>
      <c r="AB12" s="23">
        <f t="shared" si="7"/>
        <v>2</v>
      </c>
      <c r="AC12" s="24"/>
      <c r="AD12" s="24"/>
      <c r="AE12" s="24"/>
      <c r="AF12" s="24">
        <v>178</v>
      </c>
      <c r="AG12" s="24"/>
      <c r="AH12" s="25">
        <f t="shared" ref="AH12:AH51" si="8">+AB12/AF11</f>
        <v>1.1363636363636364E-2</v>
      </c>
      <c r="AI12" s="25"/>
      <c r="AJ12" s="25"/>
      <c r="AK12" s="24"/>
      <c r="AL12" s="354">
        <f t="shared" ref="AL12:AL59" si="9">+AF12/H12</f>
        <v>5.2977767195452243E-3</v>
      </c>
      <c r="AM12" s="354"/>
      <c r="AN12" s="24">
        <f t="shared" ref="AN12:AN59" si="10">+AF12/BJ12</f>
        <v>59.333333333333336</v>
      </c>
      <c r="AO12" s="362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1"/>
      <c r="BI12" s="1"/>
      <c r="BJ12">
        <f t="shared" ref="BJ12:BJ69" si="11">+BJ11+1</f>
        <v>3</v>
      </c>
    </row>
    <row r="13" spans="2:77" x14ac:dyDescent="0.3">
      <c r="B13" s="178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 t="shared" si="2"/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3"/>
        <v>555</v>
      </c>
      <c r="V13" s="34"/>
      <c r="W13" s="47">
        <f t="shared" si="4"/>
        <v>1.2680786894235383E-2</v>
      </c>
      <c r="X13" s="239"/>
      <c r="Y13" s="34">
        <f t="shared" si="5"/>
        <v>138.75</v>
      </c>
      <c r="Z13" s="53"/>
      <c r="AA13" s="1"/>
      <c r="AB13" s="23">
        <f t="shared" si="7"/>
        <v>117</v>
      </c>
      <c r="AC13" s="24"/>
      <c r="AD13" s="24"/>
      <c r="AE13" s="24"/>
      <c r="AF13" s="24">
        <v>295</v>
      </c>
      <c r="AG13" s="24"/>
      <c r="AH13" s="25">
        <f t="shared" si="8"/>
        <v>0.65730337078651691</v>
      </c>
      <c r="AI13" s="25"/>
      <c r="AJ13" s="25"/>
      <c r="AK13" s="24"/>
      <c r="AL13" s="354">
        <f t="shared" si="9"/>
        <v>6.740238078917906E-3</v>
      </c>
      <c r="AM13" s="354"/>
      <c r="AN13" s="24">
        <f t="shared" si="10"/>
        <v>73.75</v>
      </c>
      <c r="AO13" s="364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1"/>
      <c r="BI13" s="1"/>
      <c r="BJ13">
        <f t="shared" si="11"/>
        <v>4</v>
      </c>
    </row>
    <row r="14" spans="2:77" x14ac:dyDescent="0.3">
      <c r="B14" s="178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 t="shared" si="2"/>
        <v>10971.2</v>
      </c>
      <c r="O14" s="43"/>
      <c r="P14" s="1"/>
      <c r="Q14" s="35">
        <v>225</v>
      </c>
      <c r="R14" s="34"/>
      <c r="S14" s="34"/>
      <c r="T14" s="34"/>
      <c r="U14" s="34">
        <f t="shared" si="3"/>
        <v>780</v>
      </c>
      <c r="V14" s="34"/>
      <c r="W14" s="47">
        <f t="shared" si="4"/>
        <v>1.4219046230129795E-2</v>
      </c>
      <c r="X14" s="239"/>
      <c r="Y14" s="34">
        <f t="shared" si="5"/>
        <v>156</v>
      </c>
      <c r="Z14" s="53"/>
      <c r="AA14" s="1"/>
      <c r="AB14" s="23">
        <f t="shared" si="7"/>
        <v>83</v>
      </c>
      <c r="AC14" s="24"/>
      <c r="AD14" s="24"/>
      <c r="AE14" s="24"/>
      <c r="AF14" s="24">
        <v>378</v>
      </c>
      <c r="AG14" s="24"/>
      <c r="AH14" s="25">
        <f t="shared" si="8"/>
        <v>0.28135593220338984</v>
      </c>
      <c r="AI14" s="25"/>
      <c r="AJ14" s="25"/>
      <c r="AK14" s="24"/>
      <c r="AL14" s="354">
        <f t="shared" si="9"/>
        <v>6.8907685576782849E-3</v>
      </c>
      <c r="AM14" s="354"/>
      <c r="AN14" s="24">
        <f t="shared" si="10"/>
        <v>75.599999999999994</v>
      </c>
      <c r="AO14" s="364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1"/>
      <c r="BI14" s="1"/>
      <c r="BJ14">
        <f t="shared" si="11"/>
        <v>5</v>
      </c>
      <c r="BY14" s="60"/>
    </row>
    <row r="15" spans="2:77" x14ac:dyDescent="0.3">
      <c r="B15" s="178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 t="shared" si="2"/>
        <v>11368.5</v>
      </c>
      <c r="O15" s="43"/>
      <c r="P15" s="1"/>
      <c r="Q15" s="35">
        <v>247</v>
      </c>
      <c r="R15" s="34"/>
      <c r="S15" s="34"/>
      <c r="T15" s="34"/>
      <c r="U15" s="34">
        <f t="shared" si="3"/>
        <v>1027</v>
      </c>
      <c r="V15" s="34"/>
      <c r="W15" s="47">
        <f t="shared" si="4"/>
        <v>1.5056222603392415E-2</v>
      </c>
      <c r="X15" s="239"/>
      <c r="Y15" s="34">
        <f t="shared" si="5"/>
        <v>171.16666666666666</v>
      </c>
      <c r="Z15" s="53"/>
      <c r="AA15" s="1"/>
      <c r="AB15" s="23">
        <f t="shared" si="7"/>
        <v>16</v>
      </c>
      <c r="AC15" s="24"/>
      <c r="AD15" s="24"/>
      <c r="AE15" s="24"/>
      <c r="AF15" s="24">
        <v>394</v>
      </c>
      <c r="AG15" s="24"/>
      <c r="AH15" s="25">
        <f t="shared" si="8"/>
        <v>4.2328042328042326E-2</v>
      </c>
      <c r="AI15" s="25"/>
      <c r="AJ15" s="25"/>
      <c r="AK15" s="24"/>
      <c r="AL15" s="354">
        <f t="shared" si="9"/>
        <v>5.7761944554397381E-3</v>
      </c>
      <c r="AM15" s="354"/>
      <c r="AN15" s="24">
        <f t="shared" si="10"/>
        <v>65.666666666666671</v>
      </c>
      <c r="AO15" s="364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1"/>
      <c r="BI15" s="1"/>
      <c r="BJ15">
        <f t="shared" si="11"/>
        <v>6</v>
      </c>
      <c r="BY15" s="60"/>
    </row>
    <row r="16" spans="2:77" x14ac:dyDescent="0.3">
      <c r="B16" s="178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 t="shared" si="2"/>
        <v>12205</v>
      </c>
      <c r="O16" s="43"/>
      <c r="P16" s="1"/>
      <c r="Q16" s="35">
        <v>268</v>
      </c>
      <c r="R16" s="34"/>
      <c r="S16" s="34"/>
      <c r="T16" s="34"/>
      <c r="U16" s="34">
        <f t="shared" si="3"/>
        <v>1295</v>
      </c>
      <c r="V16" s="34"/>
      <c r="W16" s="47">
        <f t="shared" si="4"/>
        <v>1.5157722244981565E-2</v>
      </c>
      <c r="X16" s="239"/>
      <c r="Y16" s="34">
        <f t="shared" si="5"/>
        <v>185</v>
      </c>
      <c r="Z16" s="53"/>
      <c r="AA16" s="1"/>
      <c r="AB16" s="23">
        <f t="shared" si="7"/>
        <v>1474</v>
      </c>
      <c r="AC16" s="24"/>
      <c r="AD16" s="24"/>
      <c r="AE16" s="24"/>
      <c r="AF16" s="24">
        <v>1868</v>
      </c>
      <c r="AG16" s="24"/>
      <c r="AH16" s="25">
        <f t="shared" si="8"/>
        <v>3.7411167512690353</v>
      </c>
      <c r="AI16" s="25"/>
      <c r="AJ16" s="25"/>
      <c r="AK16" s="24"/>
      <c r="AL16" s="354">
        <f t="shared" si="9"/>
        <v>2.1864575408205068E-2</v>
      </c>
      <c r="AM16" s="354"/>
      <c r="AN16" s="24">
        <f t="shared" si="10"/>
        <v>266.85714285714283</v>
      </c>
      <c r="AO16" s="364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1"/>
      <c r="BI16" s="1"/>
      <c r="BJ16">
        <f t="shared" si="11"/>
        <v>7</v>
      </c>
      <c r="BY16" s="60"/>
    </row>
    <row r="17" spans="2:77" x14ac:dyDescent="0.3">
      <c r="B17" s="178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 t="shared" si="2"/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3"/>
        <v>1695</v>
      </c>
      <c r="V17" s="34"/>
      <c r="W17" s="47">
        <f t="shared" si="4"/>
        <v>1.6278355069819256E-2</v>
      </c>
      <c r="X17" s="239"/>
      <c r="Y17" s="34">
        <f t="shared" si="5"/>
        <v>211.875</v>
      </c>
      <c r="Z17" s="53"/>
      <c r="AA17" s="1"/>
      <c r="AB17" s="23">
        <f t="shared" si="7"/>
        <v>654</v>
      </c>
      <c r="AC17" s="24"/>
      <c r="AD17" s="24"/>
      <c r="AE17" s="24"/>
      <c r="AF17" s="24">
        <v>2522</v>
      </c>
      <c r="AG17" s="24"/>
      <c r="AH17" s="25">
        <f t="shared" si="8"/>
        <v>0.3501070663811563</v>
      </c>
      <c r="AI17" s="25"/>
      <c r="AJ17" s="25"/>
      <c r="AK17" s="24"/>
      <c r="AL17" s="354">
        <f t="shared" si="9"/>
        <v>2.4220655744002458E-2</v>
      </c>
      <c r="AM17" s="354"/>
      <c r="AN17" s="24">
        <f t="shared" si="10"/>
        <v>315.25</v>
      </c>
      <c r="AO17" s="364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1"/>
      <c r="BI17" s="1"/>
      <c r="BJ17">
        <f t="shared" si="11"/>
        <v>8</v>
      </c>
      <c r="BY17" s="60"/>
    </row>
    <row r="18" spans="2:77" x14ac:dyDescent="0.3">
      <c r="B18" s="1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 t="shared" si="2"/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3"/>
        <v>2220</v>
      </c>
      <c r="V18" s="34"/>
      <c r="W18" s="47">
        <f t="shared" si="4"/>
        <v>1.7964362588810307E-2</v>
      </c>
      <c r="X18" s="239"/>
      <c r="Y18" s="34">
        <f t="shared" si="5"/>
        <v>246.66666666666666</v>
      </c>
      <c r="Z18" s="53"/>
      <c r="AA18" s="1"/>
      <c r="AB18" s="23">
        <f t="shared" si="7"/>
        <v>709</v>
      </c>
      <c r="AC18" s="24"/>
      <c r="AD18" s="24"/>
      <c r="AE18" s="24"/>
      <c r="AF18" s="24">
        <v>3231</v>
      </c>
      <c r="AG18" s="24"/>
      <c r="AH18" s="25">
        <f t="shared" si="8"/>
        <v>0.28112609040444092</v>
      </c>
      <c r="AI18" s="25"/>
      <c r="AJ18" s="25"/>
      <c r="AK18" s="24"/>
      <c r="AL18" s="354">
        <f t="shared" si="9"/>
        <v>2.6145430416417162E-2</v>
      </c>
      <c r="AM18" s="354"/>
      <c r="AN18" s="24">
        <f t="shared" si="10"/>
        <v>359</v>
      </c>
      <c r="AO18" s="364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1"/>
      <c r="BI18" s="1"/>
      <c r="BJ18">
        <f t="shared" si="11"/>
        <v>9</v>
      </c>
      <c r="BY18" s="60"/>
    </row>
    <row r="19" spans="2:77" x14ac:dyDescent="0.3">
      <c r="B19" s="179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 t="shared" si="2"/>
        <v>14349.1</v>
      </c>
      <c r="O19" s="43"/>
      <c r="P19" s="1"/>
      <c r="Q19" s="35">
        <v>363</v>
      </c>
      <c r="R19" s="34"/>
      <c r="S19" s="34"/>
      <c r="T19" s="34"/>
      <c r="U19" s="34">
        <f t="shared" si="3"/>
        <v>2583</v>
      </c>
      <c r="V19" s="34"/>
      <c r="W19" s="47">
        <f t="shared" si="4"/>
        <v>1.8001128990668403E-2</v>
      </c>
      <c r="X19" s="239"/>
      <c r="Y19" s="34">
        <f t="shared" si="5"/>
        <v>258.3</v>
      </c>
      <c r="Z19" s="53"/>
      <c r="AA19" s="1"/>
      <c r="AB19" s="23">
        <f t="shared" si="7"/>
        <v>1328</v>
      </c>
      <c r="AC19" s="24"/>
      <c r="AD19" s="24"/>
      <c r="AE19" s="24"/>
      <c r="AF19" s="24">
        <v>4559</v>
      </c>
      <c r="AG19" s="24"/>
      <c r="AH19" s="25">
        <f t="shared" si="8"/>
        <v>0.41101826060043328</v>
      </c>
      <c r="AI19" s="25"/>
      <c r="AJ19" s="25"/>
      <c r="AK19" s="24"/>
      <c r="AL19" s="354">
        <f t="shared" si="9"/>
        <v>3.1772027513920734E-2</v>
      </c>
      <c r="AM19" s="354"/>
      <c r="AN19" s="24">
        <f t="shared" si="10"/>
        <v>455.9</v>
      </c>
      <c r="AO19" s="364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1"/>
      <c r="BI19" s="1"/>
      <c r="BJ19">
        <f t="shared" si="11"/>
        <v>10</v>
      </c>
      <c r="BY19" s="60"/>
    </row>
    <row r="20" spans="2:77" x14ac:dyDescent="0.3">
      <c r="B20" s="405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 t="shared" si="2"/>
        <v>14894.90909090909</v>
      </c>
      <c r="O20" s="43"/>
      <c r="P20" s="406"/>
      <c r="Q20" s="35">
        <f>573-15</f>
        <v>558</v>
      </c>
      <c r="R20" s="34"/>
      <c r="S20" s="34"/>
      <c r="T20" s="34"/>
      <c r="U20" s="34">
        <f t="shared" si="3"/>
        <v>3141</v>
      </c>
      <c r="V20" s="34"/>
      <c r="W20" s="47">
        <f t="shared" si="4"/>
        <v>1.9170674544078514E-2</v>
      </c>
      <c r="X20" s="239"/>
      <c r="Y20" s="34">
        <f t="shared" si="5"/>
        <v>285.54545454545456</v>
      </c>
      <c r="Z20" s="53"/>
      <c r="AA20" s="406"/>
      <c r="AB20" s="23">
        <f t="shared" si="7"/>
        <v>947</v>
      </c>
      <c r="AC20" s="24"/>
      <c r="AD20" s="24"/>
      <c r="AE20" s="24"/>
      <c r="AF20" s="24">
        <v>5506</v>
      </c>
      <c r="AG20" s="24"/>
      <c r="AH20" s="25">
        <f t="shared" si="8"/>
        <v>0.20772099144549244</v>
      </c>
      <c r="AI20" s="25"/>
      <c r="AJ20" s="25"/>
      <c r="AK20" s="24"/>
      <c r="AL20" s="354">
        <f t="shared" si="9"/>
        <v>3.3605136593344888E-2</v>
      </c>
      <c r="AM20" s="354"/>
      <c r="AN20" s="24">
        <f t="shared" si="10"/>
        <v>500.54545454545456</v>
      </c>
      <c r="AO20" s="364"/>
      <c r="AP20" s="406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1"/>
      <c r="BI20" s="1"/>
      <c r="BJ20">
        <f t="shared" si="11"/>
        <v>11</v>
      </c>
      <c r="BY20" s="60"/>
    </row>
    <row r="21" spans="2:77" x14ac:dyDescent="0.3">
      <c r="B21" s="179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 t="shared" si="2"/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3"/>
        <v>4053</v>
      </c>
      <c r="V21" s="34"/>
      <c r="W21" s="47">
        <f t="shared" si="4"/>
        <v>2.1491521109732431E-2</v>
      </c>
      <c r="X21" s="34"/>
      <c r="Y21" s="34">
        <f t="shared" si="5"/>
        <v>337.75</v>
      </c>
      <c r="Z21" s="54"/>
      <c r="AA21" s="1"/>
      <c r="AB21" s="23">
        <f t="shared" si="7"/>
        <v>1745</v>
      </c>
      <c r="AC21" s="24"/>
      <c r="AD21" s="24"/>
      <c r="AE21" s="24"/>
      <c r="AF21" s="24">
        <v>7251</v>
      </c>
      <c r="AG21" s="24"/>
      <c r="AH21" s="25">
        <f t="shared" si="8"/>
        <v>0.31692698873955683</v>
      </c>
      <c r="AI21" s="25"/>
      <c r="AJ21" s="25"/>
      <c r="AK21" s="24"/>
      <c r="AL21" s="354">
        <f t="shared" si="9"/>
        <v>3.8449301644872896E-2</v>
      </c>
      <c r="AM21" s="354"/>
      <c r="AN21" s="24">
        <f t="shared" si="10"/>
        <v>604.25</v>
      </c>
      <c r="AO21" s="364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1"/>
      <c r="BI21" s="1"/>
      <c r="BJ21">
        <f t="shared" si="11"/>
        <v>12</v>
      </c>
      <c r="BY21" s="60"/>
    </row>
    <row r="22" spans="2:77" x14ac:dyDescent="0.3">
      <c r="B22" s="179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 t="shared" si="2"/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3"/>
        <v>5102</v>
      </c>
      <c r="V22" s="34"/>
      <c r="W22" s="47">
        <f t="shared" si="4"/>
        <v>2.3723722327361328E-2</v>
      </c>
      <c r="X22" s="34"/>
      <c r="Y22" s="34">
        <f t="shared" si="5"/>
        <v>392.46153846153845</v>
      </c>
      <c r="Z22" s="54"/>
      <c r="AA22" s="1"/>
      <c r="AB22" s="23">
        <f t="shared" si="7"/>
        <v>1627</v>
      </c>
      <c r="AC22" s="24"/>
      <c r="AD22" s="24"/>
      <c r="AE22" s="24"/>
      <c r="AF22" s="24">
        <v>8878</v>
      </c>
      <c r="AG22" s="24"/>
      <c r="AH22" s="25">
        <f t="shared" si="8"/>
        <v>0.22438284374569026</v>
      </c>
      <c r="AI22" s="25"/>
      <c r="AJ22" s="25"/>
      <c r="AK22" s="24"/>
      <c r="AL22" s="354">
        <f t="shared" si="9"/>
        <v>4.1281694790731849E-2</v>
      </c>
      <c r="AM22" s="354"/>
      <c r="AN22" s="24">
        <f t="shared" si="10"/>
        <v>682.92307692307691</v>
      </c>
      <c r="AO22" s="364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1"/>
      <c r="BI22" s="1"/>
      <c r="BJ22">
        <f t="shared" si="11"/>
        <v>13</v>
      </c>
    </row>
    <row r="23" spans="2:77" x14ac:dyDescent="0.3">
      <c r="B23" s="179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 t="shared" si="2"/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3"/>
        <v>6076</v>
      </c>
      <c r="V23" s="34"/>
      <c r="W23" s="47">
        <f t="shared" si="4"/>
        <v>2.4812456866100122E-2</v>
      </c>
      <c r="X23" s="34"/>
      <c r="Y23" s="34">
        <f t="shared" si="5"/>
        <v>434</v>
      </c>
      <c r="Z23" s="54"/>
      <c r="AA23" s="1"/>
      <c r="AB23" s="23">
        <f t="shared" si="7"/>
        <v>1525</v>
      </c>
      <c r="AC23" s="24"/>
      <c r="AD23" s="24"/>
      <c r="AE23" s="24"/>
      <c r="AF23" s="24">
        <v>10403</v>
      </c>
      <c r="AG23" s="24"/>
      <c r="AH23" s="25">
        <f t="shared" si="8"/>
        <v>0.17177292182924081</v>
      </c>
      <c r="AI23" s="25"/>
      <c r="AJ23" s="25"/>
      <c r="AK23" s="24"/>
      <c r="AL23" s="354">
        <f t="shared" si="9"/>
        <v>4.2482552465115141E-2</v>
      </c>
      <c r="AM23" s="354"/>
      <c r="AN23" s="24">
        <f t="shared" si="10"/>
        <v>743.07142857142856</v>
      </c>
      <c r="AO23" s="364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1"/>
      <c r="BI23" s="1"/>
      <c r="BJ23">
        <f t="shared" si="11"/>
        <v>14</v>
      </c>
    </row>
    <row r="24" spans="2:77" x14ac:dyDescent="0.3">
      <c r="B24" s="179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41" t="s">
        <v>47</v>
      </c>
      <c r="J24" s="39">
        <f t="shared" si="1"/>
        <v>0.13183761643600664</v>
      </c>
      <c r="K24" s="64"/>
      <c r="L24" s="64"/>
      <c r="M24" s="64"/>
      <c r="N24" s="16">
        <f t="shared" si="2"/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352" t="s">
        <v>47</v>
      </c>
      <c r="W24" s="47">
        <f t="shared" si="4"/>
        <v>2.5555424355299835E-2</v>
      </c>
      <c r="X24" s="34"/>
      <c r="Y24" s="34">
        <f t="shared" si="5"/>
        <v>476.13333333333333</v>
      </c>
      <c r="Z24" s="54"/>
      <c r="AA24" s="1"/>
      <c r="AB24" s="23">
        <f t="shared" si="7"/>
        <v>1835</v>
      </c>
      <c r="AC24" s="24"/>
      <c r="AD24" s="24"/>
      <c r="AE24" s="24"/>
      <c r="AF24" s="24">
        <v>12238</v>
      </c>
      <c r="AG24" s="24"/>
      <c r="AH24" s="25">
        <f t="shared" si="8"/>
        <v>0.17639142555032203</v>
      </c>
      <c r="AI24" s="25"/>
      <c r="AJ24" s="25"/>
      <c r="AK24" s="24"/>
      <c r="AL24" s="354">
        <f t="shared" si="9"/>
        <v>4.3789874441355278E-2</v>
      </c>
      <c r="AM24" s="354"/>
      <c r="AN24" s="24">
        <f t="shared" si="10"/>
        <v>815.86666666666667</v>
      </c>
      <c r="AO24" s="364"/>
      <c r="AP24" s="1"/>
      <c r="AQ24" s="70">
        <v>698344</v>
      </c>
      <c r="AR24" s="71"/>
      <c r="AS24" s="71">
        <f>+AQ24</f>
        <v>698344</v>
      </c>
      <c r="AT24" s="71"/>
      <c r="AU24" s="71">
        <f t="shared" ref="AU24:AU59" si="12"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 t="shared" ref="BE24:BE59" si="13">+BC24/AS24</f>
        <v>4.6229365470312624E-2</v>
      </c>
      <c r="BF24" s="71"/>
      <c r="BG24" s="71"/>
      <c r="BH24" s="191"/>
      <c r="BI24" s="1"/>
      <c r="BJ24">
        <f t="shared" si="11"/>
        <v>15</v>
      </c>
    </row>
    <row r="25" spans="2:77" x14ac:dyDescent="0.3">
      <c r="B25" s="179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 t="shared" si="2"/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15">+U24+Q25</f>
        <v>8472</v>
      </c>
      <c r="V25" s="34"/>
      <c r="W25" s="47">
        <f t="shared" si="4"/>
        <v>2.7009535590291615E-2</v>
      </c>
      <c r="X25" s="34"/>
      <c r="Y25" s="34">
        <f t="shared" si="5"/>
        <v>529.5</v>
      </c>
      <c r="Z25" s="54"/>
      <c r="AA25" s="1"/>
      <c r="AB25" s="23">
        <f t="shared" si="7"/>
        <v>2587</v>
      </c>
      <c r="AC25" s="24"/>
      <c r="AD25" s="24"/>
      <c r="AE25" s="24"/>
      <c r="AF25" s="24">
        <v>14825</v>
      </c>
      <c r="AG25" s="24"/>
      <c r="AH25" s="25">
        <f t="shared" si="8"/>
        <v>0.21139075012256905</v>
      </c>
      <c r="AI25" s="25"/>
      <c r="AJ25" s="25"/>
      <c r="AK25" s="24"/>
      <c r="AL25" s="354">
        <f t="shared" si="9"/>
        <v>4.726349918862998E-2</v>
      </c>
      <c r="AM25" s="354"/>
      <c r="AN25" s="24">
        <f t="shared" si="10"/>
        <v>926.5625</v>
      </c>
      <c r="AO25" s="364"/>
      <c r="AP25" s="1"/>
      <c r="AQ25" s="70">
        <v>934611</v>
      </c>
      <c r="AR25" s="71"/>
      <c r="AS25" s="71">
        <f>+AS24+AQ25</f>
        <v>1632955</v>
      </c>
      <c r="AT25" s="71"/>
      <c r="AU25" s="71">
        <f t="shared" si="12"/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6">+BC24+AU25</f>
        <v>66480</v>
      </c>
      <c r="BD25" s="71"/>
      <c r="BE25" s="80">
        <f t="shared" si="13"/>
        <v>4.0711470922346296E-2</v>
      </c>
      <c r="BF25" s="71"/>
      <c r="BG25" s="92"/>
      <c r="BH25" s="191"/>
      <c r="BI25" s="1"/>
      <c r="BJ25">
        <f t="shared" si="11"/>
        <v>16</v>
      </c>
    </row>
    <row r="26" spans="2:77" x14ac:dyDescent="0.3">
      <c r="B26" s="179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15"/>
        <v>9637</v>
      </c>
      <c r="V26" s="34"/>
      <c r="W26" s="47">
        <f t="shared" si="4"/>
        <v>2.842915426437314E-2</v>
      </c>
      <c r="X26" s="34"/>
      <c r="Y26" s="34">
        <f t="shared" si="5"/>
        <v>566.88235294117646</v>
      </c>
      <c r="Z26" s="54"/>
      <c r="AA26" s="1"/>
      <c r="AB26" s="23">
        <f t="shared" si="7"/>
        <v>3152</v>
      </c>
      <c r="AC26" s="24"/>
      <c r="AD26" s="24"/>
      <c r="AE26" s="24"/>
      <c r="AF26" s="24">
        <v>17977</v>
      </c>
      <c r="AG26" s="24"/>
      <c r="AH26" s="25">
        <f t="shared" si="8"/>
        <v>0.21261382799325465</v>
      </c>
      <c r="AI26" s="25"/>
      <c r="AJ26" s="25"/>
      <c r="AK26" s="24"/>
      <c r="AL26" s="354">
        <f t="shared" si="9"/>
        <v>5.3032157954823696E-2</v>
      </c>
      <c r="AM26" s="354"/>
      <c r="AN26" s="24">
        <f t="shared" si="10"/>
        <v>1057.4705882352941</v>
      </c>
      <c r="AO26" s="364"/>
      <c r="AP26" s="1"/>
      <c r="AQ26" s="70">
        <v>139414</v>
      </c>
      <c r="AR26" s="71"/>
      <c r="AS26" s="71">
        <f>+AS25+AQ26</f>
        <v>1772369</v>
      </c>
      <c r="AT26" s="71"/>
      <c r="AU26" s="71">
        <f t="shared" si="12"/>
        <v>25316</v>
      </c>
      <c r="AV26" s="71"/>
      <c r="AW26" s="71"/>
      <c r="AX26" s="71"/>
      <c r="AY26" s="71"/>
      <c r="AZ26" s="71"/>
      <c r="BA26" s="71"/>
      <c r="BB26" s="71"/>
      <c r="BC26" s="71">
        <f t="shared" si="16"/>
        <v>91796</v>
      </c>
      <c r="BD26" s="71"/>
      <c r="BE26" s="80">
        <f t="shared" si="13"/>
        <v>5.1792826437384087E-2</v>
      </c>
      <c r="BF26" s="71"/>
      <c r="BG26" s="92"/>
      <c r="BH26" s="191"/>
      <c r="BI26" s="1"/>
      <c r="BJ26">
        <f t="shared" si="11"/>
        <v>17</v>
      </c>
    </row>
    <row r="27" spans="2:77" x14ac:dyDescent="0.3">
      <c r="B27" s="405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2"/>
      <c r="P27" s="406"/>
      <c r="Q27" s="35">
        <v>1255</v>
      </c>
      <c r="R27" s="34"/>
      <c r="S27" s="34"/>
      <c r="T27" s="34"/>
      <c r="U27" s="34">
        <f t="shared" si="15"/>
        <v>10892</v>
      </c>
      <c r="V27" s="34"/>
      <c r="W27" s="47">
        <f t="shared" si="4"/>
        <v>2.9422490430667247E-2</v>
      </c>
      <c r="X27" s="34"/>
      <c r="Y27" s="34">
        <f t="shared" si="5"/>
        <v>605.11111111111109</v>
      </c>
      <c r="Z27" s="54"/>
      <c r="AA27" s="406"/>
      <c r="AB27" s="23">
        <f t="shared" si="7"/>
        <v>1694</v>
      </c>
      <c r="AC27" s="24"/>
      <c r="AD27" s="24"/>
      <c r="AE27" s="24"/>
      <c r="AF27" s="24">
        <v>19671</v>
      </c>
      <c r="AG27" s="24"/>
      <c r="AH27" s="25">
        <f t="shared" si="8"/>
        <v>9.4231518050842747E-2</v>
      </c>
      <c r="AI27" s="25"/>
      <c r="AJ27" s="25"/>
      <c r="AK27" s="24"/>
      <c r="AL27" s="354">
        <f t="shared" si="9"/>
        <v>5.3137147379880227E-2</v>
      </c>
      <c r="AM27" s="354"/>
      <c r="AN27" s="24">
        <f t="shared" si="10"/>
        <v>1092.8333333333333</v>
      </c>
      <c r="AO27" s="364"/>
      <c r="AP27" s="406"/>
      <c r="AQ27" s="70">
        <f t="shared" ref="AQ27:AQ51" si="17">+AS27-AS26</f>
        <v>142171</v>
      </c>
      <c r="AR27" s="71"/>
      <c r="AS27" s="71">
        <v>1914540</v>
      </c>
      <c r="AT27" s="71"/>
      <c r="AU27" s="71">
        <f t="shared" si="12"/>
        <v>31210</v>
      </c>
      <c r="AV27" s="71"/>
      <c r="AW27" s="71"/>
      <c r="AX27" s="71"/>
      <c r="AY27" s="71"/>
      <c r="AZ27" s="71"/>
      <c r="BA27" s="71"/>
      <c r="BB27" s="71"/>
      <c r="BC27" s="71">
        <f t="shared" si="16"/>
        <v>123006</v>
      </c>
      <c r="BD27" s="71"/>
      <c r="BE27" s="80">
        <f t="shared" si="13"/>
        <v>6.4248331191826755E-2</v>
      </c>
      <c r="BF27" s="71"/>
      <c r="BG27" s="92"/>
      <c r="BH27" s="191"/>
      <c r="BI27" s="1"/>
      <c r="BJ27">
        <f t="shared" si="11"/>
        <v>18</v>
      </c>
    </row>
    <row r="28" spans="2:77" x14ac:dyDescent="0.3">
      <c r="B28" s="179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15"/>
        <v>12862</v>
      </c>
      <c r="V28" s="34"/>
      <c r="W28" s="47">
        <f t="shared" si="4"/>
        <v>3.1864002001719301E-2</v>
      </c>
      <c r="X28" s="34"/>
      <c r="Y28" s="34">
        <f t="shared" si="5"/>
        <v>676.9473684210526</v>
      </c>
      <c r="Z28" s="54"/>
      <c r="AA28" s="1"/>
      <c r="AB28" s="23">
        <f t="shared" si="7"/>
        <v>2003</v>
      </c>
      <c r="AC28" s="24"/>
      <c r="AD28" s="24"/>
      <c r="AE28" s="24"/>
      <c r="AF28" s="24">
        <v>21674</v>
      </c>
      <c r="AG28" s="24"/>
      <c r="AH28" s="25">
        <f t="shared" si="8"/>
        <v>0.10182502160540897</v>
      </c>
      <c r="AI28" s="25"/>
      <c r="AJ28" s="25"/>
      <c r="AK28" s="24"/>
      <c r="AL28" s="354">
        <f t="shared" si="9"/>
        <v>5.3694633757212257E-2</v>
      </c>
      <c r="AM28" s="354"/>
      <c r="AN28" s="24">
        <f t="shared" si="10"/>
        <v>1140.7368421052631</v>
      </c>
      <c r="AO28" s="364"/>
      <c r="AP28" s="1"/>
      <c r="AQ28" s="70">
        <f t="shared" si="17"/>
        <v>161199</v>
      </c>
      <c r="AR28" s="71"/>
      <c r="AS28" s="71">
        <v>2075739</v>
      </c>
      <c r="AT28" s="71"/>
      <c r="AU28" s="71">
        <f t="shared" si="12"/>
        <v>33460</v>
      </c>
      <c r="AV28" s="71"/>
      <c r="AW28" s="71"/>
      <c r="AX28" s="71"/>
      <c r="AY28" s="71"/>
      <c r="AZ28" s="71"/>
      <c r="BA28" s="71"/>
      <c r="BB28" s="71"/>
      <c r="BC28" s="71">
        <f t="shared" si="16"/>
        <v>156466</v>
      </c>
      <c r="BD28" s="71"/>
      <c r="BE28" s="80">
        <f t="shared" si="13"/>
        <v>7.5378455576544059E-2</v>
      </c>
      <c r="BF28" s="71"/>
      <c r="BG28" s="92"/>
      <c r="BH28" s="191"/>
      <c r="BI28" s="1"/>
      <c r="BJ28">
        <f t="shared" si="11"/>
        <v>19</v>
      </c>
    </row>
    <row r="29" spans="2:77" x14ac:dyDescent="0.3">
      <c r="B29" s="179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 t="shared" si="2"/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15"/>
        <v>14812</v>
      </c>
      <c r="V29" s="34"/>
      <c r="W29" s="47">
        <f t="shared" si="4"/>
        <v>3.4004609860694049E-2</v>
      </c>
      <c r="X29" s="34"/>
      <c r="Y29" s="34">
        <f t="shared" si="5"/>
        <v>740.6</v>
      </c>
      <c r="Z29" s="54"/>
      <c r="AA29" s="1"/>
      <c r="AB29" s="23">
        <f t="shared" si="7"/>
        <v>1217</v>
      </c>
      <c r="AC29" s="24"/>
      <c r="AD29" s="24"/>
      <c r="AE29" s="24"/>
      <c r="AF29" s="24">
        <v>22891</v>
      </c>
      <c r="AG29" s="24"/>
      <c r="AH29" s="25">
        <f t="shared" si="8"/>
        <v>5.6150226077327677E-2</v>
      </c>
      <c r="AI29" s="25"/>
      <c r="AJ29" s="25"/>
      <c r="AK29" s="24"/>
      <c r="AL29" s="354">
        <f t="shared" si="9"/>
        <v>5.2551952762702372E-2</v>
      </c>
      <c r="AM29" s="354"/>
      <c r="AN29" s="24">
        <f t="shared" si="10"/>
        <v>1144.55</v>
      </c>
      <c r="AO29" s="364"/>
      <c r="AP29" s="1"/>
      <c r="AQ29" s="70">
        <f t="shared" si="17"/>
        <v>133302</v>
      </c>
      <c r="AR29" s="71"/>
      <c r="AS29" s="71">
        <v>2209041</v>
      </c>
      <c r="AT29" s="71"/>
      <c r="AU29" s="71">
        <f t="shared" si="12"/>
        <v>31935</v>
      </c>
      <c r="AV29" s="71"/>
      <c r="AW29" s="71"/>
      <c r="AX29" s="71"/>
      <c r="AY29" s="71"/>
      <c r="AZ29" s="71"/>
      <c r="BA29" s="71"/>
      <c r="BB29" s="71"/>
      <c r="BC29" s="71">
        <f t="shared" si="16"/>
        <v>188401</v>
      </c>
      <c r="BD29" s="71"/>
      <c r="BE29" s="80">
        <f t="shared" si="13"/>
        <v>8.528633013149145E-2</v>
      </c>
      <c r="BF29" s="71"/>
      <c r="BG29" s="92"/>
      <c r="BH29" s="191"/>
      <c r="BI29" s="1"/>
      <c r="BJ29">
        <f t="shared" si="11"/>
        <v>20</v>
      </c>
    </row>
    <row r="30" spans="2:77" x14ac:dyDescent="0.3">
      <c r="B30" s="179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9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15"/>
        <v>16712</v>
      </c>
      <c r="V30" s="34"/>
      <c r="W30" s="47">
        <f t="shared" si="4"/>
        <v>3.5623843589328193E-2</v>
      </c>
      <c r="X30" s="34"/>
      <c r="Y30" s="34">
        <f t="shared" si="5"/>
        <v>795.80952380952385</v>
      </c>
      <c r="Z30" s="54"/>
      <c r="AA30" s="1"/>
      <c r="AB30" s="23">
        <f t="shared" si="7"/>
        <v>3037</v>
      </c>
      <c r="AC30" s="24"/>
      <c r="AD30" s="24"/>
      <c r="AE30" s="24"/>
      <c r="AF30" s="24">
        <v>25928</v>
      </c>
      <c r="AG30" s="24"/>
      <c r="AH30" s="25">
        <f t="shared" si="8"/>
        <v>0.13267222926040803</v>
      </c>
      <c r="AI30" s="25"/>
      <c r="AJ30" s="25"/>
      <c r="AK30" s="24"/>
      <c r="AL30" s="354">
        <f t="shared" si="9"/>
        <v>5.5268969398282755E-2</v>
      </c>
      <c r="AM30" s="354"/>
      <c r="AN30" s="24">
        <f t="shared" si="10"/>
        <v>1234.6666666666667</v>
      </c>
      <c r="AO30" s="364"/>
      <c r="AP30" s="1"/>
      <c r="AQ30" s="70">
        <f t="shared" si="17"/>
        <v>144055</v>
      </c>
      <c r="AR30" s="71"/>
      <c r="AS30" s="71">
        <v>2353096</v>
      </c>
      <c r="AT30" s="71"/>
      <c r="AU30" s="71">
        <f t="shared" si="12"/>
        <v>33536</v>
      </c>
      <c r="AV30" s="71"/>
      <c r="AW30" s="71"/>
      <c r="AX30" s="71"/>
      <c r="AY30" s="71"/>
      <c r="AZ30" s="71"/>
      <c r="BA30" s="71"/>
      <c r="BB30" s="71"/>
      <c r="BC30" s="71">
        <f t="shared" si="16"/>
        <v>221937</v>
      </c>
      <c r="BD30" s="71"/>
      <c r="BE30" s="80">
        <f t="shared" si="13"/>
        <v>9.4317018940153735E-2</v>
      </c>
      <c r="BF30" s="71"/>
      <c r="BG30" s="92"/>
      <c r="BH30" s="191"/>
      <c r="BI30" s="1"/>
      <c r="BJ30">
        <f t="shared" si="11"/>
        <v>21</v>
      </c>
    </row>
    <row r="31" spans="2:77" x14ac:dyDescent="0.3">
      <c r="B31" s="179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 t="shared" si="2"/>
        <v>22858</v>
      </c>
      <c r="O31" s="42"/>
      <c r="P31" s="1"/>
      <c r="Q31" s="35">
        <v>2035</v>
      </c>
      <c r="R31" s="34"/>
      <c r="S31" s="34"/>
      <c r="T31" s="34"/>
      <c r="U31" s="34">
        <f t="shared" si="15"/>
        <v>18747</v>
      </c>
      <c r="V31" s="34"/>
      <c r="W31" s="47">
        <f t="shared" si="4"/>
        <v>3.7279567925293709E-2</v>
      </c>
      <c r="X31" s="34"/>
      <c r="Y31" s="34">
        <f t="shared" si="5"/>
        <v>852.13636363636363</v>
      </c>
      <c r="Z31" s="54"/>
      <c r="AA31" s="1"/>
      <c r="AB31" s="23">
        <f t="shared" si="7"/>
        <v>1386</v>
      </c>
      <c r="AC31" s="24"/>
      <c r="AD31" s="24"/>
      <c r="AE31" s="24"/>
      <c r="AF31" s="24">
        <v>27314</v>
      </c>
      <c r="AG31" s="24"/>
      <c r="AH31" s="25">
        <f t="shared" si="8"/>
        <v>5.3455723542116633E-2</v>
      </c>
      <c r="AI31" s="25"/>
      <c r="AJ31" s="25"/>
      <c r="AK31" s="24"/>
      <c r="AL31" s="354">
        <f t="shared" si="9"/>
        <v>5.4315576802233555E-2</v>
      </c>
      <c r="AM31" s="354"/>
      <c r="AN31" s="24">
        <f t="shared" si="10"/>
        <v>1241.5454545454545</v>
      </c>
      <c r="AO31" s="364"/>
      <c r="AP31" s="1"/>
      <c r="AQ31" s="70">
        <f t="shared" si="17"/>
        <v>185792</v>
      </c>
      <c r="AR31" s="71"/>
      <c r="AS31" s="71">
        <v>2538888</v>
      </c>
      <c r="AT31" s="71"/>
      <c r="AU31" s="71">
        <f t="shared" si="12"/>
        <v>33752</v>
      </c>
      <c r="AV31" s="71"/>
      <c r="AW31" s="71"/>
      <c r="AX31" s="71"/>
      <c r="AY31" s="71"/>
      <c r="AZ31" s="71"/>
      <c r="BA31" s="71"/>
      <c r="BB31" s="71"/>
      <c r="BC31" s="71">
        <f t="shared" si="16"/>
        <v>255689</v>
      </c>
      <c r="BD31" s="71"/>
      <c r="BE31" s="80">
        <f t="shared" si="13"/>
        <v>0.10070905057647285</v>
      </c>
      <c r="BF31" s="71"/>
      <c r="BG31" s="92"/>
      <c r="BH31" s="191"/>
      <c r="BI31" s="1"/>
      <c r="BJ31">
        <f t="shared" si="11"/>
        <v>22</v>
      </c>
    </row>
    <row r="32" spans="2:77" x14ac:dyDescent="0.3">
      <c r="B32" s="179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15"/>
        <v>20577</v>
      </c>
      <c r="V32" s="34"/>
      <c r="W32" s="47">
        <f t="shared" si="4"/>
        <v>3.8614769957157256E-2</v>
      </c>
      <c r="X32" s="34"/>
      <c r="Y32" s="34">
        <f t="shared" si="5"/>
        <v>894.6521739130435</v>
      </c>
      <c r="Z32" s="54"/>
      <c r="AA32" s="1"/>
      <c r="AB32" s="23">
        <f t="shared" si="7"/>
        <v>3139</v>
      </c>
      <c r="AC32" s="24"/>
      <c r="AD32" s="24"/>
      <c r="AE32" s="24"/>
      <c r="AF32" s="24">
        <v>30453</v>
      </c>
      <c r="AG32" s="24"/>
      <c r="AH32" s="25">
        <f t="shared" si="8"/>
        <v>0.1149227502379732</v>
      </c>
      <c r="AI32" s="25"/>
      <c r="AJ32" s="25"/>
      <c r="AK32" s="24"/>
      <c r="AL32" s="354">
        <f t="shared" si="9"/>
        <v>5.7148058001910376E-2</v>
      </c>
      <c r="AM32" s="354"/>
      <c r="AN32" s="24">
        <f t="shared" si="10"/>
        <v>1324.0434782608695</v>
      </c>
      <c r="AO32" s="364"/>
      <c r="AP32" s="1"/>
      <c r="AQ32" s="70">
        <f t="shared" si="17"/>
        <v>131786</v>
      </c>
      <c r="AR32" s="71"/>
      <c r="AS32" s="71">
        <v>2670674</v>
      </c>
      <c r="AT32" s="71"/>
      <c r="AU32" s="71">
        <f t="shared" si="12"/>
        <v>30003</v>
      </c>
      <c r="AV32" s="71"/>
      <c r="AW32" s="71"/>
      <c r="AX32" s="71"/>
      <c r="AY32" s="71"/>
      <c r="AZ32" s="71"/>
      <c r="BA32" s="71"/>
      <c r="BB32" s="71"/>
      <c r="BC32" s="71">
        <f t="shared" si="16"/>
        <v>285692</v>
      </c>
      <c r="BD32" s="71"/>
      <c r="BE32" s="80">
        <f t="shared" si="13"/>
        <v>0.10697374520439409</v>
      </c>
      <c r="BF32" s="71"/>
      <c r="BG32" s="92"/>
      <c r="BH32" s="191"/>
      <c r="BI32" s="1"/>
      <c r="BJ32">
        <f t="shared" si="11"/>
        <v>23</v>
      </c>
    </row>
    <row r="33" spans="2:62" x14ac:dyDescent="0.3">
      <c r="B33" s="179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9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15"/>
        <v>22105</v>
      </c>
      <c r="V33" s="34"/>
      <c r="W33" s="47">
        <f t="shared" si="4"/>
        <v>3.9452079243262536E-2</v>
      </c>
      <c r="X33" s="34"/>
      <c r="Y33" s="34">
        <f t="shared" si="5"/>
        <v>921.04166666666663</v>
      </c>
      <c r="Z33" s="54"/>
      <c r="AA33" s="1"/>
      <c r="AB33" s="23">
        <f t="shared" si="7"/>
        <v>2181</v>
      </c>
      <c r="AC33" s="24"/>
      <c r="AD33" s="24"/>
      <c r="AE33" s="24"/>
      <c r="AF33" s="24">
        <v>32634</v>
      </c>
      <c r="AG33" s="24"/>
      <c r="AH33" s="25">
        <f t="shared" si="8"/>
        <v>7.1618559747808092E-2</v>
      </c>
      <c r="AI33" s="25"/>
      <c r="AJ33" s="25"/>
      <c r="AK33" s="24"/>
      <c r="AL33" s="354">
        <f t="shared" si="9"/>
        <v>5.8243797965375689E-2</v>
      </c>
      <c r="AM33" s="354"/>
      <c r="AN33" s="24">
        <f t="shared" si="10"/>
        <v>1359.75</v>
      </c>
      <c r="AO33" s="364"/>
      <c r="AP33" s="1"/>
      <c r="AQ33" s="70">
        <f t="shared" si="17"/>
        <v>161584</v>
      </c>
      <c r="AR33" s="71"/>
      <c r="AS33" s="71">
        <v>2832258</v>
      </c>
      <c r="AT33" s="71"/>
      <c r="AU33" s="71">
        <f t="shared" si="12"/>
        <v>27421</v>
      </c>
      <c r="AV33" s="71"/>
      <c r="AW33" s="71"/>
      <c r="AX33" s="71"/>
      <c r="AY33" s="71"/>
      <c r="AZ33" s="71"/>
      <c r="BA33" s="71"/>
      <c r="BB33" s="71"/>
      <c r="BC33" s="71">
        <f t="shared" si="16"/>
        <v>313113</v>
      </c>
      <c r="BD33" s="71"/>
      <c r="BE33" s="80">
        <f t="shared" si="13"/>
        <v>0.1105524284863879</v>
      </c>
      <c r="BF33" s="71"/>
      <c r="BG33" s="92"/>
      <c r="BH33" s="191"/>
      <c r="BI33" s="1"/>
      <c r="BJ33">
        <f t="shared" si="11"/>
        <v>24</v>
      </c>
    </row>
    <row r="34" spans="2:62" x14ac:dyDescent="0.3">
      <c r="B34" s="405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 t="shared" si="2"/>
        <v>23477.64</v>
      </c>
      <c r="O34" s="42"/>
      <c r="P34" s="406"/>
      <c r="Q34" s="35">
        <v>1535</v>
      </c>
      <c r="R34" s="34"/>
      <c r="S34" s="34"/>
      <c r="T34" s="34"/>
      <c r="U34" s="34">
        <f t="shared" si="15"/>
        <v>23640</v>
      </c>
      <c r="V34" s="34"/>
      <c r="W34" s="47">
        <f t="shared" si="4"/>
        <v>4.0276620648412705E-2</v>
      </c>
      <c r="X34" s="34"/>
      <c r="Y34" s="34">
        <f t="shared" si="5"/>
        <v>945.6</v>
      </c>
      <c r="Z34" s="54"/>
      <c r="AA34" s="406"/>
      <c r="AB34" s="23">
        <f t="shared" si="7"/>
        <v>3620</v>
      </c>
      <c r="AC34" s="24"/>
      <c r="AD34" s="24"/>
      <c r="AE34" s="24"/>
      <c r="AF34" s="24">
        <v>36254</v>
      </c>
      <c r="AG34" s="24"/>
      <c r="AH34" s="25">
        <f t="shared" si="8"/>
        <v>0.11092725378439665</v>
      </c>
      <c r="AI34" s="25"/>
      <c r="AJ34" s="25"/>
      <c r="AK34" s="24"/>
      <c r="AL34" s="354">
        <f t="shared" si="9"/>
        <v>6.1767707486783167E-2</v>
      </c>
      <c r="AM34" s="354"/>
      <c r="AN34" s="24">
        <f t="shared" si="10"/>
        <v>1450.16</v>
      </c>
      <c r="AO34" s="364"/>
      <c r="AP34" s="406"/>
      <c r="AQ34" s="70">
        <f t="shared" si="17"/>
        <v>111697</v>
      </c>
      <c r="AR34" s="71"/>
      <c r="AS34" s="71">
        <v>2943955</v>
      </c>
      <c r="AT34" s="71"/>
      <c r="AU34" s="71">
        <f t="shared" si="12"/>
        <v>26641</v>
      </c>
      <c r="AV34" s="71"/>
      <c r="AW34" s="71"/>
      <c r="AX34" s="71"/>
      <c r="AY34" s="71"/>
      <c r="AZ34" s="71"/>
      <c r="BA34" s="71"/>
      <c r="BB34" s="71"/>
      <c r="BC34" s="71">
        <f t="shared" si="16"/>
        <v>339754</v>
      </c>
      <c r="BD34" s="71"/>
      <c r="BE34" s="80">
        <f t="shared" si="13"/>
        <v>0.11540733469091749</v>
      </c>
      <c r="BF34" s="71"/>
      <c r="BG34" s="92"/>
      <c r="BH34" s="191"/>
      <c r="BI34" s="1"/>
      <c r="BJ34">
        <f t="shared" si="11"/>
        <v>25</v>
      </c>
    </row>
    <row r="35" spans="2:62" x14ac:dyDescent="0.3">
      <c r="B35" s="179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42" t="s">
        <v>69</v>
      </c>
      <c r="J35" s="39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353" t="s">
        <v>69</v>
      </c>
      <c r="W35" s="47">
        <f t="shared" si="4"/>
        <v>4.8412950809666531E-2</v>
      </c>
      <c r="X35" s="34"/>
      <c r="Y35" s="34">
        <f t="shared" si="5"/>
        <v>1159.3076923076924</v>
      </c>
      <c r="Z35" s="54"/>
      <c r="AA35" s="1"/>
      <c r="AB35" s="23">
        <f t="shared" si="7"/>
        <v>2566</v>
      </c>
      <c r="AC35" s="24"/>
      <c r="AD35" s="24"/>
      <c r="AE35" s="24"/>
      <c r="AF35" s="24">
        <v>38820</v>
      </c>
      <c r="AG35" s="24"/>
      <c r="AH35" s="25">
        <f t="shared" si="8"/>
        <v>7.0778396866552656E-2</v>
      </c>
      <c r="AI35" s="25"/>
      <c r="AJ35" s="25"/>
      <c r="AK35" s="24"/>
      <c r="AL35" s="354">
        <f t="shared" si="9"/>
        <v>6.23512291961799E-2</v>
      </c>
      <c r="AM35" s="354"/>
      <c r="AN35" s="24">
        <f t="shared" si="10"/>
        <v>1493.0769230769231</v>
      </c>
      <c r="AO35" s="364"/>
      <c r="AP35" s="1"/>
      <c r="AQ35" s="70">
        <f t="shared" si="17"/>
        <v>121064</v>
      </c>
      <c r="AR35" s="71"/>
      <c r="AS35" s="71">
        <v>3065019</v>
      </c>
      <c r="AT35" s="71"/>
      <c r="AU35" s="71">
        <f t="shared" si="12"/>
        <v>30720</v>
      </c>
      <c r="AV35" s="71"/>
      <c r="AW35" s="71"/>
      <c r="AX35" s="71"/>
      <c r="AY35" s="71"/>
      <c r="AZ35" s="71"/>
      <c r="BA35" s="71"/>
      <c r="BB35" s="71"/>
      <c r="BC35" s="71">
        <f t="shared" si="16"/>
        <v>370474</v>
      </c>
      <c r="BD35" s="71"/>
      <c r="BE35" s="80">
        <f t="shared" si="13"/>
        <v>0.12087168138272553</v>
      </c>
      <c r="BF35" s="71"/>
      <c r="BG35" s="92"/>
      <c r="BH35" s="191"/>
      <c r="BI35" s="1"/>
      <c r="BJ35">
        <f t="shared" si="11"/>
        <v>26</v>
      </c>
    </row>
    <row r="36" spans="2:62" x14ac:dyDescent="0.3">
      <c r="B36" s="179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9">+U35+Q36</f>
        <v>32760</v>
      </c>
      <c r="V36" s="34"/>
      <c r="W36" s="47">
        <f t="shared" si="4"/>
        <v>5.0172756009703744E-2</v>
      </c>
      <c r="X36" s="34"/>
      <c r="Y36" s="34">
        <f t="shared" si="5"/>
        <v>1213.3333333333333</v>
      </c>
      <c r="Z36" s="54"/>
      <c r="AA36" s="1"/>
      <c r="AB36" s="23">
        <f t="shared" si="7"/>
        <v>9881</v>
      </c>
      <c r="AC36" s="24"/>
      <c r="AD36" s="24"/>
      <c r="AE36" s="24"/>
      <c r="AF36" s="24">
        <v>48701</v>
      </c>
      <c r="AG36" s="24"/>
      <c r="AH36" s="25">
        <f t="shared" si="8"/>
        <v>0.25453374549201441</v>
      </c>
      <c r="AI36" s="25"/>
      <c r="AJ36" s="25"/>
      <c r="AK36" s="24"/>
      <c r="AL36" s="354">
        <f t="shared" si="9"/>
        <v>7.4586794579627039E-2</v>
      </c>
      <c r="AM36" s="354"/>
      <c r="AN36" s="24">
        <f t="shared" si="10"/>
        <v>1803.7407407407406</v>
      </c>
      <c r="AO36" s="364"/>
      <c r="AP36" s="1"/>
      <c r="AQ36" s="70">
        <f t="shared" si="17"/>
        <v>193860</v>
      </c>
      <c r="AR36" s="71"/>
      <c r="AS36" s="71">
        <v>3258879</v>
      </c>
      <c r="AT36" s="71"/>
      <c r="AU36" s="71">
        <f t="shared" si="12"/>
        <v>30342</v>
      </c>
      <c r="AV36" s="71"/>
      <c r="AW36" s="71"/>
      <c r="AX36" s="71"/>
      <c r="AY36" s="71"/>
      <c r="AZ36" s="71"/>
      <c r="BA36" s="71"/>
      <c r="BB36" s="71"/>
      <c r="BC36" s="71">
        <f t="shared" si="16"/>
        <v>400816</v>
      </c>
      <c r="BD36" s="71"/>
      <c r="BE36" s="80">
        <f t="shared" si="13"/>
        <v>0.12299198589453612</v>
      </c>
      <c r="BF36" s="71"/>
      <c r="BG36" s="92"/>
      <c r="BH36" s="191"/>
      <c r="BI36" s="1"/>
      <c r="BJ36">
        <f t="shared" si="11"/>
        <v>27</v>
      </c>
    </row>
    <row r="37" spans="2:62" x14ac:dyDescent="0.3">
      <c r="B37" s="179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9"/>
        <v>34936</v>
      </c>
      <c r="V37" s="34"/>
      <c r="W37" s="47">
        <f t="shared" si="4"/>
        <v>5.1187453389029629E-2</v>
      </c>
      <c r="X37" s="34"/>
      <c r="Y37" s="34">
        <f t="shared" si="5"/>
        <v>1247.7142857142858</v>
      </c>
      <c r="Z37" s="54"/>
      <c r="AA37" s="10"/>
      <c r="AB37" s="23">
        <f t="shared" si="7"/>
        <v>8807</v>
      </c>
      <c r="AC37" s="24"/>
      <c r="AD37" s="24"/>
      <c r="AE37" s="24"/>
      <c r="AF37" s="24">
        <v>57508</v>
      </c>
      <c r="AG37" s="24"/>
      <c r="AH37" s="25">
        <f t="shared" si="8"/>
        <v>0.1808381758074783</v>
      </c>
      <c r="AI37" s="25"/>
      <c r="AJ37" s="25"/>
      <c r="AK37" s="24"/>
      <c r="AL37" s="354">
        <f t="shared" si="9"/>
        <v>8.4259447833075221E-2</v>
      </c>
      <c r="AM37" s="354"/>
      <c r="AN37" s="24">
        <f t="shared" si="10"/>
        <v>2053.8571428571427</v>
      </c>
      <c r="AO37" s="364"/>
      <c r="AP37" s="1"/>
      <c r="AQ37" s="70">
        <f t="shared" si="17"/>
        <v>139261</v>
      </c>
      <c r="AR37" s="71"/>
      <c r="AS37" s="71">
        <v>3398140</v>
      </c>
      <c r="AT37" s="71"/>
      <c r="AU37" s="71">
        <f t="shared" si="12"/>
        <v>29567</v>
      </c>
      <c r="AV37" s="71"/>
      <c r="AW37" s="71"/>
      <c r="AX37" s="71"/>
      <c r="AY37" s="71"/>
      <c r="AZ37" s="71"/>
      <c r="BA37" s="71"/>
      <c r="BB37" s="71"/>
      <c r="BC37" s="71">
        <f t="shared" si="16"/>
        <v>430383</v>
      </c>
      <c r="BD37" s="71"/>
      <c r="BE37" s="80">
        <f t="shared" si="13"/>
        <v>0.12665252167362145</v>
      </c>
      <c r="BF37" s="71"/>
      <c r="BG37" s="92"/>
      <c r="BH37" s="191"/>
      <c r="BI37" s="1"/>
      <c r="BJ37">
        <f t="shared" si="11"/>
        <v>28</v>
      </c>
    </row>
    <row r="38" spans="2:62" x14ac:dyDescent="0.3">
      <c r="B38" s="179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 t="shared" si="2"/>
        <v>24644</v>
      </c>
      <c r="O38" s="42"/>
      <c r="P38" s="10"/>
      <c r="Q38" s="35">
        <v>2528</v>
      </c>
      <c r="R38" s="34"/>
      <c r="S38" s="34"/>
      <c r="T38" s="34"/>
      <c r="U38" s="34">
        <f t="shared" si="19"/>
        <v>37464</v>
      </c>
      <c r="V38" s="34"/>
      <c r="W38" s="47">
        <f t="shared" si="4"/>
        <v>5.2420957188991937E-2</v>
      </c>
      <c r="X38" s="34"/>
      <c r="Y38" s="34">
        <f t="shared" si="5"/>
        <v>1291.8620689655172</v>
      </c>
      <c r="Z38" s="54"/>
      <c r="AA38" s="10"/>
      <c r="AB38" s="23">
        <f t="shared" si="7"/>
        <v>3002</v>
      </c>
      <c r="AC38" s="24"/>
      <c r="AD38" s="24"/>
      <c r="AE38" s="24"/>
      <c r="AF38" s="24">
        <v>60510</v>
      </c>
      <c r="AG38" s="24"/>
      <c r="AH38" s="25">
        <f t="shared" si="8"/>
        <v>5.2201432844126032E-2</v>
      </c>
      <c r="AI38" s="25"/>
      <c r="AJ38" s="25"/>
      <c r="AK38" s="24"/>
      <c r="AL38" s="354">
        <f t="shared" si="9"/>
        <v>8.4667737548203656E-2</v>
      </c>
      <c r="AM38" s="354"/>
      <c r="AN38" s="24">
        <f t="shared" si="10"/>
        <v>2086.5517241379312</v>
      </c>
      <c r="AO38" s="364"/>
      <c r="AP38" s="1"/>
      <c r="AQ38" s="70">
        <f t="shared" si="17"/>
        <v>174117</v>
      </c>
      <c r="AR38" s="71"/>
      <c r="AS38" s="71">
        <v>3572257</v>
      </c>
      <c r="AT38" s="71"/>
      <c r="AU38" s="71">
        <f t="shared" si="12"/>
        <v>32165</v>
      </c>
      <c r="AV38" s="71"/>
      <c r="AW38" s="71"/>
      <c r="AX38" s="71"/>
      <c r="AY38" s="71"/>
      <c r="AZ38" s="71"/>
      <c r="BA38" s="71"/>
      <c r="BB38" s="71"/>
      <c r="BC38" s="71">
        <f t="shared" si="16"/>
        <v>462548</v>
      </c>
      <c r="BD38" s="71"/>
      <c r="BE38" s="80">
        <f t="shared" si="13"/>
        <v>0.12948340502936939</v>
      </c>
      <c r="BF38" s="71"/>
      <c r="BG38" s="92"/>
      <c r="BH38" s="191"/>
      <c r="BI38" s="1"/>
      <c r="BJ38">
        <f t="shared" si="11"/>
        <v>29</v>
      </c>
    </row>
    <row r="39" spans="2:62" x14ac:dyDescent="0.3">
      <c r="B39" s="344">
        <f t="shared" si="6"/>
        <v>43939</v>
      </c>
      <c r="C39" s="116"/>
      <c r="D39" s="17">
        <v>29057</v>
      </c>
      <c r="E39" s="16"/>
      <c r="F39" s="16"/>
      <c r="G39" s="16"/>
      <c r="H39" s="16">
        <f t="shared" si="18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 t="shared" si="2"/>
        <v>24791.1</v>
      </c>
      <c r="O39" s="42"/>
      <c r="P39" s="96"/>
      <c r="Q39" s="35">
        <v>1867</v>
      </c>
      <c r="R39" s="34"/>
      <c r="S39" s="34"/>
      <c r="T39" s="34"/>
      <c r="U39" s="34">
        <f t="shared" si="19"/>
        <v>39331</v>
      </c>
      <c r="V39" s="34"/>
      <c r="W39" s="47">
        <f t="shared" si="4"/>
        <v>5.2883225566164205E-2</v>
      </c>
      <c r="X39" s="34"/>
      <c r="Y39" s="34">
        <f t="shared" si="5"/>
        <v>1311.0333333333333</v>
      </c>
      <c r="Z39" s="54"/>
      <c r="AA39" s="96"/>
      <c r="AB39" s="23">
        <f t="shared" si="7"/>
        <v>7759</v>
      </c>
      <c r="AC39" s="24"/>
      <c r="AD39" s="24"/>
      <c r="AE39" s="24"/>
      <c r="AF39" s="24">
        <v>68269</v>
      </c>
      <c r="AG39" s="24"/>
      <c r="AH39" s="25">
        <f t="shared" si="8"/>
        <v>0.12822673938192033</v>
      </c>
      <c r="AI39" s="25"/>
      <c r="AJ39" s="25"/>
      <c r="AK39" s="24"/>
      <c r="AL39" s="354">
        <f t="shared" si="9"/>
        <v>9.1792350211702317E-2</v>
      </c>
      <c r="AM39" s="354"/>
      <c r="AN39" s="24">
        <f t="shared" si="10"/>
        <v>2275.6333333333332</v>
      </c>
      <c r="AO39" s="364"/>
      <c r="AP39" s="96"/>
      <c r="AQ39" s="70">
        <f t="shared" si="17"/>
        <v>149888</v>
      </c>
      <c r="AR39" s="71"/>
      <c r="AS39" s="71">
        <v>3722145</v>
      </c>
      <c r="AT39" s="71"/>
      <c r="AU39" s="71">
        <f t="shared" si="12"/>
        <v>29057</v>
      </c>
      <c r="AV39" s="71"/>
      <c r="AW39" s="71"/>
      <c r="AX39" s="71"/>
      <c r="AY39" s="71"/>
      <c r="AZ39" s="71"/>
      <c r="BA39" s="71"/>
      <c r="BB39" s="71"/>
      <c r="BC39" s="71">
        <f t="shared" si="16"/>
        <v>491605</v>
      </c>
      <c r="BD39" s="71"/>
      <c r="BE39" s="80">
        <f t="shared" si="13"/>
        <v>0.13207572515310392</v>
      </c>
      <c r="BF39" s="71"/>
      <c r="BG39" s="92"/>
      <c r="BH39" s="191"/>
      <c r="BI39" s="96"/>
      <c r="BJ39" s="116">
        <f t="shared" si="11"/>
        <v>30</v>
      </c>
    </row>
    <row r="40" spans="2:62" x14ac:dyDescent="0.3">
      <c r="B40" s="179">
        <f t="shared" si="6"/>
        <v>43940</v>
      </c>
      <c r="C40" s="65"/>
      <c r="D40" s="17">
        <v>26183</v>
      </c>
      <c r="E40" s="16"/>
      <c r="F40" s="16"/>
      <c r="G40" s="16"/>
      <c r="H40" s="16">
        <f t="shared" si="18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 t="shared" si="2"/>
        <v>24836</v>
      </c>
      <c r="O40" s="42"/>
      <c r="P40" s="10"/>
      <c r="Q40" s="35">
        <v>1570</v>
      </c>
      <c r="R40" s="34"/>
      <c r="S40" s="34"/>
      <c r="T40" s="34"/>
      <c r="U40" s="34">
        <f t="shared" si="19"/>
        <v>40901</v>
      </c>
      <c r="V40" s="34"/>
      <c r="W40" s="47">
        <f t="shared" si="4"/>
        <v>5.312397716114485E-2</v>
      </c>
      <c r="X40" s="34"/>
      <c r="Y40" s="34">
        <f t="shared" si="5"/>
        <v>1319.3870967741937</v>
      </c>
      <c r="Z40" s="54"/>
      <c r="AA40" s="10"/>
      <c r="AB40" s="23">
        <f t="shared" si="7"/>
        <v>2734</v>
      </c>
      <c r="AC40" s="24"/>
      <c r="AD40" s="24"/>
      <c r="AE40" s="24"/>
      <c r="AF40" s="24">
        <v>71003</v>
      </c>
      <c r="AG40" s="24"/>
      <c r="AH40" s="25">
        <f t="shared" si="8"/>
        <v>4.004745931535543E-2</v>
      </c>
      <c r="AI40" s="25"/>
      <c r="AJ40" s="25"/>
      <c r="AK40" s="24"/>
      <c r="AL40" s="354">
        <f t="shared" si="9"/>
        <v>9.2221748866110065E-2</v>
      </c>
      <c r="AM40" s="354"/>
      <c r="AN40" s="24">
        <f t="shared" si="10"/>
        <v>2290.4193548387098</v>
      </c>
      <c r="AO40" s="364"/>
      <c r="AP40" s="1"/>
      <c r="AQ40" s="70">
        <f t="shared" si="17"/>
        <v>139404</v>
      </c>
      <c r="AR40" s="71"/>
      <c r="AS40" s="71">
        <v>3861549</v>
      </c>
      <c r="AT40" s="71"/>
      <c r="AU40" s="71">
        <f t="shared" si="12"/>
        <v>26183</v>
      </c>
      <c r="AV40" s="71"/>
      <c r="AW40" s="163">
        <f t="shared" ref="AW40:AW51" si="20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6"/>
        <v>517788</v>
      </c>
      <c r="BD40" s="71"/>
      <c r="BE40" s="80">
        <f t="shared" si="13"/>
        <v>0.13408815995860729</v>
      </c>
      <c r="BF40" s="71"/>
      <c r="BG40" s="92"/>
      <c r="BH40" s="191"/>
      <c r="BI40" s="1"/>
      <c r="BJ40">
        <f t="shared" si="11"/>
        <v>31</v>
      </c>
    </row>
    <row r="41" spans="2:62" x14ac:dyDescent="0.3">
      <c r="B41" s="405">
        <f t="shared" si="6"/>
        <v>43941</v>
      </c>
      <c r="C41" s="65"/>
      <c r="D41" s="17">
        <v>28143</v>
      </c>
      <c r="E41" s="16"/>
      <c r="F41" s="16"/>
      <c r="G41" s="16"/>
      <c r="H41" s="16">
        <f t="shared" si="18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 t="shared" si="2"/>
        <v>24939.34375</v>
      </c>
      <c r="O41" s="42"/>
      <c r="P41" s="406"/>
      <c r="Q41" s="35">
        <v>1952</v>
      </c>
      <c r="R41" s="34"/>
      <c r="S41" s="34"/>
      <c r="T41" s="34"/>
      <c r="U41" s="34">
        <f t="shared" si="19"/>
        <v>42853</v>
      </c>
      <c r="V41" s="34"/>
      <c r="W41" s="47">
        <f t="shared" si="4"/>
        <v>5.369653120884546E-2</v>
      </c>
      <c r="X41" s="34"/>
      <c r="Y41" s="34">
        <f t="shared" si="5"/>
        <v>1339.15625</v>
      </c>
      <c r="Z41" s="54"/>
      <c r="AA41" s="406"/>
      <c r="AB41" s="23">
        <f t="shared" si="7"/>
        <v>1386</v>
      </c>
      <c r="AC41" s="24"/>
      <c r="AD41" s="24"/>
      <c r="AE41" s="24"/>
      <c r="AF41" s="24">
        <v>72389</v>
      </c>
      <c r="AG41" s="24"/>
      <c r="AH41" s="25">
        <f t="shared" si="8"/>
        <v>1.9520301959072152E-2</v>
      </c>
      <c r="AI41" s="25"/>
      <c r="AJ41" s="25"/>
      <c r="AK41" s="24"/>
      <c r="AL41" s="354">
        <f t="shared" si="9"/>
        <v>9.0706326224000988E-2</v>
      </c>
      <c r="AM41" s="354"/>
      <c r="AN41" s="24">
        <f t="shared" si="10"/>
        <v>2262.15625</v>
      </c>
      <c r="AO41" s="364"/>
      <c r="AP41" s="406"/>
      <c r="AQ41" s="70">
        <f t="shared" si="17"/>
        <v>164811</v>
      </c>
      <c r="AR41" s="71"/>
      <c r="AS41" s="71">
        <v>4026360</v>
      </c>
      <c r="AT41" s="71"/>
      <c r="AU41" s="71">
        <f t="shared" si="12"/>
        <v>28143</v>
      </c>
      <c r="AV41" s="71"/>
      <c r="AW41" s="163">
        <f t="shared" si="20"/>
        <v>0.17075923330360232</v>
      </c>
      <c r="AX41" s="71"/>
      <c r="AY41" s="71"/>
      <c r="AZ41" s="71"/>
      <c r="BA41" s="71">
        <f t="shared" ref="BA41:BA59" si="21">+AS41/BJ41</f>
        <v>125823.75</v>
      </c>
      <c r="BB41" s="71"/>
      <c r="BC41" s="71">
        <f t="shared" si="16"/>
        <v>545931</v>
      </c>
      <c r="BD41" s="71"/>
      <c r="BE41" s="80">
        <f t="shared" si="13"/>
        <v>0.13558921705957738</v>
      </c>
      <c r="BF41" s="71"/>
      <c r="BG41" s="92"/>
      <c r="BH41" s="191"/>
      <c r="BI41" s="1"/>
      <c r="BJ41">
        <f t="shared" si="11"/>
        <v>32</v>
      </c>
    </row>
    <row r="42" spans="2:62" x14ac:dyDescent="0.3">
      <c r="B42" s="179">
        <f t="shared" si="6"/>
        <v>43942</v>
      </c>
      <c r="C42" s="65"/>
      <c r="D42" s="17">
        <v>26105</v>
      </c>
      <c r="E42" s="16"/>
      <c r="F42" s="16"/>
      <c r="G42" s="16"/>
      <c r="H42" s="16">
        <f t="shared" si="18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 t="shared" ref="N42:N59" si="22"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9"/>
        <v>45536</v>
      </c>
      <c r="V42" s="34"/>
      <c r="W42" s="47">
        <f t="shared" si="4"/>
        <v>5.5251139336345678E-2</v>
      </c>
      <c r="X42" s="34"/>
      <c r="Y42" s="34">
        <f t="shared" ref="Y42:Y59" si="23">+U42/BJ42</f>
        <v>1379.878787878788</v>
      </c>
      <c r="Z42" s="54"/>
      <c r="AA42" s="1"/>
      <c r="AB42" s="23">
        <f t="shared" si="7"/>
        <v>10534</v>
      </c>
      <c r="AC42" s="24"/>
      <c r="AD42" s="24"/>
      <c r="AE42" s="24"/>
      <c r="AF42" s="24">
        <v>82923</v>
      </c>
      <c r="AG42" s="24"/>
      <c r="AH42" s="25">
        <f t="shared" si="8"/>
        <v>0.14551934686209231</v>
      </c>
      <c r="AI42" s="25"/>
      <c r="AJ42" s="25"/>
      <c r="AK42" s="24"/>
      <c r="AL42" s="354">
        <f t="shared" si="9"/>
        <v>0.10061468348532573</v>
      </c>
      <c r="AM42" s="354"/>
      <c r="AN42" s="24">
        <f t="shared" si="10"/>
        <v>2512.818181818182</v>
      </c>
      <c r="AO42" s="364"/>
      <c r="AP42" s="1"/>
      <c r="AQ42" s="70">
        <f t="shared" si="17"/>
        <v>161032</v>
      </c>
      <c r="AR42" s="71"/>
      <c r="AS42" s="71">
        <v>4187392</v>
      </c>
      <c r="AT42" s="71"/>
      <c r="AU42" s="71">
        <f t="shared" si="12"/>
        <v>26105</v>
      </c>
      <c r="AV42" s="71"/>
      <c r="AW42" s="163">
        <f t="shared" si="20"/>
        <v>0.16211063639525064</v>
      </c>
      <c r="AX42" s="71"/>
      <c r="AY42" s="71"/>
      <c r="AZ42" s="71"/>
      <c r="BA42" s="71">
        <f t="shared" si="21"/>
        <v>126890.66666666667</v>
      </c>
      <c r="BB42" s="71"/>
      <c r="BC42" s="71">
        <f t="shared" si="16"/>
        <v>572036</v>
      </c>
      <c r="BD42" s="71"/>
      <c r="BE42" s="80">
        <f t="shared" si="13"/>
        <v>0.13660913523262211</v>
      </c>
      <c r="BF42" s="71"/>
      <c r="BG42" s="92"/>
      <c r="BH42" s="191"/>
      <c r="BI42" s="1"/>
      <c r="BJ42">
        <f t="shared" si="11"/>
        <v>33</v>
      </c>
    </row>
    <row r="43" spans="2:62" x14ac:dyDescent="0.3">
      <c r="B43" s="179">
        <f t="shared" si="6"/>
        <v>43943</v>
      </c>
      <c r="C43" s="65"/>
      <c r="D43" s="17">
        <v>30210</v>
      </c>
      <c r="E43" s="16"/>
      <c r="F43" s="16"/>
      <c r="G43" s="16"/>
      <c r="H43" s="16">
        <f t="shared" si="18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9"/>
        <v>47894</v>
      </c>
      <c r="V43" s="34"/>
      <c r="W43" s="47">
        <f t="shared" si="4"/>
        <v>5.6057417477591784E-2</v>
      </c>
      <c r="X43" s="34"/>
      <c r="Y43" s="34">
        <f t="shared" si="23"/>
        <v>1408.6470588235295</v>
      </c>
      <c r="Z43" s="54"/>
      <c r="AA43" s="1"/>
      <c r="AB43" s="23">
        <f t="shared" si="7"/>
        <v>1127</v>
      </c>
      <c r="AC43" s="24"/>
      <c r="AD43" s="24"/>
      <c r="AE43" s="24"/>
      <c r="AF43" s="24">
        <v>84050</v>
      </c>
      <c r="AG43" s="24"/>
      <c r="AH43" s="25">
        <f t="shared" si="8"/>
        <v>1.3590921698443134E-2</v>
      </c>
      <c r="AI43" s="25"/>
      <c r="AJ43" s="25"/>
      <c r="AK43" s="24"/>
      <c r="AL43" s="354">
        <f t="shared" si="9"/>
        <v>9.8376120996191363E-2</v>
      </c>
      <c r="AM43" s="354"/>
      <c r="AN43" s="24">
        <f t="shared" si="10"/>
        <v>2472.0588235294117</v>
      </c>
      <c r="AO43" s="364"/>
      <c r="AP43" s="1"/>
      <c r="AQ43" s="70">
        <f t="shared" si="17"/>
        <v>137950</v>
      </c>
      <c r="AR43" s="71"/>
      <c r="AS43" s="71">
        <v>4325342</v>
      </c>
      <c r="AT43" s="71"/>
      <c r="AU43" s="71">
        <f t="shared" si="12"/>
        <v>30210</v>
      </c>
      <c r="AV43" s="71"/>
      <c r="AW43" s="163">
        <f t="shared" si="20"/>
        <v>0.21899238854657485</v>
      </c>
      <c r="AX43" s="71"/>
      <c r="AY43" s="71"/>
      <c r="AZ43" s="71"/>
      <c r="BA43" s="71">
        <f t="shared" si="21"/>
        <v>127215.94117647059</v>
      </c>
      <c r="BB43" s="71"/>
      <c r="BC43" s="71">
        <f t="shared" si="16"/>
        <v>602246</v>
      </c>
      <c r="BD43" s="71"/>
      <c r="BE43" s="80">
        <f t="shared" si="13"/>
        <v>0.13923661990196382</v>
      </c>
      <c r="BF43" s="71"/>
      <c r="BG43" s="92"/>
      <c r="BH43" s="191"/>
      <c r="BI43" s="1"/>
      <c r="BJ43">
        <f t="shared" si="11"/>
        <v>34</v>
      </c>
    </row>
    <row r="44" spans="2:62" x14ac:dyDescent="0.3">
      <c r="B44" s="179">
        <f t="shared" si="6"/>
        <v>43944</v>
      </c>
      <c r="C44" s="65"/>
      <c r="D44" s="17">
        <v>31900</v>
      </c>
      <c r="E44" s="16"/>
      <c r="F44" s="16"/>
      <c r="G44" s="16"/>
      <c r="H44" s="16">
        <f t="shared" si="18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9"/>
        <v>50234</v>
      </c>
      <c r="V44" s="34"/>
      <c r="W44" s="47">
        <f t="shared" si="4"/>
        <v>5.6679988355745517E-2</v>
      </c>
      <c r="X44" s="34"/>
      <c r="Y44" s="34">
        <f t="shared" si="23"/>
        <v>1435.2571428571428</v>
      </c>
      <c r="Z44" s="54"/>
      <c r="AA44" s="1"/>
      <c r="AB44" s="23">
        <f t="shared" si="7"/>
        <v>1872</v>
      </c>
      <c r="AC44" s="24"/>
      <c r="AD44" s="24"/>
      <c r="AE44" s="24"/>
      <c r="AF44" s="24">
        <v>85922</v>
      </c>
      <c r="AG44" s="24"/>
      <c r="AH44" s="25">
        <f t="shared" si="8"/>
        <v>2.2272456870910173E-2</v>
      </c>
      <c r="AI44" s="25"/>
      <c r="AJ44" s="25"/>
      <c r="AK44" s="24"/>
      <c r="AL44" s="354">
        <f t="shared" si="9"/>
        <v>9.6947445146760486E-2</v>
      </c>
      <c r="AM44" s="354"/>
      <c r="AN44" s="24">
        <f t="shared" si="10"/>
        <v>2454.9142857142856</v>
      </c>
      <c r="AO44" s="364"/>
      <c r="AP44" s="1"/>
      <c r="AQ44" s="70">
        <f t="shared" si="17"/>
        <v>371362</v>
      </c>
      <c r="AR44" s="71"/>
      <c r="AS44" s="71">
        <v>4696704</v>
      </c>
      <c r="AT44" s="71"/>
      <c r="AU44" s="71">
        <f t="shared" si="12"/>
        <v>31900</v>
      </c>
      <c r="AV44" s="71"/>
      <c r="AW44" s="163">
        <f t="shared" si="20"/>
        <v>8.590001130971936E-2</v>
      </c>
      <c r="AX44" s="71"/>
      <c r="AY44" s="71"/>
      <c r="AZ44" s="71"/>
      <c r="BA44" s="71">
        <f t="shared" si="21"/>
        <v>134191.54285714286</v>
      </c>
      <c r="BB44" s="71"/>
      <c r="BC44" s="71">
        <f t="shared" si="16"/>
        <v>634146</v>
      </c>
      <c r="BD44" s="71"/>
      <c r="BE44" s="80">
        <f t="shared" si="13"/>
        <v>0.13501936677295398</v>
      </c>
      <c r="BF44" s="71"/>
      <c r="BG44" s="92"/>
      <c r="BH44" s="191"/>
      <c r="BI44" s="1"/>
      <c r="BJ44">
        <f t="shared" si="11"/>
        <v>35</v>
      </c>
    </row>
    <row r="45" spans="2:62" x14ac:dyDescent="0.3">
      <c r="B45" s="179">
        <f t="shared" si="6"/>
        <v>43945</v>
      </c>
      <c r="C45" s="65"/>
      <c r="D45" s="17">
        <v>38764</v>
      </c>
      <c r="E45" s="16"/>
      <c r="F45" s="16"/>
      <c r="G45" s="16"/>
      <c r="H45" s="16">
        <f t="shared" si="18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 t="shared" si="22"/>
        <v>25695.5</v>
      </c>
      <c r="O45" s="42"/>
      <c r="P45" s="1"/>
      <c r="Q45" s="35">
        <v>1957</v>
      </c>
      <c r="R45" s="34"/>
      <c r="S45" s="34"/>
      <c r="T45" s="34"/>
      <c r="U45" s="34">
        <f t="shared" si="19"/>
        <v>52191</v>
      </c>
      <c r="V45" s="34"/>
      <c r="W45" s="47">
        <f t="shared" si="4"/>
        <v>5.6420384892296317E-2</v>
      </c>
      <c r="X45" s="34"/>
      <c r="Y45" s="34">
        <f t="shared" si="23"/>
        <v>1449.75</v>
      </c>
      <c r="Z45" s="54"/>
      <c r="AA45" s="1"/>
      <c r="AB45" s="23">
        <f t="shared" si="7"/>
        <v>24510</v>
      </c>
      <c r="AC45" s="24"/>
      <c r="AD45" s="24"/>
      <c r="AE45" s="24"/>
      <c r="AF45" s="24">
        <v>110432</v>
      </c>
      <c r="AG45" s="24"/>
      <c r="AH45" s="25">
        <f t="shared" si="8"/>
        <v>0.28525872302786248</v>
      </c>
      <c r="AI45" s="25"/>
      <c r="AJ45" s="25"/>
      <c r="AK45" s="24"/>
      <c r="AL45" s="354">
        <f t="shared" si="9"/>
        <v>0.11938104164369463</v>
      </c>
      <c r="AM45" s="354"/>
      <c r="AN45" s="24">
        <f t="shared" si="10"/>
        <v>3067.5555555555557</v>
      </c>
      <c r="AO45" s="364"/>
      <c r="AP45" s="1"/>
      <c r="AQ45" s="70">
        <f t="shared" si="17"/>
        <v>318898</v>
      </c>
      <c r="AR45" s="71"/>
      <c r="AS45" s="71">
        <v>5015602</v>
      </c>
      <c r="AT45" s="71"/>
      <c r="AU45" s="71">
        <f t="shared" si="12"/>
        <v>38764</v>
      </c>
      <c r="AV45" s="71"/>
      <c r="AW45" s="163">
        <f t="shared" si="20"/>
        <v>0.12155610884985167</v>
      </c>
      <c r="AX45" s="71"/>
      <c r="AY45" s="71"/>
      <c r="AZ45" s="71"/>
      <c r="BA45" s="71">
        <f t="shared" si="21"/>
        <v>139322.27777777778</v>
      </c>
      <c r="BB45" s="71"/>
      <c r="BC45" s="71">
        <f t="shared" si="16"/>
        <v>672910</v>
      </c>
      <c r="BD45" s="71"/>
      <c r="BE45" s="80">
        <f t="shared" si="13"/>
        <v>0.13416335666187229</v>
      </c>
      <c r="BF45" s="71"/>
      <c r="BG45" s="92"/>
      <c r="BH45" s="191"/>
      <c r="BI45" s="1"/>
      <c r="BJ45">
        <f t="shared" si="11"/>
        <v>36</v>
      </c>
    </row>
    <row r="46" spans="2:62" x14ac:dyDescent="0.3">
      <c r="B46" s="179">
        <f t="shared" si="6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9"/>
        <v>54256</v>
      </c>
      <c r="V46" s="34"/>
      <c r="W46" s="47">
        <f t="shared" si="4"/>
        <v>5.6478367273859083E-2</v>
      </c>
      <c r="X46" s="34"/>
      <c r="Y46" s="34">
        <f t="shared" si="23"/>
        <v>1466.3783783783783</v>
      </c>
      <c r="Z46" s="54"/>
      <c r="AA46" s="1"/>
      <c r="AB46" s="23">
        <f t="shared" si="7"/>
        <v>7730</v>
      </c>
      <c r="AC46" s="24"/>
      <c r="AD46" s="24"/>
      <c r="AE46" s="24"/>
      <c r="AF46" s="24">
        <v>118162</v>
      </c>
      <c r="AG46" s="24"/>
      <c r="AH46" s="25">
        <f t="shared" si="8"/>
        <v>6.9997826716893655E-2</v>
      </c>
      <c r="AI46" s="25"/>
      <c r="AJ46" s="25"/>
      <c r="AK46" s="24"/>
      <c r="AL46" s="354">
        <f t="shared" si="9"/>
        <v>0.12300200593139445</v>
      </c>
      <c r="AM46" s="354"/>
      <c r="AN46" s="24">
        <f t="shared" si="10"/>
        <v>3193.5675675675675</v>
      </c>
      <c r="AO46" s="364"/>
      <c r="AP46" s="1"/>
      <c r="AQ46" s="70">
        <f t="shared" si="17"/>
        <v>263635</v>
      </c>
      <c r="AR46" s="71"/>
      <c r="AS46" s="71">
        <v>5279237</v>
      </c>
      <c r="AT46" s="71"/>
      <c r="AU46" s="71">
        <f t="shared" si="12"/>
        <v>35419</v>
      </c>
      <c r="AV46" s="71"/>
      <c r="AW46" s="163">
        <f t="shared" si="20"/>
        <v>0.13434862594116867</v>
      </c>
      <c r="AX46" s="71"/>
      <c r="AY46" s="71"/>
      <c r="AZ46" s="71"/>
      <c r="BA46" s="71">
        <f t="shared" si="21"/>
        <v>142682.08108108109</v>
      </c>
      <c r="BB46" s="71"/>
      <c r="BC46" s="71">
        <f t="shared" si="16"/>
        <v>708329</v>
      </c>
      <c r="BD46" s="71"/>
      <c r="BE46" s="80">
        <f t="shared" si="13"/>
        <v>0.13417260865537955</v>
      </c>
      <c r="BF46" s="71"/>
      <c r="BG46" s="92"/>
      <c r="BH46" s="191"/>
      <c r="BI46" s="1"/>
      <c r="BJ46">
        <f t="shared" si="11"/>
        <v>37</v>
      </c>
    </row>
    <row r="47" spans="2:62" x14ac:dyDescent="0.3">
      <c r="B47" s="179">
        <f t="shared" si="6"/>
        <v>43947</v>
      </c>
      <c r="C47" s="65"/>
      <c r="D47" s="17">
        <v>26509</v>
      </c>
      <c r="E47" s="16"/>
      <c r="F47" s="16"/>
      <c r="G47" s="16"/>
      <c r="H47" s="16">
        <f t="shared" ref="H47:H52" si="24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9"/>
        <v>55412</v>
      </c>
      <c r="V47" s="34"/>
      <c r="W47" s="47">
        <f t="shared" si="4"/>
        <v>5.6132744438591516E-2</v>
      </c>
      <c r="X47" s="34"/>
      <c r="Y47" s="34">
        <f t="shared" si="23"/>
        <v>1458.2105263157894</v>
      </c>
      <c r="Z47" s="54"/>
      <c r="AA47" s="1"/>
      <c r="AB47" s="23">
        <f t="shared" si="7"/>
        <v>619</v>
      </c>
      <c r="AC47" s="24"/>
      <c r="AD47" s="24"/>
      <c r="AE47" s="24"/>
      <c r="AF47" s="24">
        <v>118781</v>
      </c>
      <c r="AG47" s="24"/>
      <c r="AH47" s="25">
        <f t="shared" si="8"/>
        <v>5.238570775714697E-3</v>
      </c>
      <c r="AI47" s="25"/>
      <c r="AJ47" s="25"/>
      <c r="AK47" s="24"/>
      <c r="AL47" s="354">
        <f t="shared" si="9"/>
        <v>0.12032598565582074</v>
      </c>
      <c r="AM47" s="354"/>
      <c r="AN47" s="24">
        <f t="shared" si="10"/>
        <v>3125.8157894736842</v>
      </c>
      <c r="AO47" s="364"/>
      <c r="AP47" s="1"/>
      <c r="AQ47" s="70">
        <f t="shared" si="17"/>
        <v>191227</v>
      </c>
      <c r="AR47" s="71"/>
      <c r="AS47" s="71">
        <v>5470464</v>
      </c>
      <c r="AT47" s="71"/>
      <c r="AU47" s="71">
        <f t="shared" si="12"/>
        <v>26509</v>
      </c>
      <c r="AV47" s="71"/>
      <c r="AW47" s="163">
        <f t="shared" si="20"/>
        <v>0.13862582166744236</v>
      </c>
      <c r="AX47" s="71"/>
      <c r="AY47" s="71"/>
      <c r="AZ47" s="71"/>
      <c r="BA47" s="71">
        <f t="shared" si="21"/>
        <v>143959.57894736843</v>
      </c>
      <c r="BB47" s="71"/>
      <c r="BC47" s="71">
        <f t="shared" si="16"/>
        <v>734838</v>
      </c>
      <c r="BD47" s="71"/>
      <c r="BE47" s="80">
        <f t="shared" si="13"/>
        <v>0.13432827635827602</v>
      </c>
      <c r="BF47" s="71"/>
      <c r="BG47" s="92"/>
      <c r="BH47" s="191"/>
      <c r="BI47" s="1"/>
      <c r="BJ47">
        <f t="shared" si="11"/>
        <v>38</v>
      </c>
    </row>
    <row r="48" spans="2:62" x14ac:dyDescent="0.3">
      <c r="B48" s="405">
        <f t="shared" si="6"/>
        <v>43948</v>
      </c>
      <c r="C48" s="65"/>
      <c r="D48" s="17">
        <v>23196</v>
      </c>
      <c r="E48" s="16"/>
      <c r="F48" s="16"/>
      <c r="G48" s="16"/>
      <c r="H48" s="16">
        <f t="shared" si="24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2"/>
      <c r="P48" s="406"/>
      <c r="Q48" s="35">
        <f>1384-1</f>
        <v>1383</v>
      </c>
      <c r="R48" s="34"/>
      <c r="S48" s="34"/>
      <c r="T48" s="34"/>
      <c r="U48" s="34">
        <f t="shared" si="19"/>
        <v>56795</v>
      </c>
      <c r="V48" s="34"/>
      <c r="W48" s="47">
        <f t="shared" si="4"/>
        <v>5.6212859625716087E-2</v>
      </c>
      <c r="X48" s="34"/>
      <c r="Y48" s="34">
        <f t="shared" si="23"/>
        <v>1456.2820512820513</v>
      </c>
      <c r="Z48" s="54"/>
      <c r="AA48" s="406"/>
      <c r="AB48" s="23">
        <f t="shared" si="7"/>
        <v>19024</v>
      </c>
      <c r="AC48" s="24"/>
      <c r="AD48" s="24"/>
      <c r="AE48" s="24"/>
      <c r="AF48" s="24">
        <v>137805</v>
      </c>
      <c r="AG48" s="24"/>
      <c r="AH48" s="25">
        <f t="shared" si="8"/>
        <v>0.16016029499667456</v>
      </c>
      <c r="AI48" s="25"/>
      <c r="AJ48" s="25"/>
      <c r="AK48" s="24"/>
      <c r="AL48" s="354">
        <f t="shared" si="9"/>
        <v>0.13639251907248534</v>
      </c>
      <c r="AM48" s="354"/>
      <c r="AN48" s="24">
        <f t="shared" si="10"/>
        <v>3533.4615384615386</v>
      </c>
      <c r="AO48" s="364"/>
      <c r="AP48" s="406"/>
      <c r="AQ48" s="70">
        <f t="shared" si="17"/>
        <v>202776</v>
      </c>
      <c r="AR48" s="71"/>
      <c r="AS48" s="71">
        <v>5673240</v>
      </c>
      <c r="AT48" s="71"/>
      <c r="AU48" s="71">
        <f t="shared" si="12"/>
        <v>23196</v>
      </c>
      <c r="AV48" s="71"/>
      <c r="AW48" s="163">
        <f t="shared" si="20"/>
        <v>0.11439223576754645</v>
      </c>
      <c r="AX48" s="71"/>
      <c r="AY48" s="71"/>
      <c r="AZ48" s="71"/>
      <c r="BA48" s="71">
        <f t="shared" si="21"/>
        <v>145467.69230769231</v>
      </c>
      <c r="BB48" s="71"/>
      <c r="BC48" s="71">
        <f t="shared" si="16"/>
        <v>758034</v>
      </c>
      <c r="BD48" s="71"/>
      <c r="BE48" s="80">
        <f t="shared" si="13"/>
        <v>0.133615711656831</v>
      </c>
      <c r="BF48" s="71"/>
      <c r="BG48" s="92"/>
      <c r="BH48" s="191"/>
      <c r="BI48" s="1"/>
      <c r="BJ48">
        <f t="shared" si="11"/>
        <v>39</v>
      </c>
    </row>
    <row r="49" spans="2:66" x14ac:dyDescent="0.3">
      <c r="B49" s="179">
        <f t="shared" si="6"/>
        <v>43949</v>
      </c>
      <c r="C49" s="65"/>
      <c r="D49" s="17">
        <v>25409</v>
      </c>
      <c r="E49" s="16"/>
      <c r="F49" s="16"/>
      <c r="G49" s="16"/>
      <c r="H49" s="16">
        <f t="shared" si="24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 t="shared" si="22"/>
        <v>25894.125</v>
      </c>
      <c r="O49" s="42"/>
      <c r="P49" s="1"/>
      <c r="Q49" s="35">
        <v>2470</v>
      </c>
      <c r="R49" s="34"/>
      <c r="S49" s="34"/>
      <c r="T49" s="34"/>
      <c r="U49" s="34">
        <f t="shared" si="19"/>
        <v>59265</v>
      </c>
      <c r="V49" s="34"/>
      <c r="W49" s="47">
        <f t="shared" si="4"/>
        <v>5.7218577573098145E-2</v>
      </c>
      <c r="X49" s="34"/>
      <c r="Y49" s="34">
        <f t="shared" si="23"/>
        <v>1481.625</v>
      </c>
      <c r="Z49" s="54"/>
      <c r="AA49" s="1"/>
      <c r="AB49" s="23">
        <f t="shared" si="7"/>
        <v>4146</v>
      </c>
      <c r="AC49" s="24"/>
      <c r="AD49" s="24"/>
      <c r="AE49" s="24"/>
      <c r="AF49" s="24">
        <v>141951</v>
      </c>
      <c r="AG49" s="24"/>
      <c r="AH49" s="25">
        <f t="shared" si="8"/>
        <v>3.0085991074344183E-2</v>
      </c>
      <c r="AI49" s="25"/>
      <c r="AJ49" s="25"/>
      <c r="AK49" s="24"/>
      <c r="AL49" s="354">
        <f t="shared" si="9"/>
        <v>0.13704942723494229</v>
      </c>
      <c r="AM49" s="354"/>
      <c r="AN49" s="24">
        <f t="shared" si="10"/>
        <v>3548.7750000000001</v>
      </c>
      <c r="AO49" s="364"/>
      <c r="AP49" s="1"/>
      <c r="AQ49" s="70">
        <f t="shared" si="17"/>
        <v>187926</v>
      </c>
      <c r="AR49" s="71"/>
      <c r="AS49" s="71">
        <v>5861166</v>
      </c>
      <c r="AT49" s="71"/>
      <c r="AU49" s="71">
        <f t="shared" si="12"/>
        <v>25409</v>
      </c>
      <c r="AV49" s="71"/>
      <c r="AW49" s="163">
        <f t="shared" si="20"/>
        <v>0.13520747528282409</v>
      </c>
      <c r="AX49" s="71"/>
      <c r="AY49" s="71"/>
      <c r="AZ49" s="71"/>
      <c r="BA49" s="71">
        <f t="shared" si="21"/>
        <v>146529.15</v>
      </c>
      <c r="BB49" s="71"/>
      <c r="BC49" s="71">
        <f t="shared" si="16"/>
        <v>783443</v>
      </c>
      <c r="BD49" s="71"/>
      <c r="BE49" s="80">
        <f t="shared" si="13"/>
        <v>0.13366674822040528</v>
      </c>
      <c r="BF49" s="71"/>
      <c r="BG49" s="92"/>
      <c r="BH49" s="191"/>
      <c r="BI49" s="1"/>
      <c r="BJ49">
        <f t="shared" si="11"/>
        <v>40</v>
      </c>
    </row>
    <row r="50" spans="2:66" x14ac:dyDescent="0.3">
      <c r="B50" s="179">
        <f t="shared" si="6"/>
        <v>43950</v>
      </c>
      <c r="C50" s="65"/>
      <c r="D50" s="17">
        <v>28429</v>
      </c>
      <c r="E50" s="16"/>
      <c r="F50" s="16"/>
      <c r="G50" s="16"/>
      <c r="H50" s="16">
        <f t="shared" si="24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9"/>
        <v>61655</v>
      </c>
      <c r="V50" s="34"/>
      <c r="W50" s="47">
        <f t="shared" si="4"/>
        <v>5.7935865077232161E-2</v>
      </c>
      <c r="X50" s="34"/>
      <c r="Y50" s="34">
        <f t="shared" si="23"/>
        <v>1503.780487804878</v>
      </c>
      <c r="Z50" s="54"/>
      <c r="AA50" s="1"/>
      <c r="AB50" s="23">
        <f t="shared" si="7"/>
        <v>5460</v>
      </c>
      <c r="AC50" s="24"/>
      <c r="AD50" s="24"/>
      <c r="AE50" s="24"/>
      <c r="AF50" s="24">
        <v>147411</v>
      </c>
      <c r="AG50" s="24"/>
      <c r="AH50" s="25">
        <f t="shared" si="8"/>
        <v>3.8463977006150007E-2</v>
      </c>
      <c r="AI50" s="25"/>
      <c r="AJ50" s="25"/>
      <c r="AK50" s="24"/>
      <c r="AL50" s="354">
        <f t="shared" si="9"/>
        <v>0.13851891666369101</v>
      </c>
      <c r="AM50" s="354"/>
      <c r="AN50" s="24">
        <f t="shared" si="10"/>
        <v>3595.3902439024391</v>
      </c>
      <c r="AO50" s="364"/>
      <c r="AP50" s="1"/>
      <c r="AQ50" s="70">
        <f t="shared" si="17"/>
        <v>278745</v>
      </c>
      <c r="AR50" s="71"/>
      <c r="AS50" s="71">
        <v>6139911</v>
      </c>
      <c r="AT50" s="71"/>
      <c r="AU50" s="71">
        <f t="shared" si="12"/>
        <v>28429</v>
      </c>
      <c r="AV50" s="71"/>
      <c r="AW50" s="163">
        <f t="shared" si="20"/>
        <v>0.10198927335019463</v>
      </c>
      <c r="AX50" s="71"/>
      <c r="AY50" s="71"/>
      <c r="AZ50" s="71"/>
      <c r="BA50" s="71">
        <f t="shared" si="21"/>
        <v>149753.92682926828</v>
      </c>
      <c r="BB50" s="71"/>
      <c r="BC50" s="71">
        <f t="shared" si="16"/>
        <v>811872</v>
      </c>
      <c r="BD50" s="71"/>
      <c r="BE50" s="80">
        <f t="shared" si="13"/>
        <v>0.13222862676673977</v>
      </c>
      <c r="BF50" s="71"/>
      <c r="BG50" s="92"/>
      <c r="BH50" s="191"/>
      <c r="BI50" s="1"/>
      <c r="BJ50">
        <f t="shared" si="11"/>
        <v>41</v>
      </c>
    </row>
    <row r="51" spans="2:66" x14ac:dyDescent="0.3">
      <c r="B51" s="179">
        <f t="shared" si="6"/>
        <v>43951</v>
      </c>
      <c r="C51" s="65"/>
      <c r="D51" s="17">
        <v>30829</v>
      </c>
      <c r="E51" s="16"/>
      <c r="F51" s="16"/>
      <c r="G51" s="16"/>
      <c r="H51" s="16">
        <f t="shared" si="24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9"/>
        <v>63856</v>
      </c>
      <c r="V51" s="34"/>
      <c r="W51" s="47">
        <f t="shared" si="4"/>
        <v>5.8314756858988348E-2</v>
      </c>
      <c r="X51" s="34"/>
      <c r="Y51" s="34">
        <f t="shared" si="23"/>
        <v>1520.3809523809523</v>
      </c>
      <c r="Z51" s="54"/>
      <c r="AA51" s="1"/>
      <c r="AB51" s="23">
        <f t="shared" si="7"/>
        <v>4913</v>
      </c>
      <c r="AC51" s="24"/>
      <c r="AD51" s="24"/>
      <c r="AE51" s="24"/>
      <c r="AF51" s="24">
        <v>152324</v>
      </c>
      <c r="AG51" s="24"/>
      <c r="AH51" s="25">
        <f t="shared" si="8"/>
        <v>3.3328584705347636E-2</v>
      </c>
      <c r="AI51" s="25"/>
      <c r="AJ51" s="25"/>
      <c r="AK51" s="24"/>
      <c r="AL51" s="354">
        <f t="shared" si="9"/>
        <v>0.13910575394306787</v>
      </c>
      <c r="AM51" s="354"/>
      <c r="AN51" s="24">
        <f t="shared" si="10"/>
        <v>3626.7619047619046</v>
      </c>
      <c r="AO51" s="364"/>
      <c r="AP51" s="1"/>
      <c r="AQ51" s="70">
        <f t="shared" si="17"/>
        <v>236535</v>
      </c>
      <c r="AR51" s="71"/>
      <c r="AS51" s="71">
        <v>6376446</v>
      </c>
      <c r="AT51" s="71"/>
      <c r="AU51" s="71">
        <f t="shared" si="12"/>
        <v>30829</v>
      </c>
      <c r="AV51" s="71"/>
      <c r="AW51" s="163">
        <f t="shared" si="20"/>
        <v>0.13033589109434121</v>
      </c>
      <c r="AX51" s="71"/>
      <c r="AY51" s="71"/>
      <c r="AZ51" s="71"/>
      <c r="BA51" s="71">
        <f t="shared" si="21"/>
        <v>151820.14285714287</v>
      </c>
      <c r="BB51" s="71"/>
      <c r="BC51" s="71">
        <f t="shared" si="16"/>
        <v>842701</v>
      </c>
      <c r="BD51" s="71"/>
      <c r="BE51" s="80">
        <f t="shared" si="13"/>
        <v>0.13215841551861335</v>
      </c>
      <c r="BF51" s="71"/>
      <c r="BG51" s="92"/>
      <c r="BH51" s="191"/>
      <c r="BI51" s="1"/>
      <c r="BJ51">
        <f t="shared" si="11"/>
        <v>42</v>
      </c>
    </row>
    <row r="52" spans="2:66" x14ac:dyDescent="0.3">
      <c r="B52" s="179">
        <f t="shared" si="6"/>
        <v>43952</v>
      </c>
      <c r="C52" s="65"/>
      <c r="D52" s="17">
        <v>36007</v>
      </c>
      <c r="E52" s="16"/>
      <c r="F52" s="16"/>
      <c r="G52" s="16"/>
      <c r="H52" s="16">
        <f t="shared" si="24"/>
        <v>1131030</v>
      </c>
      <c r="I52" s="16"/>
      <c r="J52" s="39">
        <f t="shared" ref="J52:J64" si="25">+D52/H51</f>
        <v>3.2882414341981858E-2</v>
      </c>
      <c r="K52" s="16"/>
      <c r="L52" s="16"/>
      <c r="M52" s="16"/>
      <c r="N52" s="16">
        <f t="shared" si="22"/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:U64" si="26">+U51+Q52</f>
        <v>65753</v>
      </c>
      <c r="V52" s="34"/>
      <c r="W52" s="47">
        <f t="shared" ref="W52:W64" si="27">+U52/H52</f>
        <v>5.8135504805354413E-2</v>
      </c>
      <c r="X52" s="34"/>
      <c r="Y52" s="34">
        <f t="shared" si="23"/>
        <v>1529.1395348837209</v>
      </c>
      <c r="Z52" s="54"/>
      <c r="AA52" s="1"/>
      <c r="AB52" s="23">
        <f t="shared" ref="AB52:AB64" si="28">+AF52-AF51</f>
        <v>9239</v>
      </c>
      <c r="AC52" s="24"/>
      <c r="AD52" s="24"/>
      <c r="AE52" s="24"/>
      <c r="AF52" s="24">
        <v>161563</v>
      </c>
      <c r="AG52" s="24"/>
      <c r="AH52" s="25">
        <f t="shared" ref="AH52:AH64" si="29">+AB52/AF51</f>
        <v>6.0653606785536093E-2</v>
      </c>
      <c r="AI52" s="25"/>
      <c r="AJ52" s="25"/>
      <c r="AK52" s="24"/>
      <c r="AL52" s="354">
        <f t="shared" si="9"/>
        <v>0.14284590152339019</v>
      </c>
      <c r="AM52" s="354"/>
      <c r="AN52" s="24">
        <f t="shared" si="10"/>
        <v>3757.2790697674418</v>
      </c>
      <c r="AO52" s="364"/>
      <c r="AP52" s="1"/>
      <c r="AQ52" s="70">
        <f t="shared" ref="AQ52:AQ64" si="30">+AS52-AS51</f>
        <v>323432</v>
      </c>
      <c r="AR52" s="71"/>
      <c r="AS52" s="71">
        <v>6699878</v>
      </c>
      <c r="AT52" s="71"/>
      <c r="AU52" s="71">
        <f t="shared" si="12"/>
        <v>36007</v>
      </c>
      <c r="AV52" s="71"/>
      <c r="AW52" s="163">
        <f t="shared" ref="AW52:AW64" si="31">+AU52/AQ52</f>
        <v>0.11132788344999876</v>
      </c>
      <c r="AX52" s="71"/>
      <c r="AY52" s="71"/>
      <c r="AZ52" s="71"/>
      <c r="BA52" s="71">
        <f t="shared" si="21"/>
        <v>155811.11627906977</v>
      </c>
      <c r="BB52" s="71"/>
      <c r="BC52" s="71">
        <f t="shared" ref="BC52:BC64" si="32">+BC51+AU52</f>
        <v>878708</v>
      </c>
      <c r="BD52" s="71"/>
      <c r="BE52" s="80">
        <f t="shared" si="13"/>
        <v>0.13115283591731072</v>
      </c>
      <c r="BF52" s="71"/>
      <c r="BG52" s="92"/>
      <c r="BH52" s="191"/>
      <c r="BI52" s="1"/>
      <c r="BJ52">
        <f t="shared" si="11"/>
        <v>43</v>
      </c>
    </row>
    <row r="53" spans="2:66" x14ac:dyDescent="0.3">
      <c r="B53" s="179">
        <f t="shared" si="6"/>
        <v>43953</v>
      </c>
      <c r="C53" s="65"/>
      <c r="D53" s="17">
        <v>29744</v>
      </c>
      <c r="E53" s="16"/>
      <c r="F53" s="16"/>
      <c r="G53" s="16"/>
      <c r="H53" s="16">
        <f t="shared" ref="H53:H64" si="33">+H52+D53</f>
        <v>1160774</v>
      </c>
      <c r="I53" s="16"/>
      <c r="J53" s="39">
        <f t="shared" si="25"/>
        <v>2.6298153010972301E-2</v>
      </c>
      <c r="K53" s="16"/>
      <c r="L53" s="16"/>
      <c r="M53" s="16"/>
      <c r="N53" s="16">
        <f t="shared" si="22"/>
        <v>26381.227272727272</v>
      </c>
      <c r="O53" s="42"/>
      <c r="P53" s="1"/>
      <c r="Q53" s="35">
        <v>1691</v>
      </c>
      <c r="R53" s="34"/>
      <c r="S53" s="34"/>
      <c r="T53" s="34"/>
      <c r="U53" s="34">
        <f t="shared" si="26"/>
        <v>67444</v>
      </c>
      <c r="V53" s="34"/>
      <c r="W53" s="47">
        <f t="shared" si="27"/>
        <v>5.810261084414365E-2</v>
      </c>
      <c r="X53" s="34"/>
      <c r="Y53" s="34">
        <f t="shared" si="23"/>
        <v>1532.8181818181818</v>
      </c>
      <c r="Z53" s="54"/>
      <c r="AA53" s="1"/>
      <c r="AB53" s="23">
        <f t="shared" si="28"/>
        <v>11755</v>
      </c>
      <c r="AC53" s="24"/>
      <c r="AD53" s="24"/>
      <c r="AE53" s="24"/>
      <c r="AF53" s="24">
        <v>173318</v>
      </c>
      <c r="AG53" s="24"/>
      <c r="AH53" s="25">
        <f t="shared" si="29"/>
        <v>7.2757995333089881E-2</v>
      </c>
      <c r="AI53" s="25"/>
      <c r="AJ53" s="25"/>
      <c r="AK53" s="24"/>
      <c r="AL53" s="354">
        <f t="shared" si="9"/>
        <v>0.14931244152608519</v>
      </c>
      <c r="AM53" s="354"/>
      <c r="AN53" s="24">
        <f t="shared" si="10"/>
        <v>3939.0454545454545</v>
      </c>
      <c r="AO53" s="364"/>
      <c r="AP53" s="1"/>
      <c r="AQ53" s="70">
        <f t="shared" si="30"/>
        <v>231254</v>
      </c>
      <c r="AR53" s="71"/>
      <c r="AS53" s="71">
        <v>6931132</v>
      </c>
      <c r="AT53" s="71"/>
      <c r="AU53" s="71">
        <f t="shared" si="12"/>
        <v>29744</v>
      </c>
      <c r="AV53" s="71"/>
      <c r="AW53" s="163">
        <f t="shared" si="31"/>
        <v>0.12862047791605766</v>
      </c>
      <c r="AX53" s="71"/>
      <c r="AY53" s="71"/>
      <c r="AZ53" s="71"/>
      <c r="BA53" s="71">
        <f t="shared" si="21"/>
        <v>157525.72727272726</v>
      </c>
      <c r="BB53" s="71"/>
      <c r="BC53" s="71">
        <f t="shared" si="32"/>
        <v>908452</v>
      </c>
      <c r="BD53" s="71"/>
      <c r="BE53" s="80">
        <f t="shared" si="13"/>
        <v>0.13106834496875835</v>
      </c>
      <c r="BF53" s="71"/>
      <c r="BG53" s="92"/>
      <c r="BH53" s="191"/>
      <c r="BI53" s="1"/>
      <c r="BJ53">
        <f t="shared" si="11"/>
        <v>44</v>
      </c>
    </row>
    <row r="54" spans="2:66" x14ac:dyDescent="0.3">
      <c r="B54" s="179">
        <f t="shared" si="6"/>
        <v>43954</v>
      </c>
      <c r="C54" s="65"/>
      <c r="D54" s="17">
        <v>27348</v>
      </c>
      <c r="E54" s="16"/>
      <c r="F54" s="16"/>
      <c r="G54" s="16"/>
      <c r="H54" s="16">
        <f t="shared" si="33"/>
        <v>1188122</v>
      </c>
      <c r="I54" s="16"/>
      <c r="J54" s="39">
        <f t="shared" si="25"/>
        <v>2.356014176747584E-2</v>
      </c>
      <c r="K54" s="16"/>
      <c r="L54" s="16"/>
      <c r="M54" s="16"/>
      <c r="N54" s="16">
        <f t="shared" si="22"/>
        <v>26402.711111111112</v>
      </c>
      <c r="O54" s="42"/>
      <c r="P54" s="1"/>
      <c r="Q54" s="35">
        <v>1153</v>
      </c>
      <c r="R54" s="34"/>
      <c r="S54" s="34"/>
      <c r="T54" s="34"/>
      <c r="U54" s="34">
        <f t="shared" si="26"/>
        <v>68597</v>
      </c>
      <c r="V54" s="34"/>
      <c r="W54" s="47">
        <f t="shared" si="27"/>
        <v>5.7735653409330019E-2</v>
      </c>
      <c r="X54" s="34"/>
      <c r="Y54" s="34">
        <f t="shared" si="23"/>
        <v>1524.3777777777777</v>
      </c>
      <c r="Z54" s="54"/>
      <c r="AA54" s="10"/>
      <c r="AB54" s="23">
        <f t="shared" si="28"/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si="29"/>
        <v>2.8531370082738088E-2</v>
      </c>
      <c r="AI54" s="25"/>
      <c r="AJ54" s="25"/>
      <c r="AK54" s="24"/>
      <c r="AL54" s="354">
        <f t="shared" si="9"/>
        <v>0.15003762239904656</v>
      </c>
      <c r="AM54" s="354"/>
      <c r="AN54" s="24">
        <f t="shared" si="10"/>
        <v>3961.4</v>
      </c>
      <c r="AO54" s="364"/>
      <c r="AP54" s="1"/>
      <c r="AQ54" s="70">
        <f t="shared" si="30"/>
        <v>265608</v>
      </c>
      <c r="AR54" s="71"/>
      <c r="AS54" s="71">
        <v>7196740</v>
      </c>
      <c r="AT54" s="71"/>
      <c r="AU54" s="71">
        <f t="shared" si="12"/>
        <v>27348</v>
      </c>
      <c r="AV54" s="71"/>
      <c r="AW54" s="163">
        <f t="shared" si="31"/>
        <v>0.10296376615162194</v>
      </c>
      <c r="AX54" s="71"/>
      <c r="AY54" s="71"/>
      <c r="AZ54" s="71"/>
      <c r="BA54" s="71">
        <f t="shared" si="21"/>
        <v>159927.55555555556</v>
      </c>
      <c r="BB54" s="71"/>
      <c r="BC54" s="71">
        <f t="shared" si="32"/>
        <v>935800</v>
      </c>
      <c r="BD54" s="71"/>
      <c r="BE54" s="80">
        <f t="shared" si="13"/>
        <v>0.13003109741355112</v>
      </c>
      <c r="BF54" s="71"/>
      <c r="BG54" s="92"/>
      <c r="BH54" s="191"/>
      <c r="BI54" s="1"/>
      <c r="BJ54">
        <f t="shared" si="11"/>
        <v>45</v>
      </c>
    </row>
    <row r="55" spans="2:66" x14ac:dyDescent="0.3">
      <c r="B55" s="405">
        <f t="shared" si="6"/>
        <v>43955</v>
      </c>
      <c r="C55" s="65"/>
      <c r="D55" s="17">
        <v>24713</v>
      </c>
      <c r="E55" s="16"/>
      <c r="F55" s="16"/>
      <c r="G55" s="16"/>
      <c r="H55" s="16">
        <f t="shared" si="33"/>
        <v>1212835</v>
      </c>
      <c r="I55" s="16"/>
      <c r="J55" s="39">
        <f t="shared" si="25"/>
        <v>2.0800052519859072E-2</v>
      </c>
      <c r="K55" s="16"/>
      <c r="L55" s="16"/>
      <c r="M55" s="16"/>
      <c r="N55" s="16">
        <f t="shared" si="22"/>
        <v>26365.978260869564</v>
      </c>
      <c r="O55" s="42"/>
      <c r="P55" s="406"/>
      <c r="Q55" s="35">
        <v>1324</v>
      </c>
      <c r="R55" s="34"/>
      <c r="S55" s="34"/>
      <c r="T55" s="34"/>
      <c r="U55" s="34">
        <f t="shared" si="26"/>
        <v>69921</v>
      </c>
      <c r="V55" s="34"/>
      <c r="W55" s="47">
        <f t="shared" si="27"/>
        <v>5.7650875840489432E-2</v>
      </c>
      <c r="X55" s="34"/>
      <c r="Y55" s="34">
        <f t="shared" si="23"/>
        <v>1520.0217391304348</v>
      </c>
      <c r="Z55" s="54"/>
      <c r="AA55" s="406"/>
      <c r="AB55" s="23">
        <f t="shared" si="28"/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si="29"/>
        <v>5.4773003932392025E-2</v>
      </c>
      <c r="AI55" s="25"/>
      <c r="AJ55" s="25"/>
      <c r="AK55" s="24"/>
      <c r="AL55" s="354">
        <f t="shared" si="9"/>
        <v>0.15503098113098648</v>
      </c>
      <c r="AM55" s="354"/>
      <c r="AN55" s="24">
        <f t="shared" si="10"/>
        <v>4087.5434782608695</v>
      </c>
      <c r="AO55" s="364"/>
      <c r="AP55" s="406"/>
      <c r="AQ55" s="70">
        <f t="shared" si="30"/>
        <v>265691</v>
      </c>
      <c r="AR55" s="71"/>
      <c r="AS55" s="71">
        <v>7462431</v>
      </c>
      <c r="AT55" s="71"/>
      <c r="AU55" s="71">
        <f t="shared" si="12"/>
        <v>24713</v>
      </c>
      <c r="AV55" s="71"/>
      <c r="AW55" s="163">
        <f t="shared" si="31"/>
        <v>9.3014065211091082E-2</v>
      </c>
      <c r="AX55" s="71"/>
      <c r="AY55" s="71"/>
      <c r="AZ55" s="71"/>
      <c r="BA55" s="71">
        <f t="shared" si="21"/>
        <v>162226.76086956522</v>
      </c>
      <c r="BB55" s="71"/>
      <c r="BC55" s="71">
        <f t="shared" si="32"/>
        <v>960513</v>
      </c>
      <c r="BD55" s="71"/>
      <c r="BE55" s="80">
        <f t="shared" si="13"/>
        <v>0.12871314991053184</v>
      </c>
      <c r="BF55" s="71"/>
      <c r="BG55" s="92"/>
      <c r="BH55" s="191"/>
      <c r="BI55" s="1"/>
      <c r="BJ55">
        <f t="shared" si="11"/>
        <v>46</v>
      </c>
    </row>
    <row r="56" spans="2:66" x14ac:dyDescent="0.3">
      <c r="B56" s="179">
        <f t="shared" si="6"/>
        <v>43956</v>
      </c>
      <c r="C56" s="65"/>
      <c r="D56" s="17">
        <v>24798</v>
      </c>
      <c r="E56" s="16"/>
      <c r="F56" s="16"/>
      <c r="G56" s="16"/>
      <c r="H56" s="16">
        <f t="shared" si="33"/>
        <v>1237633</v>
      </c>
      <c r="I56" s="16"/>
      <c r="J56" s="39">
        <f t="shared" si="25"/>
        <v>2.0446309679387549E-2</v>
      </c>
      <c r="K56" s="16"/>
      <c r="L56" s="16"/>
      <c r="M56" s="16"/>
      <c r="N56" s="16">
        <f t="shared" si="22"/>
        <v>26332.617021276597</v>
      </c>
      <c r="O56" s="42"/>
      <c r="P56" s="1"/>
      <c r="Q56" s="35">
        <v>2350</v>
      </c>
      <c r="R56" s="34"/>
      <c r="S56" s="34"/>
      <c r="T56" s="34"/>
      <c r="U56" s="34">
        <f t="shared" si="26"/>
        <v>72271</v>
      </c>
      <c r="V56" s="34"/>
      <c r="W56" s="47">
        <f t="shared" si="27"/>
        <v>5.839453214321208E-2</v>
      </c>
      <c r="X56" s="34"/>
      <c r="Y56" s="34">
        <f t="shared" si="23"/>
        <v>1537.6808510638298</v>
      </c>
      <c r="Z56" s="54"/>
      <c r="AA56" s="1"/>
      <c r="AB56" s="23">
        <f t="shared" si="28"/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si="29"/>
        <v>6.7006334196684517E-2</v>
      </c>
      <c r="AI56" s="25"/>
      <c r="AJ56" s="25"/>
      <c r="AK56" s="24"/>
      <c r="AL56" s="354">
        <f t="shared" si="9"/>
        <v>0.16210459805128014</v>
      </c>
      <c r="AM56" s="354"/>
      <c r="AN56" s="24">
        <f t="shared" si="10"/>
        <v>4268.6382978723404</v>
      </c>
      <c r="AO56" s="364"/>
      <c r="AP56" s="1"/>
      <c r="AQ56" s="70">
        <f t="shared" si="30"/>
        <v>265380</v>
      </c>
      <c r="AR56" s="71"/>
      <c r="AS56" s="71">
        <v>7727811</v>
      </c>
      <c r="AT56" s="71"/>
      <c r="AU56" s="71">
        <f t="shared" si="12"/>
        <v>24798</v>
      </c>
      <c r="AV56" s="71"/>
      <c r="AW56" s="163">
        <f t="shared" si="31"/>
        <v>9.344336423242143E-2</v>
      </c>
      <c r="AX56" s="71"/>
      <c r="AY56" s="71"/>
      <c r="AZ56" s="71"/>
      <c r="BA56" s="71">
        <f t="shared" si="21"/>
        <v>164421.51063829788</v>
      </c>
      <c r="BB56" s="71"/>
      <c r="BC56" s="71">
        <f t="shared" si="32"/>
        <v>985311</v>
      </c>
      <c r="BD56" s="71"/>
      <c r="BE56" s="80">
        <f t="shared" si="13"/>
        <v>0.12750195365802813</v>
      </c>
      <c r="BF56" s="71"/>
      <c r="BG56" s="92"/>
      <c r="BH56" s="191"/>
      <c r="BI56" s="1"/>
      <c r="BJ56">
        <f t="shared" si="11"/>
        <v>47</v>
      </c>
    </row>
    <row r="57" spans="2:66" x14ac:dyDescent="0.3">
      <c r="B57" s="179">
        <f t="shared" si="6"/>
        <v>43957</v>
      </c>
      <c r="C57" s="65"/>
      <c r="D57" s="17">
        <v>25459</v>
      </c>
      <c r="E57" s="16"/>
      <c r="F57" s="16"/>
      <c r="G57" s="16"/>
      <c r="H57" s="16">
        <f t="shared" si="33"/>
        <v>1263092</v>
      </c>
      <c r="I57" s="16"/>
      <c r="J57" s="39">
        <f t="shared" si="25"/>
        <v>2.0570718460157414E-2</v>
      </c>
      <c r="K57" s="16"/>
      <c r="L57" s="16"/>
      <c r="M57" s="16"/>
      <c r="N57" s="16">
        <f t="shared" si="22"/>
        <v>26314.416666666668</v>
      </c>
      <c r="O57" s="42"/>
      <c r="P57" s="1"/>
      <c r="Q57" s="35">
        <v>2528</v>
      </c>
      <c r="R57" s="34"/>
      <c r="S57" s="34"/>
      <c r="T57" s="34"/>
      <c r="U57" s="34">
        <f t="shared" si="26"/>
        <v>74799</v>
      </c>
      <c r="V57" s="34"/>
      <c r="W57" s="47">
        <f t="shared" si="27"/>
        <v>5.921896425596869E-2</v>
      </c>
      <c r="X57" s="34"/>
      <c r="Y57" s="34">
        <f t="shared" si="23"/>
        <v>1558.3125</v>
      </c>
      <c r="Z57" s="54"/>
      <c r="AA57" s="1"/>
      <c r="AB57" s="23">
        <f t="shared" si="28"/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si="29"/>
        <v>2.8321354161474584E-2</v>
      </c>
      <c r="AI57" s="25"/>
      <c r="AJ57" s="25"/>
      <c r="AK57" s="24"/>
      <c r="AL57" s="354">
        <f t="shared" si="9"/>
        <v>0.16333568734502316</v>
      </c>
      <c r="AM57" s="354"/>
      <c r="AN57" s="24">
        <f t="shared" si="10"/>
        <v>4298.083333333333</v>
      </c>
      <c r="AO57" s="364"/>
      <c r="AP57" s="1"/>
      <c r="AQ57" s="70">
        <f t="shared" si="30"/>
        <v>244534</v>
      </c>
      <c r="AR57" s="71"/>
      <c r="AS57" s="71">
        <v>7972345</v>
      </c>
      <c r="AT57" s="71"/>
      <c r="AU57" s="71">
        <f t="shared" si="12"/>
        <v>25459</v>
      </c>
      <c r="AV57" s="71"/>
      <c r="AW57" s="163">
        <f t="shared" si="31"/>
        <v>0.10411231158039373</v>
      </c>
      <c r="AX57" s="71"/>
      <c r="AY57" s="71"/>
      <c r="AZ57" s="71"/>
      <c r="BA57" s="71">
        <f t="shared" si="21"/>
        <v>166090.52083333334</v>
      </c>
      <c r="BB57" s="71"/>
      <c r="BC57" s="71">
        <f t="shared" si="32"/>
        <v>1010770</v>
      </c>
      <c r="BD57" s="71"/>
      <c r="BE57" s="80">
        <f t="shared" si="13"/>
        <v>0.12678452826615005</v>
      </c>
      <c r="BF57" s="71"/>
      <c r="BG57" s="92"/>
      <c r="BH57" s="191"/>
      <c r="BI57" s="1"/>
      <c r="BJ57">
        <f t="shared" si="11"/>
        <v>48</v>
      </c>
    </row>
    <row r="58" spans="2:66" x14ac:dyDescent="0.3">
      <c r="B58" s="179">
        <f t="shared" si="6"/>
        <v>43958</v>
      </c>
      <c r="C58" s="65"/>
      <c r="D58" s="17">
        <v>29531</v>
      </c>
      <c r="E58" s="16"/>
      <c r="F58" s="16"/>
      <c r="G58" s="16"/>
      <c r="H58" s="16">
        <f t="shared" si="33"/>
        <v>1292623</v>
      </c>
      <c r="I58" s="16"/>
      <c r="J58" s="39">
        <f t="shared" si="25"/>
        <v>2.3379927986243283E-2</v>
      </c>
      <c r="K58" s="16"/>
      <c r="L58" s="16"/>
      <c r="M58" s="16"/>
      <c r="N58" s="16">
        <f t="shared" si="22"/>
        <v>26380.061224489797</v>
      </c>
      <c r="O58" s="42"/>
      <c r="P58" s="1"/>
      <c r="Q58" s="35">
        <v>2129</v>
      </c>
      <c r="R58" s="34"/>
      <c r="S58" s="34"/>
      <c r="T58" s="34"/>
      <c r="U58" s="34">
        <f t="shared" si="26"/>
        <v>76928</v>
      </c>
      <c r="V58" s="34"/>
      <c r="W58" s="47">
        <f t="shared" si="27"/>
        <v>5.9513098560059659E-2</v>
      </c>
      <c r="X58" s="34"/>
      <c r="Y58" s="34">
        <f t="shared" si="23"/>
        <v>1569.9591836734694</v>
      </c>
      <c r="Z58" s="54"/>
      <c r="AA58" s="1"/>
      <c r="AB58" s="23">
        <f t="shared" si="28"/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si="29"/>
        <v>5.3037206506776277E-2</v>
      </c>
      <c r="AI58" s="25"/>
      <c r="AJ58" s="25"/>
      <c r="AK58" s="24"/>
      <c r="AL58" s="354">
        <f t="shared" si="9"/>
        <v>0.16806911218506865</v>
      </c>
      <c r="AM58" s="354"/>
      <c r="AN58" s="24">
        <f t="shared" si="10"/>
        <v>4433.6734693877552</v>
      </c>
      <c r="AO58" s="364"/>
      <c r="AP58" s="1"/>
      <c r="AQ58" s="70">
        <f t="shared" si="30"/>
        <v>325217</v>
      </c>
      <c r="AR58" s="71"/>
      <c r="AS58" s="71">
        <v>8297562</v>
      </c>
      <c r="AT58" s="71"/>
      <c r="AU58" s="71">
        <f t="shared" si="12"/>
        <v>29531</v>
      </c>
      <c r="AV58" s="71"/>
      <c r="AW58" s="163">
        <f t="shared" si="31"/>
        <v>9.0803986261480799E-2</v>
      </c>
      <c r="AX58" s="71"/>
      <c r="AY58" s="71"/>
      <c r="AZ58" s="71"/>
      <c r="BA58" s="71">
        <f t="shared" si="21"/>
        <v>169338</v>
      </c>
      <c r="BB58" s="71"/>
      <c r="BC58" s="71">
        <f t="shared" si="32"/>
        <v>1040301</v>
      </c>
      <c r="BD58" s="71"/>
      <c r="BE58" s="80">
        <f t="shared" si="13"/>
        <v>0.12537429669100394</v>
      </c>
      <c r="BF58" s="71"/>
      <c r="BG58" s="92"/>
      <c r="BH58" s="191"/>
      <c r="BI58" s="1"/>
      <c r="BJ58">
        <f t="shared" si="11"/>
        <v>49</v>
      </c>
      <c r="BL58" s="1"/>
      <c r="BN58" s="1"/>
    </row>
    <row r="59" spans="2:66" x14ac:dyDescent="0.3">
      <c r="B59" s="179">
        <f t="shared" si="6"/>
        <v>43959</v>
      </c>
      <c r="C59" s="65"/>
      <c r="D59" s="17">
        <v>29162</v>
      </c>
      <c r="E59" s="16"/>
      <c r="F59" s="16"/>
      <c r="G59" s="16"/>
      <c r="H59" s="16">
        <f t="shared" si="33"/>
        <v>1321785</v>
      </c>
      <c r="I59" s="16"/>
      <c r="J59" s="39">
        <f t="shared" si="25"/>
        <v>2.256032888166155E-2</v>
      </c>
      <c r="K59" s="16"/>
      <c r="L59" s="16"/>
      <c r="M59" s="16"/>
      <c r="N59" s="16">
        <f t="shared" si="22"/>
        <v>26435.7</v>
      </c>
      <c r="O59" s="42"/>
      <c r="P59" s="1"/>
      <c r="Q59" s="35">
        <v>1687</v>
      </c>
      <c r="R59" s="34"/>
      <c r="S59" s="34"/>
      <c r="T59" s="34"/>
      <c r="U59" s="34">
        <f t="shared" si="26"/>
        <v>78615</v>
      </c>
      <c r="V59" s="34"/>
      <c r="W59" s="47">
        <f t="shared" si="27"/>
        <v>5.9476389881864294E-2</v>
      </c>
      <c r="X59" s="34"/>
      <c r="Y59" s="34">
        <f t="shared" si="23"/>
        <v>1572.3</v>
      </c>
      <c r="Z59" s="54"/>
      <c r="AA59" s="1"/>
      <c r="AB59" s="23">
        <f t="shared" si="28"/>
        <v>6110</v>
      </c>
      <c r="AC59" s="24"/>
      <c r="AD59" s="24"/>
      <c r="AE59" s="24">
        <v>178263</v>
      </c>
      <c r="AF59" s="24">
        <v>223360</v>
      </c>
      <c r="AG59" s="24"/>
      <c r="AH59" s="25">
        <f t="shared" si="29"/>
        <v>2.8124280782508632E-2</v>
      </c>
      <c r="AI59" s="25"/>
      <c r="AJ59" s="25"/>
      <c r="AK59" s="24"/>
      <c r="AL59" s="354">
        <f t="shared" si="9"/>
        <v>0.16898360928592773</v>
      </c>
      <c r="AM59" s="354"/>
      <c r="AN59" s="24">
        <f t="shared" si="10"/>
        <v>4467.2</v>
      </c>
      <c r="AO59" s="364" t="e">
        <f t="shared" ref="AO59:AO64" si="34">+AG59/BK59</f>
        <v>#DIV/0!</v>
      </c>
      <c r="AP59" s="1"/>
      <c r="AQ59" s="70">
        <f t="shared" si="30"/>
        <v>338873</v>
      </c>
      <c r="AR59" s="71"/>
      <c r="AS59" s="71">
        <v>8636435</v>
      </c>
      <c r="AT59" s="71"/>
      <c r="AU59" s="71">
        <f t="shared" si="12"/>
        <v>29162</v>
      </c>
      <c r="AV59" s="71"/>
      <c r="AW59" s="163">
        <f t="shared" si="31"/>
        <v>8.6055838027815731E-2</v>
      </c>
      <c r="AX59" s="71"/>
      <c r="AY59" s="71"/>
      <c r="AZ59" s="71"/>
      <c r="BA59" s="71">
        <f t="shared" si="21"/>
        <v>172728.7</v>
      </c>
      <c r="BB59" s="71"/>
      <c r="BC59" s="71">
        <f t="shared" si="32"/>
        <v>1069463</v>
      </c>
      <c r="BD59" s="71"/>
      <c r="BE59" s="80">
        <f t="shared" si="13"/>
        <v>0.12383153465521364</v>
      </c>
      <c r="BF59" s="71"/>
      <c r="BG59" s="92"/>
      <c r="BH59" s="191"/>
      <c r="BI59" s="1"/>
      <c r="BJ59">
        <f t="shared" si="11"/>
        <v>50</v>
      </c>
    </row>
    <row r="60" spans="2:66" x14ac:dyDescent="0.3">
      <c r="B60" s="179">
        <f t="shared" si="6"/>
        <v>43960</v>
      </c>
      <c r="C60" s="65"/>
      <c r="D60" s="17">
        <v>25524</v>
      </c>
      <c r="E60" s="16"/>
      <c r="F60" s="16"/>
      <c r="G60" s="16"/>
      <c r="H60" s="16">
        <f t="shared" si="33"/>
        <v>1347309</v>
      </c>
      <c r="I60" s="16"/>
      <c r="J60" s="39">
        <f t="shared" si="25"/>
        <v>1.9310250910700304E-2</v>
      </c>
      <c r="K60" s="16"/>
      <c r="L60" s="16"/>
      <c r="M60" s="16"/>
      <c r="N60" s="16">
        <f t="shared" ref="N60:N65" si="35">+H60/BJ60</f>
        <v>26417.823529411766</v>
      </c>
      <c r="O60" s="42"/>
      <c r="P60" s="1"/>
      <c r="Q60" s="35">
        <v>1422</v>
      </c>
      <c r="R60" s="34"/>
      <c r="S60" s="34"/>
      <c r="T60" s="34"/>
      <c r="U60" s="34">
        <f t="shared" si="26"/>
        <v>80037</v>
      </c>
      <c r="V60" s="34"/>
      <c r="W60" s="47">
        <f t="shared" si="27"/>
        <v>5.9405080794383468E-2</v>
      </c>
      <c r="X60" s="34"/>
      <c r="Y60" s="34">
        <f t="shared" ref="Y60:Y65" si="36">+U60/BJ60</f>
        <v>1569.3529411764705</v>
      </c>
      <c r="Z60" s="54"/>
      <c r="AA60" s="1"/>
      <c r="AB60" s="23">
        <f t="shared" si="28"/>
        <v>14718</v>
      </c>
      <c r="AC60" s="24"/>
      <c r="AD60" s="24"/>
      <c r="AE60" s="24">
        <v>178263</v>
      </c>
      <c r="AF60" s="24">
        <v>238078</v>
      </c>
      <c r="AG60" s="24"/>
      <c r="AH60" s="25">
        <f t="shared" si="29"/>
        <v>6.5893624641833806E-2</v>
      </c>
      <c r="AI60" s="25"/>
      <c r="AJ60" s="25"/>
      <c r="AK60" s="24"/>
      <c r="AL60" s="354">
        <f t="shared" ref="AL60:AL65" si="37">+AF60/H60</f>
        <v>0.17670630864931505</v>
      </c>
      <c r="AM60" s="354"/>
      <c r="AN60" s="24">
        <f t="shared" ref="AN60:AN65" si="38">+AF60/BJ60</f>
        <v>4668.1960784313724</v>
      </c>
      <c r="AO60" s="364" t="e">
        <f t="shared" si="34"/>
        <v>#DIV/0!</v>
      </c>
      <c r="AP60" s="1"/>
      <c r="AQ60" s="70">
        <f t="shared" si="30"/>
        <v>281828</v>
      </c>
      <c r="AR60" s="71"/>
      <c r="AS60" s="71">
        <v>8918263</v>
      </c>
      <c r="AT60" s="71"/>
      <c r="AU60" s="71">
        <f t="shared" ref="AU60:AU65" si="39">+D60</f>
        <v>25524</v>
      </c>
      <c r="AV60" s="71"/>
      <c r="AW60" s="163">
        <f t="shared" si="31"/>
        <v>9.0565877059766944E-2</v>
      </c>
      <c r="AX60" s="71"/>
      <c r="AY60" s="71"/>
      <c r="AZ60" s="71"/>
      <c r="BA60" s="71">
        <f t="shared" ref="BA60:BA65" si="40">+AS60/BJ60</f>
        <v>174867.90196078431</v>
      </c>
      <c r="BB60" s="71"/>
      <c r="BC60" s="71">
        <f t="shared" si="32"/>
        <v>1094987</v>
      </c>
      <c r="BD60" s="71"/>
      <c r="BE60" s="80">
        <f t="shared" ref="BE60:BE65" si="41">+BC60/AS60</f>
        <v>0.12278029925782633</v>
      </c>
      <c r="BF60" s="71"/>
      <c r="BG60" s="92"/>
      <c r="BH60" s="191"/>
      <c r="BI60" s="1"/>
      <c r="BJ60">
        <f t="shared" si="11"/>
        <v>51</v>
      </c>
    </row>
    <row r="61" spans="2:66" x14ac:dyDescent="0.3">
      <c r="B61" s="179">
        <f t="shared" si="6"/>
        <v>43961</v>
      </c>
      <c r="C61" s="65"/>
      <c r="D61" s="17">
        <v>20329</v>
      </c>
      <c r="E61" s="16"/>
      <c r="F61" s="16"/>
      <c r="G61" s="16"/>
      <c r="H61" s="16">
        <f t="shared" si="33"/>
        <v>1367638</v>
      </c>
      <c r="I61" s="16"/>
      <c r="J61" s="39">
        <f t="shared" si="25"/>
        <v>1.508859511812064E-2</v>
      </c>
      <c r="K61" s="16"/>
      <c r="L61" s="16"/>
      <c r="M61" s="16"/>
      <c r="N61" s="16">
        <f t="shared" si="35"/>
        <v>26300.73076923077</v>
      </c>
      <c r="O61" s="42"/>
      <c r="P61" s="1"/>
      <c r="Q61" s="35">
        <v>750</v>
      </c>
      <c r="R61" s="34"/>
      <c r="S61" s="34"/>
      <c r="T61" s="34"/>
      <c r="U61" s="34">
        <f t="shared" si="26"/>
        <v>80787</v>
      </c>
      <c r="V61" s="34"/>
      <c r="W61" s="47">
        <f t="shared" si="27"/>
        <v>5.9070455778502791E-2</v>
      </c>
      <c r="X61" s="34"/>
      <c r="Y61" s="34">
        <f t="shared" si="36"/>
        <v>1553.5961538461538</v>
      </c>
      <c r="Z61" s="54"/>
      <c r="AA61" s="1"/>
      <c r="AB61" s="23">
        <f t="shared" si="28"/>
        <v>18258</v>
      </c>
      <c r="AC61" s="24"/>
      <c r="AD61" s="24"/>
      <c r="AE61" s="24">
        <v>178263</v>
      </c>
      <c r="AF61" s="24">
        <v>256336</v>
      </c>
      <c r="AG61" s="24"/>
      <c r="AH61" s="25">
        <f t="shared" si="29"/>
        <v>7.6689152294626126E-2</v>
      </c>
      <c r="AI61" s="25"/>
      <c r="AJ61" s="25"/>
      <c r="AK61" s="24"/>
      <c r="AL61" s="354">
        <f t="shared" si="37"/>
        <v>0.18742971458821706</v>
      </c>
      <c r="AM61" s="354"/>
      <c r="AN61" s="24">
        <f t="shared" si="38"/>
        <v>4929.5384615384619</v>
      </c>
      <c r="AO61" s="364" t="e">
        <f t="shared" si="34"/>
        <v>#DIV/0!</v>
      </c>
      <c r="AP61" s="1"/>
      <c r="AQ61" s="70">
        <f t="shared" si="30"/>
        <v>526262</v>
      </c>
      <c r="AR61" s="71"/>
      <c r="AS61" s="71">
        <v>9444525</v>
      </c>
      <c r="AT61" s="71"/>
      <c r="AU61" s="71">
        <f t="shared" si="39"/>
        <v>20329</v>
      </c>
      <c r="AV61" s="71"/>
      <c r="AW61" s="163">
        <f t="shared" si="31"/>
        <v>3.8629047888694222E-2</v>
      </c>
      <c r="AX61" s="71"/>
      <c r="AY61" s="71"/>
      <c r="AZ61" s="71"/>
      <c r="BA61" s="71">
        <f t="shared" si="40"/>
        <v>181625.48076923078</v>
      </c>
      <c r="BB61" s="71"/>
      <c r="BC61" s="71">
        <f t="shared" si="32"/>
        <v>1115316</v>
      </c>
      <c r="BD61" s="71"/>
      <c r="BE61" s="80">
        <f t="shared" si="41"/>
        <v>0.11809127510383</v>
      </c>
      <c r="BF61" s="71"/>
      <c r="BG61" s="92"/>
      <c r="BH61" s="191"/>
      <c r="BI61" s="1"/>
      <c r="BJ61">
        <f t="shared" si="11"/>
        <v>52</v>
      </c>
    </row>
    <row r="62" spans="2:66" x14ac:dyDescent="0.3">
      <c r="B62" s="405">
        <f t="shared" si="6"/>
        <v>43962</v>
      </c>
      <c r="C62" s="65"/>
      <c r="D62" s="17">
        <v>18196</v>
      </c>
      <c r="E62" s="16"/>
      <c r="F62" s="16"/>
      <c r="G62" s="16"/>
      <c r="H62" s="16">
        <f t="shared" si="33"/>
        <v>1385834</v>
      </c>
      <c r="I62" s="16"/>
      <c r="J62" s="39">
        <f t="shared" si="25"/>
        <v>1.3304690276228066E-2</v>
      </c>
      <c r="K62" s="16"/>
      <c r="L62" s="16"/>
      <c r="M62" s="16"/>
      <c r="N62" s="16">
        <f t="shared" si="35"/>
        <v>26147.811320754718</v>
      </c>
      <c r="O62" s="42"/>
      <c r="P62" s="406"/>
      <c r="Q62" s="35">
        <v>1008</v>
      </c>
      <c r="R62" s="34"/>
      <c r="S62" s="34"/>
      <c r="T62" s="34"/>
      <c r="U62" s="34">
        <f t="shared" si="26"/>
        <v>81795</v>
      </c>
      <c r="V62" s="34"/>
      <c r="W62" s="47">
        <f t="shared" si="27"/>
        <v>5.9022220554554153E-2</v>
      </c>
      <c r="X62" s="34"/>
      <c r="Y62" s="34">
        <f t="shared" si="36"/>
        <v>1543.3018867924529</v>
      </c>
      <c r="Z62" s="54"/>
      <c r="AA62" s="406"/>
      <c r="AB62" s="23">
        <f t="shared" si="28"/>
        <v>5889</v>
      </c>
      <c r="AC62" s="24"/>
      <c r="AD62" s="24"/>
      <c r="AE62" s="24">
        <v>178263</v>
      </c>
      <c r="AF62" s="24">
        <v>262225</v>
      </c>
      <c r="AG62" s="24"/>
      <c r="AH62" s="25">
        <f t="shared" si="29"/>
        <v>2.297375319892641E-2</v>
      </c>
      <c r="AI62" s="25"/>
      <c r="AJ62" s="25"/>
      <c r="AK62" s="24"/>
      <c r="AL62" s="354">
        <f t="shared" si="37"/>
        <v>0.18921818919149047</v>
      </c>
      <c r="AM62" s="354"/>
      <c r="AN62" s="24">
        <f t="shared" si="38"/>
        <v>4947.6415094339627</v>
      </c>
      <c r="AO62" s="364" t="e">
        <f t="shared" si="34"/>
        <v>#DIV/0!</v>
      </c>
      <c r="AP62" s="406"/>
      <c r="AQ62" s="70">
        <f t="shared" si="30"/>
        <v>175330</v>
      </c>
      <c r="AR62" s="71"/>
      <c r="AS62" s="71">
        <v>9619855</v>
      </c>
      <c r="AT62" s="71"/>
      <c r="AU62" s="71">
        <f t="shared" si="39"/>
        <v>18196</v>
      </c>
      <c r="AV62" s="71"/>
      <c r="AW62" s="163">
        <f t="shared" si="31"/>
        <v>0.10378144071180061</v>
      </c>
      <c r="AX62" s="71"/>
      <c r="AY62" s="71"/>
      <c r="AZ62" s="71"/>
      <c r="BA62" s="71">
        <f t="shared" si="40"/>
        <v>181506.69811320756</v>
      </c>
      <c r="BB62" s="71"/>
      <c r="BC62" s="71">
        <f t="shared" si="32"/>
        <v>1133512</v>
      </c>
      <c r="BD62" s="71"/>
      <c r="BE62" s="80">
        <f t="shared" si="41"/>
        <v>0.11783046625962658</v>
      </c>
      <c r="BF62" s="71"/>
      <c r="BG62" s="92"/>
      <c r="BH62" s="191"/>
      <c r="BI62" s="1"/>
      <c r="BJ62">
        <f t="shared" si="11"/>
        <v>53</v>
      </c>
    </row>
    <row r="63" spans="2:66" x14ac:dyDescent="0.3">
      <c r="B63" s="179">
        <f t="shared" si="6"/>
        <v>43963</v>
      </c>
      <c r="C63" s="65"/>
      <c r="D63" s="17">
        <v>22802</v>
      </c>
      <c r="E63" s="16"/>
      <c r="F63" s="16"/>
      <c r="G63" s="16"/>
      <c r="H63" s="16">
        <f t="shared" si="33"/>
        <v>1408636</v>
      </c>
      <c r="I63" s="16"/>
      <c r="J63" s="39">
        <f t="shared" si="25"/>
        <v>1.6453630088452152E-2</v>
      </c>
      <c r="K63" s="16"/>
      <c r="L63" s="16"/>
      <c r="M63" s="16"/>
      <c r="N63" s="16">
        <f t="shared" si="35"/>
        <v>26085.85185185185</v>
      </c>
      <c r="O63" s="42"/>
      <c r="P63" s="1"/>
      <c r="Q63" s="35">
        <v>1630</v>
      </c>
      <c r="R63" s="34"/>
      <c r="S63" s="34"/>
      <c r="T63" s="34"/>
      <c r="U63" s="34">
        <f t="shared" si="26"/>
        <v>83425</v>
      </c>
      <c r="V63" s="34"/>
      <c r="W63" s="47">
        <f t="shared" si="27"/>
        <v>5.9223958496020267E-2</v>
      </c>
      <c r="X63" s="34"/>
      <c r="Y63" s="34">
        <f t="shared" si="36"/>
        <v>1544.9074074074074</v>
      </c>
      <c r="Z63" s="54"/>
      <c r="AA63" s="1"/>
      <c r="AB63" s="23">
        <f t="shared" si="28"/>
        <v>20014</v>
      </c>
      <c r="AC63" s="24"/>
      <c r="AD63" s="24"/>
      <c r="AE63" s="24">
        <v>178263</v>
      </c>
      <c r="AF63" s="24">
        <v>282239</v>
      </c>
      <c r="AG63" s="24"/>
      <c r="AH63" s="25">
        <f t="shared" si="29"/>
        <v>7.6323767756697497E-2</v>
      </c>
      <c r="AI63" s="25"/>
      <c r="AJ63" s="25"/>
      <c r="AK63" s="24"/>
      <c r="AL63" s="354">
        <f t="shared" si="37"/>
        <v>0.20036333020027886</v>
      </c>
      <c r="AM63" s="354"/>
      <c r="AN63" s="24">
        <f t="shared" si="38"/>
        <v>5226.6481481481478</v>
      </c>
      <c r="AO63" s="364" t="e">
        <f t="shared" si="34"/>
        <v>#DIV/0!</v>
      </c>
      <c r="AP63" s="1"/>
      <c r="AQ63" s="70">
        <f t="shared" si="30"/>
        <v>310012</v>
      </c>
      <c r="AR63" s="71"/>
      <c r="AS63" s="71">
        <v>9929867</v>
      </c>
      <c r="AT63" s="71"/>
      <c r="AU63" s="71">
        <f t="shared" si="39"/>
        <v>22802</v>
      </c>
      <c r="AV63" s="71"/>
      <c r="AW63" s="163">
        <f t="shared" si="31"/>
        <v>7.3551991535811517E-2</v>
      </c>
      <c r="AX63" s="71"/>
      <c r="AY63" s="71"/>
      <c r="AZ63" s="71"/>
      <c r="BA63" s="71">
        <f t="shared" si="40"/>
        <v>183886.42592592593</v>
      </c>
      <c r="BB63" s="71"/>
      <c r="BC63" s="71">
        <f t="shared" si="32"/>
        <v>1156314</v>
      </c>
      <c r="BD63" s="71"/>
      <c r="BE63" s="80">
        <f t="shared" si="41"/>
        <v>0.11644808535703449</v>
      </c>
      <c r="BF63" s="71"/>
      <c r="BG63" s="92"/>
      <c r="BH63" s="191"/>
      <c r="BI63" s="1"/>
      <c r="BJ63">
        <f t="shared" si="11"/>
        <v>54</v>
      </c>
    </row>
    <row r="64" spans="2:66" x14ac:dyDescent="0.3">
      <c r="B64" s="179">
        <f t="shared" si="6"/>
        <v>43964</v>
      </c>
      <c r="C64" s="65"/>
      <c r="D64" s="17">
        <v>21712</v>
      </c>
      <c r="E64" s="16"/>
      <c r="F64" s="16"/>
      <c r="G64" s="16"/>
      <c r="H64" s="16">
        <f t="shared" si="33"/>
        <v>1430348</v>
      </c>
      <c r="I64" s="16"/>
      <c r="J64" s="39">
        <f t="shared" si="25"/>
        <v>1.5413492200966042E-2</v>
      </c>
      <c r="K64" s="16"/>
      <c r="L64" s="16"/>
      <c r="M64" s="16"/>
      <c r="N64" s="16">
        <f t="shared" si="35"/>
        <v>26006.327272727274</v>
      </c>
      <c r="O64" s="42"/>
      <c r="P64" s="1"/>
      <c r="Q64" s="35">
        <v>1772</v>
      </c>
      <c r="R64" s="34"/>
      <c r="S64" s="34"/>
      <c r="T64" s="34"/>
      <c r="U64" s="34">
        <f t="shared" si="26"/>
        <v>85197</v>
      </c>
      <c r="V64" s="34"/>
      <c r="W64" s="47">
        <f t="shared" si="27"/>
        <v>5.9563826425457302E-2</v>
      </c>
      <c r="X64" s="34"/>
      <c r="Y64" s="34">
        <f t="shared" si="36"/>
        <v>1549.0363636363636</v>
      </c>
      <c r="Z64" s="54"/>
      <c r="AA64" s="1"/>
      <c r="AB64" s="23">
        <f t="shared" si="28"/>
        <v>28020</v>
      </c>
      <c r="AC64" s="24"/>
      <c r="AD64" s="24"/>
      <c r="AE64" s="24">
        <v>178263</v>
      </c>
      <c r="AF64" s="24">
        <v>310259</v>
      </c>
      <c r="AG64" s="24"/>
      <c r="AH64" s="25">
        <f t="shared" si="29"/>
        <v>9.9277562633087554E-2</v>
      </c>
      <c r="AI64" s="25"/>
      <c r="AJ64" s="25"/>
      <c r="AK64" s="24"/>
      <c r="AL64" s="354">
        <f t="shared" si="37"/>
        <v>0.21691154879791491</v>
      </c>
      <c r="AM64" s="354"/>
      <c r="AN64" s="24">
        <f t="shared" si="38"/>
        <v>5641.0727272727272</v>
      </c>
      <c r="AO64" s="364" t="e">
        <f t="shared" si="34"/>
        <v>#DIV/0!</v>
      </c>
      <c r="AP64" s="1"/>
      <c r="AQ64" s="70">
        <f t="shared" si="30"/>
        <v>340129</v>
      </c>
      <c r="AR64" s="71"/>
      <c r="AS64" s="71">
        <v>10269996</v>
      </c>
      <c r="AT64" s="71"/>
      <c r="AU64" s="71">
        <f t="shared" si="39"/>
        <v>21712</v>
      </c>
      <c r="AV64" s="71"/>
      <c r="AW64" s="163">
        <f t="shared" si="31"/>
        <v>6.3834603929685499E-2</v>
      </c>
      <c r="AX64" s="71"/>
      <c r="AY64" s="71"/>
      <c r="AZ64" s="71"/>
      <c r="BA64" s="71">
        <f t="shared" si="40"/>
        <v>186727.2</v>
      </c>
      <c r="BB64" s="71"/>
      <c r="BC64" s="71">
        <f t="shared" si="32"/>
        <v>1178026</v>
      </c>
      <c r="BD64" s="71"/>
      <c r="BE64" s="80">
        <f t="shared" si="41"/>
        <v>0.11470559482204278</v>
      </c>
      <c r="BF64" s="71"/>
      <c r="BG64" s="92"/>
      <c r="BH64" s="191"/>
      <c r="BI64" s="1"/>
      <c r="BJ64">
        <f t="shared" si="11"/>
        <v>55</v>
      </c>
    </row>
    <row r="65" spans="2:72" x14ac:dyDescent="0.3">
      <c r="B65" s="179">
        <f t="shared" si="6"/>
        <v>43965</v>
      </c>
      <c r="C65" s="65"/>
      <c r="D65" s="17">
        <v>27246</v>
      </c>
      <c r="E65" s="16"/>
      <c r="F65" s="16"/>
      <c r="G65" s="16"/>
      <c r="H65" s="16">
        <f t="shared" ref="H65" si="42">+H64+D65</f>
        <v>1457594</v>
      </c>
      <c r="I65" s="16"/>
      <c r="J65" s="39">
        <f t="shared" ref="J65" si="43">+D65/H64</f>
        <v>1.904851127138291E-2</v>
      </c>
      <c r="K65" s="16"/>
      <c r="L65" s="16"/>
      <c r="M65" s="16"/>
      <c r="N65" s="16">
        <f t="shared" si="35"/>
        <v>26028.464285714286</v>
      </c>
      <c r="O65" s="42"/>
      <c r="P65" s="1"/>
      <c r="Q65" s="35">
        <v>1711</v>
      </c>
      <c r="R65" s="34"/>
      <c r="S65" s="34"/>
      <c r="T65" s="34"/>
      <c r="U65" s="34">
        <f t="shared" ref="U65" si="44">+U64+Q65</f>
        <v>86908</v>
      </c>
      <c r="V65" s="34"/>
      <c r="W65" s="47">
        <f t="shared" ref="W65" si="45">+U65/H65</f>
        <v>5.9624284951776692E-2</v>
      </c>
      <c r="X65" s="34"/>
      <c r="Y65" s="34">
        <f t="shared" si="36"/>
        <v>1551.9285714285713</v>
      </c>
      <c r="Z65" s="54"/>
      <c r="AA65" s="1"/>
      <c r="AB65" s="23">
        <f t="shared" ref="AB65" si="46">+AF65-AF64</f>
        <v>7602</v>
      </c>
      <c r="AC65" s="24"/>
      <c r="AD65" s="24"/>
      <c r="AE65" s="24">
        <v>178263</v>
      </c>
      <c r="AF65" s="24">
        <v>317861</v>
      </c>
      <c r="AG65" s="24"/>
      <c r="AH65" s="25">
        <f t="shared" ref="AH65" si="47">+AB65/AF64</f>
        <v>2.4502109527846091E-2</v>
      </c>
      <c r="AI65" s="25"/>
      <c r="AJ65" s="25"/>
      <c r="AK65" s="24"/>
      <c r="AL65" s="354">
        <f t="shared" si="37"/>
        <v>0.21807238504000429</v>
      </c>
      <c r="AM65" s="354"/>
      <c r="AN65" s="24">
        <f t="shared" si="38"/>
        <v>5676.0892857142853</v>
      </c>
      <c r="AO65" s="364" t="e">
        <f t="shared" ref="AO65" si="48">+AG65/BK65</f>
        <v>#DIV/0!</v>
      </c>
      <c r="AP65" s="1"/>
      <c r="AQ65" s="70">
        <f t="shared" ref="AQ65" si="49">+AS65-AS64</f>
        <v>365542</v>
      </c>
      <c r="AR65" s="71"/>
      <c r="AS65" s="71">
        <v>10635538</v>
      </c>
      <c r="AT65" s="71"/>
      <c r="AU65" s="71">
        <f t="shared" si="39"/>
        <v>27246</v>
      </c>
      <c r="AV65" s="71"/>
      <c r="AW65" s="163">
        <f t="shared" ref="AW65" si="50">+AU65/AQ65</f>
        <v>7.4535894644117501E-2</v>
      </c>
      <c r="AX65" s="71"/>
      <c r="AY65" s="71"/>
      <c r="AZ65" s="71"/>
      <c r="BA65" s="71">
        <f t="shared" si="40"/>
        <v>189920.32142857142</v>
      </c>
      <c r="BB65" s="71"/>
      <c r="BC65" s="71">
        <f t="shared" ref="BC65" si="51">+BC64+AU65</f>
        <v>1205272</v>
      </c>
      <c r="BD65" s="71"/>
      <c r="BE65" s="80">
        <f t="shared" si="41"/>
        <v>0.11332496766971262</v>
      </c>
      <c r="BF65" s="71"/>
      <c r="BG65" s="92"/>
      <c r="BH65" s="191"/>
      <c r="BI65" s="1"/>
      <c r="BJ65">
        <f t="shared" si="11"/>
        <v>56</v>
      </c>
    </row>
    <row r="66" spans="2:72" x14ac:dyDescent="0.3">
      <c r="B66" s="179">
        <f t="shared" si="6"/>
        <v>43966</v>
      </c>
      <c r="C66" s="65"/>
      <c r="D66" s="17">
        <v>26617</v>
      </c>
      <c r="E66" s="16"/>
      <c r="F66" s="16"/>
      <c r="G66" s="16"/>
      <c r="H66" s="16">
        <f t="shared" ref="H66" si="52">+H65+D66</f>
        <v>1484211</v>
      </c>
      <c r="I66" s="16"/>
      <c r="J66" s="39">
        <f t="shared" ref="J66" si="53">+D66/H65</f>
        <v>1.826091490497354E-2</v>
      </c>
      <c r="K66" s="16"/>
      <c r="L66" s="16"/>
      <c r="M66" s="16"/>
      <c r="N66" s="16">
        <f t="shared" ref="N66" si="54">+H66/BJ66</f>
        <v>26038.78947368421</v>
      </c>
      <c r="O66" s="42"/>
      <c r="P66" s="1"/>
      <c r="Q66" s="35">
        <v>1595</v>
      </c>
      <c r="R66" s="34"/>
      <c r="S66" s="34"/>
      <c r="T66" s="34"/>
      <c r="U66" s="34">
        <f t="shared" ref="U66" si="55">+U65+Q66</f>
        <v>88503</v>
      </c>
      <c r="V66" s="34"/>
      <c r="W66" s="47">
        <f t="shared" ref="W66" si="56">+U66/H66</f>
        <v>5.9629661820320694E-2</v>
      </c>
      <c r="X66" s="34"/>
      <c r="Y66" s="34">
        <f t="shared" ref="Y66" si="57">+U66/BJ66</f>
        <v>1552.6842105263158</v>
      </c>
      <c r="Z66" s="54"/>
      <c r="AA66" s="1"/>
      <c r="AB66" s="23">
        <f t="shared" ref="AB66" si="58">+AF66-AF65</f>
        <v>8381</v>
      </c>
      <c r="AC66" s="24"/>
      <c r="AD66" s="24"/>
      <c r="AE66" s="24">
        <v>178263</v>
      </c>
      <c r="AF66" s="24">
        <v>326242</v>
      </c>
      <c r="AG66" s="24"/>
      <c r="AH66" s="25">
        <f t="shared" ref="AH66" si="59">+AB66/AF65</f>
        <v>2.6366871053699573E-2</v>
      </c>
      <c r="AI66" s="25"/>
      <c r="AJ66" s="25"/>
      <c r="AK66" s="24"/>
      <c r="AL66" s="354">
        <f t="shared" ref="AL66" si="60">+AF66/H66</f>
        <v>0.21980836956470476</v>
      </c>
      <c r="AM66" s="354"/>
      <c r="AN66" s="24">
        <f t="shared" ref="AN66" si="61">+AF66/BJ66</f>
        <v>5723.5438596491231</v>
      </c>
      <c r="AO66" s="364" t="e">
        <f t="shared" ref="AO66" si="62">+AG66/BK66</f>
        <v>#DIV/0!</v>
      </c>
      <c r="AP66" s="1"/>
      <c r="AQ66" s="70">
        <f t="shared" ref="AQ66" si="63">+AS66-AS65</f>
        <v>455362</v>
      </c>
      <c r="AR66" s="71"/>
      <c r="AS66" s="71">
        <v>11090900</v>
      </c>
      <c r="AT66" s="71"/>
      <c r="AU66" s="71">
        <f t="shared" ref="AU66:AU67" si="64">+D66</f>
        <v>26617</v>
      </c>
      <c r="AV66" s="71"/>
      <c r="AW66" s="163">
        <f t="shared" ref="AW66" si="65">+AU66/AQ66</f>
        <v>5.8452396115617901E-2</v>
      </c>
      <c r="AX66" s="71"/>
      <c r="AY66" s="71"/>
      <c r="AZ66" s="71"/>
      <c r="BA66" s="71">
        <f t="shared" ref="BA66" si="66">+AS66/BJ66</f>
        <v>194577.19298245615</v>
      </c>
      <c r="BB66" s="71"/>
      <c r="BC66" s="71">
        <f t="shared" ref="BC66" si="67">+BC65+AU66</f>
        <v>1231889</v>
      </c>
      <c r="BD66" s="71"/>
      <c r="BE66" s="80">
        <f t="shared" ref="BE66" si="68">+BC66/AS66</f>
        <v>0.11107205005905743</v>
      </c>
      <c r="BF66" s="71"/>
      <c r="BG66" s="92"/>
      <c r="BH66" s="191"/>
      <c r="BI66" s="1"/>
      <c r="BJ66">
        <f t="shared" si="11"/>
        <v>57</v>
      </c>
    </row>
    <row r="67" spans="2:72" x14ac:dyDescent="0.3">
      <c r="B67" s="179">
        <f t="shared" si="6"/>
        <v>43967</v>
      </c>
      <c r="C67" s="65"/>
      <c r="D67" s="17"/>
      <c r="E67" s="16"/>
      <c r="F67" s="16"/>
      <c r="G67" s="16"/>
      <c r="H67" s="16"/>
      <c r="I67" s="16"/>
      <c r="J67" s="39"/>
      <c r="K67" s="16"/>
      <c r="L67" s="16"/>
      <c r="M67" s="16"/>
      <c r="N67" s="16"/>
      <c r="O67" s="42"/>
      <c r="P67" s="1"/>
      <c r="Q67" s="35"/>
      <c r="R67" s="34"/>
      <c r="S67" s="34"/>
      <c r="T67" s="34"/>
      <c r="U67" s="34"/>
      <c r="V67" s="34"/>
      <c r="W67" s="47"/>
      <c r="X67" s="34"/>
      <c r="Y67" s="34"/>
      <c r="Z67" s="54"/>
      <c r="AA67" s="1"/>
      <c r="AB67" s="23"/>
      <c r="AC67" s="24"/>
      <c r="AD67" s="24"/>
      <c r="AE67" s="24"/>
      <c r="AF67" s="24"/>
      <c r="AG67" s="24"/>
      <c r="AH67" s="25"/>
      <c r="AI67" s="25"/>
      <c r="AJ67" s="25"/>
      <c r="AK67" s="24"/>
      <c r="AL67" s="354"/>
      <c r="AM67" s="354"/>
      <c r="AN67" s="24"/>
      <c r="AO67" s="364"/>
      <c r="AP67" s="1"/>
      <c r="AQ67" s="70"/>
      <c r="AR67" s="71"/>
      <c r="AS67" s="71"/>
      <c r="AT67" s="71"/>
      <c r="AU67" s="71">
        <f t="shared" si="64"/>
        <v>0</v>
      </c>
      <c r="AV67" s="71"/>
      <c r="AW67" s="163"/>
      <c r="AX67" s="71"/>
      <c r="AY67" s="71"/>
      <c r="AZ67" s="71"/>
      <c r="BA67" s="71"/>
      <c r="BB67" s="71"/>
      <c r="BC67" s="71"/>
      <c r="BD67" s="71"/>
      <c r="BE67" s="80"/>
      <c r="BF67" s="71"/>
      <c r="BG67" s="92"/>
      <c r="BH67" s="191"/>
      <c r="BI67" s="1"/>
      <c r="BJ67">
        <f t="shared" si="11"/>
        <v>58</v>
      </c>
    </row>
    <row r="68" spans="2:72" x14ac:dyDescent="0.3">
      <c r="B68" s="179">
        <f t="shared" si="6"/>
        <v>43968</v>
      </c>
      <c r="C68" s="65"/>
      <c r="D68" s="17"/>
      <c r="E68" s="16"/>
      <c r="F68" s="16"/>
      <c r="G68" s="16"/>
      <c r="H68" s="16"/>
      <c r="I68" s="16"/>
      <c r="J68" s="39"/>
      <c r="K68" s="16"/>
      <c r="L68" s="16"/>
      <c r="M68" s="16"/>
      <c r="N68" s="16"/>
      <c r="O68" s="42"/>
      <c r="P68" s="1"/>
      <c r="Q68" s="35"/>
      <c r="R68" s="34"/>
      <c r="S68" s="34"/>
      <c r="T68" s="34"/>
      <c r="U68" s="34"/>
      <c r="V68" s="34"/>
      <c r="W68" s="47"/>
      <c r="X68" s="34"/>
      <c r="Y68" s="34"/>
      <c r="Z68" s="54"/>
      <c r="AA68" s="1"/>
      <c r="AB68" s="23"/>
      <c r="AC68" s="24"/>
      <c r="AD68" s="24"/>
      <c r="AE68" s="24"/>
      <c r="AF68" s="24"/>
      <c r="AG68" s="24"/>
      <c r="AH68" s="25"/>
      <c r="AI68" s="25"/>
      <c r="AJ68" s="25"/>
      <c r="AK68" s="24"/>
      <c r="AL68" s="354"/>
      <c r="AM68" s="354"/>
      <c r="AN68" s="25"/>
      <c r="AO68" s="362"/>
      <c r="AP68" s="1"/>
      <c r="AQ68" s="70"/>
      <c r="AR68" s="71"/>
      <c r="AS68" s="71"/>
      <c r="AT68" s="71"/>
      <c r="AU68" s="71"/>
      <c r="AV68" s="71"/>
      <c r="AW68" s="163"/>
      <c r="AX68" s="71"/>
      <c r="AY68" s="71"/>
      <c r="AZ68" s="71"/>
      <c r="BA68" s="71"/>
      <c r="BB68" s="71"/>
      <c r="BC68" s="71"/>
      <c r="BD68" s="71"/>
      <c r="BE68" s="80"/>
      <c r="BF68" s="71"/>
      <c r="BG68" s="92"/>
      <c r="BH68" s="191"/>
      <c r="BI68" s="1"/>
      <c r="BJ68">
        <f t="shared" si="11"/>
        <v>59</v>
      </c>
    </row>
    <row r="69" spans="2:72" x14ac:dyDescent="0.3">
      <c r="B69" s="179">
        <f t="shared" si="6"/>
        <v>43969</v>
      </c>
      <c r="D69" s="18"/>
      <c r="E69" s="19"/>
      <c r="F69" s="19"/>
      <c r="G69" s="19"/>
      <c r="H69" s="19"/>
      <c r="I69" s="19"/>
      <c r="J69" s="40"/>
      <c r="K69" s="19"/>
      <c r="L69" s="19"/>
      <c r="M69" s="19"/>
      <c r="N69" s="19"/>
      <c r="O69" s="44"/>
      <c r="P69" s="1"/>
      <c r="Q69" s="36"/>
      <c r="R69" s="37"/>
      <c r="S69" s="37"/>
      <c r="T69" s="37"/>
      <c r="U69" s="37"/>
      <c r="V69" s="37"/>
      <c r="W69" s="48"/>
      <c r="X69" s="37"/>
      <c r="Y69" s="37"/>
      <c r="Z69" s="55"/>
      <c r="AA69" s="1"/>
      <c r="AB69" s="26"/>
      <c r="AC69" s="27"/>
      <c r="AD69" s="27"/>
      <c r="AE69" s="27"/>
      <c r="AF69" s="27"/>
      <c r="AG69" s="27"/>
      <c r="AH69" s="27"/>
      <c r="AI69" s="27"/>
      <c r="AJ69" s="27"/>
      <c r="AK69" s="27"/>
      <c r="AL69" s="356"/>
      <c r="AM69" s="356"/>
      <c r="AN69" s="27"/>
      <c r="AO69" s="363"/>
      <c r="AP69" s="1"/>
      <c r="AQ69" s="72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6"/>
      <c r="BF69" s="73"/>
      <c r="BG69" s="73"/>
      <c r="BH69" s="192"/>
      <c r="BI69" s="1"/>
      <c r="BJ69">
        <f t="shared" si="11"/>
        <v>60</v>
      </c>
    </row>
    <row r="70" spans="2:72" x14ac:dyDescent="0.3">
      <c r="B70" s="60"/>
      <c r="D70" s="1"/>
      <c r="E70" s="1"/>
      <c r="F70" s="1"/>
      <c r="G70" s="1"/>
      <c r="H70" s="63"/>
      <c r="I70" s="1"/>
      <c r="J70" s="63"/>
      <c r="K70" s="1"/>
      <c r="L70" s="1"/>
      <c r="M70" s="1"/>
      <c r="N70" s="1"/>
      <c r="O70" s="1"/>
      <c r="P70" s="1"/>
      <c r="Q70" s="63"/>
      <c r="R70" s="1"/>
      <c r="S70" s="1"/>
      <c r="T70" s="1"/>
      <c r="U70" s="1"/>
      <c r="V70" s="1"/>
      <c r="W70" s="6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63"/>
      <c r="AT70" s="1"/>
      <c r="AU70" s="6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2:72" x14ac:dyDescent="0.3">
      <c r="B71" s="187" t="s">
        <v>84</v>
      </c>
      <c r="D71" s="60">
        <f>+D66</f>
        <v>26617</v>
      </c>
      <c r="E71" s="60"/>
      <c r="F71" s="60"/>
      <c r="G71" s="60"/>
      <c r="H71" s="60">
        <f t="shared" ref="H71:BC71" si="69">+H66</f>
        <v>1484211</v>
      </c>
      <c r="I71" s="60">
        <f t="shared" si="69"/>
        <v>0</v>
      </c>
      <c r="J71" s="63">
        <f t="shared" si="69"/>
        <v>1.826091490497354E-2</v>
      </c>
      <c r="K71" s="60">
        <f t="shared" si="69"/>
        <v>0</v>
      </c>
      <c r="L71" s="60">
        <f t="shared" si="69"/>
        <v>0</v>
      </c>
      <c r="M71" s="60">
        <f t="shared" si="69"/>
        <v>0</v>
      </c>
      <c r="N71" s="60">
        <f t="shared" si="69"/>
        <v>26038.78947368421</v>
      </c>
      <c r="O71" s="60">
        <f t="shared" si="69"/>
        <v>0</v>
      </c>
      <c r="P71" s="60"/>
      <c r="Q71" s="60">
        <f t="shared" si="69"/>
        <v>1595</v>
      </c>
      <c r="R71" s="60">
        <f t="shared" si="69"/>
        <v>0</v>
      </c>
      <c r="S71" s="60">
        <f t="shared" si="69"/>
        <v>0</v>
      </c>
      <c r="T71" s="60">
        <f t="shared" si="69"/>
        <v>0</v>
      </c>
      <c r="U71" s="60">
        <f t="shared" si="69"/>
        <v>88503</v>
      </c>
      <c r="V71" s="60">
        <f t="shared" si="69"/>
        <v>0</v>
      </c>
      <c r="W71" s="63">
        <f t="shared" si="69"/>
        <v>5.9629661820320694E-2</v>
      </c>
      <c r="X71" s="60">
        <f t="shared" si="69"/>
        <v>0</v>
      </c>
      <c r="Y71" s="60">
        <f t="shared" si="69"/>
        <v>1552.6842105263158</v>
      </c>
      <c r="Z71" s="60">
        <f t="shared" si="69"/>
        <v>0</v>
      </c>
      <c r="AA71" s="60"/>
      <c r="AB71" s="60">
        <f t="shared" si="69"/>
        <v>8381</v>
      </c>
      <c r="AC71" s="60">
        <f t="shared" si="69"/>
        <v>0</v>
      </c>
      <c r="AD71" s="60">
        <f t="shared" si="69"/>
        <v>0</v>
      </c>
      <c r="AE71" s="60">
        <f t="shared" si="69"/>
        <v>178263</v>
      </c>
      <c r="AF71" s="60">
        <f t="shared" si="69"/>
        <v>326242</v>
      </c>
      <c r="AG71" s="60">
        <f t="shared" si="69"/>
        <v>0</v>
      </c>
      <c r="AH71" s="63">
        <f t="shared" si="69"/>
        <v>2.6366871053699573E-2</v>
      </c>
      <c r="AI71" s="63">
        <f t="shared" si="69"/>
        <v>0</v>
      </c>
      <c r="AJ71" s="63"/>
      <c r="AK71" s="63">
        <f t="shared" si="69"/>
        <v>0</v>
      </c>
      <c r="AL71" s="63">
        <f t="shared" si="69"/>
        <v>0.21980836956470476</v>
      </c>
      <c r="AM71" s="60">
        <f t="shared" si="69"/>
        <v>0</v>
      </c>
      <c r="AN71" s="60">
        <f t="shared" si="69"/>
        <v>5723.5438596491231</v>
      </c>
      <c r="AO71" s="60"/>
      <c r="AP71" s="60"/>
      <c r="AQ71" s="60">
        <f t="shared" si="69"/>
        <v>455362</v>
      </c>
      <c r="AR71" s="60">
        <f t="shared" si="69"/>
        <v>0</v>
      </c>
      <c r="AS71" s="60">
        <f t="shared" si="69"/>
        <v>11090900</v>
      </c>
      <c r="AT71" s="60">
        <f t="shared" si="69"/>
        <v>0</v>
      </c>
      <c r="AU71" s="60">
        <f t="shared" si="69"/>
        <v>26617</v>
      </c>
      <c r="AV71" s="60">
        <f t="shared" si="69"/>
        <v>0</v>
      </c>
      <c r="AW71" s="63">
        <f t="shared" si="69"/>
        <v>5.8452396115617901E-2</v>
      </c>
      <c r="AX71" s="60">
        <f t="shared" si="69"/>
        <v>0</v>
      </c>
      <c r="AY71" s="60"/>
      <c r="AZ71" s="60">
        <f t="shared" si="69"/>
        <v>0</v>
      </c>
      <c r="BA71" s="60">
        <f t="shared" si="69"/>
        <v>194577.19298245615</v>
      </c>
      <c r="BB71" s="60">
        <f t="shared" si="69"/>
        <v>0</v>
      </c>
      <c r="BC71" s="60">
        <f t="shared" si="69"/>
        <v>1231889</v>
      </c>
      <c r="BD71" s="10"/>
      <c r="BE71" s="66"/>
      <c r="BF71" s="10"/>
      <c r="BG71" s="10"/>
      <c r="BH71" s="10"/>
      <c r="BI71" s="10"/>
      <c r="BJ71" s="167"/>
      <c r="BK71" s="10"/>
      <c r="BL71" s="66"/>
      <c r="BM71" s="10"/>
      <c r="BN71" s="167"/>
      <c r="BO71" s="65"/>
      <c r="BP71" s="65"/>
      <c r="BQ71" s="65"/>
      <c r="BR71" s="65"/>
      <c r="BS71" s="65"/>
      <c r="BT71" s="164"/>
    </row>
    <row r="72" spans="2:72" x14ac:dyDescent="0.3">
      <c r="B72" t="s">
        <v>122</v>
      </c>
      <c r="D72" s="60">
        <f>+D65-D66</f>
        <v>629</v>
      </c>
      <c r="H72" s="60">
        <f t="shared" ref="H72:BC72" si="70">+H65-H66</f>
        <v>-26617</v>
      </c>
      <c r="I72" s="60">
        <f t="shared" si="70"/>
        <v>0</v>
      </c>
      <c r="J72" s="63">
        <f t="shared" si="70"/>
        <v>7.8759636640936964E-4</v>
      </c>
      <c r="K72" s="60">
        <f t="shared" si="70"/>
        <v>0</v>
      </c>
      <c r="L72" s="60">
        <f t="shared" si="70"/>
        <v>0</v>
      </c>
      <c r="M72" s="60">
        <f t="shared" si="70"/>
        <v>0</v>
      </c>
      <c r="N72" s="60">
        <f t="shared" si="70"/>
        <v>-10.325187969923718</v>
      </c>
      <c r="O72" s="60">
        <f t="shared" si="70"/>
        <v>0</v>
      </c>
      <c r="P72" s="60"/>
      <c r="Q72" s="60">
        <f t="shared" si="70"/>
        <v>116</v>
      </c>
      <c r="R72" s="60">
        <f t="shared" si="70"/>
        <v>0</v>
      </c>
      <c r="S72" s="60">
        <f t="shared" si="70"/>
        <v>0</v>
      </c>
      <c r="T72" s="60">
        <f t="shared" si="70"/>
        <v>0</v>
      </c>
      <c r="U72" s="60">
        <f t="shared" si="70"/>
        <v>-1595</v>
      </c>
      <c r="V72" s="60">
        <f t="shared" si="70"/>
        <v>0</v>
      </c>
      <c r="W72" s="63">
        <f t="shared" si="70"/>
        <v>-5.3768685440019892E-6</v>
      </c>
      <c r="X72" s="60">
        <f t="shared" si="70"/>
        <v>0</v>
      </c>
      <c r="Y72" s="60">
        <f t="shared" si="70"/>
        <v>-0.75563909774450622</v>
      </c>
      <c r="Z72" s="60">
        <f t="shared" si="70"/>
        <v>0</v>
      </c>
      <c r="AA72" s="60"/>
      <c r="AB72" s="60">
        <f t="shared" si="70"/>
        <v>-779</v>
      </c>
      <c r="AC72" s="60">
        <f t="shared" si="70"/>
        <v>0</v>
      </c>
      <c r="AD72" s="60">
        <f t="shared" si="70"/>
        <v>0</v>
      </c>
      <c r="AE72" s="60">
        <f t="shared" si="70"/>
        <v>0</v>
      </c>
      <c r="AF72" s="60">
        <f t="shared" si="70"/>
        <v>-8381</v>
      </c>
      <c r="AG72" s="60">
        <f t="shared" si="70"/>
        <v>0</v>
      </c>
      <c r="AH72" s="63">
        <f t="shared" si="70"/>
        <v>-1.8647615258534818E-3</v>
      </c>
      <c r="AI72" s="63">
        <f t="shared" si="70"/>
        <v>0</v>
      </c>
      <c r="AJ72" s="63"/>
      <c r="AK72" s="63">
        <f t="shared" si="70"/>
        <v>0</v>
      </c>
      <c r="AL72" s="63">
        <f t="shared" si="70"/>
        <v>-1.7359845247004735E-3</v>
      </c>
      <c r="AM72" s="60">
        <f t="shared" si="70"/>
        <v>0</v>
      </c>
      <c r="AN72" s="60">
        <f t="shared" si="70"/>
        <v>-47.454573934837754</v>
      </c>
      <c r="AO72" s="60"/>
      <c r="AP72" s="60"/>
      <c r="AQ72" s="60">
        <f t="shared" si="70"/>
        <v>-89820</v>
      </c>
      <c r="AR72" s="60">
        <f t="shared" si="70"/>
        <v>0</v>
      </c>
      <c r="AS72" s="60">
        <f t="shared" si="70"/>
        <v>-455362</v>
      </c>
      <c r="AT72" s="60">
        <f t="shared" si="70"/>
        <v>0</v>
      </c>
      <c r="AU72" s="60">
        <f t="shared" si="70"/>
        <v>629</v>
      </c>
      <c r="AV72" s="60">
        <f t="shared" si="70"/>
        <v>0</v>
      </c>
      <c r="AW72" s="63">
        <f t="shared" si="70"/>
        <v>1.60834985284996E-2</v>
      </c>
      <c r="AX72" s="60">
        <f t="shared" si="70"/>
        <v>0</v>
      </c>
      <c r="AY72" s="60"/>
      <c r="AZ72" s="60">
        <f t="shared" si="70"/>
        <v>0</v>
      </c>
      <c r="BA72" s="60">
        <f t="shared" si="70"/>
        <v>-4656.8715538847318</v>
      </c>
      <c r="BB72" s="60">
        <f t="shared" si="70"/>
        <v>0</v>
      </c>
      <c r="BC72" s="60">
        <f t="shared" si="70"/>
        <v>-26617</v>
      </c>
      <c r="BD72" s="10"/>
      <c r="BE72" s="10"/>
      <c r="BF72" s="10"/>
      <c r="BG72" s="10"/>
      <c r="BH72" s="10"/>
      <c r="BI72" s="10"/>
      <c r="BJ72" s="66"/>
      <c r="BK72" s="10"/>
      <c r="BL72" s="10"/>
      <c r="BM72" s="10"/>
      <c r="BN72" s="66"/>
      <c r="BO72" s="65"/>
      <c r="BP72" s="65"/>
      <c r="BQ72" s="65"/>
      <c r="BR72" s="65"/>
      <c r="BS72" s="65"/>
      <c r="BT72" s="123"/>
    </row>
    <row r="73" spans="2:72" x14ac:dyDescent="0.3">
      <c r="U73" s="60"/>
      <c r="W73" s="63"/>
      <c r="AQ73" s="63"/>
      <c r="AW73" s="63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65"/>
      <c r="BP73" s="123"/>
      <c r="BQ73" s="123"/>
      <c r="BR73" s="123"/>
      <c r="BS73" s="123"/>
    </row>
    <row r="74" spans="2:72" x14ac:dyDescent="0.3">
      <c r="D74" s="60"/>
      <c r="H74" s="1"/>
      <c r="N74" s="63"/>
      <c r="Q74" s="60"/>
      <c r="U74" s="1"/>
      <c r="AQ74" s="63"/>
      <c r="AS74" s="60"/>
      <c r="AU74" s="63"/>
      <c r="AZ74" s="65"/>
      <c r="BA74" s="65"/>
      <c r="BB74" s="65"/>
      <c r="BC74" s="65"/>
      <c r="BD74" s="65"/>
      <c r="BE74" s="65"/>
      <c r="BF74" s="10"/>
      <c r="BG74" s="10"/>
    </row>
    <row r="75" spans="2:72" x14ac:dyDescent="0.3">
      <c r="X75" s="1"/>
      <c r="Y75" s="1"/>
      <c r="Z75" s="1"/>
      <c r="AA75" s="1"/>
      <c r="AB75" s="1"/>
      <c r="AC75" s="1"/>
      <c r="AD75" s="1"/>
      <c r="AE75" s="1"/>
      <c r="AX75" s="114"/>
      <c r="AY75" s="114"/>
      <c r="AZ75" s="114"/>
      <c r="BA75" s="114"/>
      <c r="BB75" s="114"/>
      <c r="BC75" s="114"/>
      <c r="BD75" s="114"/>
      <c r="BE75" s="96"/>
      <c r="BF75" s="1"/>
      <c r="BG75" s="1"/>
    </row>
    <row r="76" spans="2:72" x14ac:dyDescent="0.3">
      <c r="D76" s="1"/>
      <c r="E76" s="129" t="s">
        <v>28</v>
      </c>
      <c r="F76" s="130"/>
      <c r="G76" s="130" t="s">
        <v>68</v>
      </c>
      <c r="H76" s="122"/>
      <c r="I76" s="122"/>
      <c r="J76" s="122"/>
      <c r="K76" s="65"/>
      <c r="L76" s="10"/>
      <c r="X76" s="1"/>
      <c r="Y76" s="1"/>
      <c r="Z76" s="1"/>
      <c r="AA76" s="1"/>
      <c r="AB76" s="1"/>
      <c r="AC76" s="1"/>
      <c r="AD76" s="1"/>
      <c r="AE76" s="1"/>
      <c r="AX76" s="114"/>
      <c r="AY76" s="114"/>
      <c r="AZ76" s="114"/>
      <c r="BA76" s="114"/>
      <c r="BB76" s="114"/>
      <c r="BC76" s="114"/>
      <c r="BD76" s="114"/>
      <c r="BE76" s="96"/>
      <c r="BF76" s="1"/>
      <c r="BG76" s="1"/>
    </row>
    <row r="77" spans="2:72" x14ac:dyDescent="0.3">
      <c r="D77" s="1"/>
      <c r="E77" s="129" t="s">
        <v>40</v>
      </c>
      <c r="F77" s="130"/>
      <c r="G77" s="130" t="s">
        <v>42</v>
      </c>
      <c r="H77" s="10"/>
      <c r="I77" s="10"/>
      <c r="J77" s="10"/>
      <c r="K77" s="65"/>
      <c r="L77" s="10"/>
      <c r="X77" s="1"/>
      <c r="Y77" s="1"/>
      <c r="Z77" s="1"/>
      <c r="AA77" s="1"/>
      <c r="AB77" s="1" t="s">
        <v>17</v>
      </c>
      <c r="AC77" s="1"/>
      <c r="AD77" s="1"/>
      <c r="AE77" s="1"/>
      <c r="AX77" s="115"/>
      <c r="AY77" s="115"/>
      <c r="AZ77" s="115"/>
      <c r="BA77" s="115"/>
      <c r="BB77" s="115"/>
      <c r="BC77" s="115"/>
      <c r="BD77" s="115"/>
      <c r="BE77" s="96"/>
      <c r="BF77" s="1"/>
      <c r="BG77" s="1"/>
    </row>
    <row r="78" spans="2:72" x14ac:dyDescent="0.3">
      <c r="D78" s="1"/>
      <c r="E78" s="129" t="s">
        <v>47</v>
      </c>
      <c r="F78" s="130"/>
      <c r="G78" s="130" t="s">
        <v>58</v>
      </c>
      <c r="H78" s="10"/>
      <c r="I78" s="10"/>
      <c r="J78" s="10"/>
      <c r="K78" s="65"/>
      <c r="L78" s="10"/>
      <c r="X78" s="1"/>
      <c r="Y78" s="1"/>
      <c r="Z78" s="1"/>
      <c r="AA78" s="1"/>
      <c r="AB78" s="1"/>
      <c r="AC78" s="1"/>
      <c r="AD78" s="1"/>
      <c r="AE78" s="1"/>
      <c r="AX78" s="115"/>
      <c r="AY78" s="115"/>
      <c r="AZ78" s="115"/>
      <c r="BA78" s="115"/>
      <c r="BB78" s="115"/>
      <c r="BC78" s="115"/>
      <c r="BD78" s="115"/>
      <c r="BE78" s="96"/>
      <c r="BF78" s="1"/>
      <c r="BG78" s="1"/>
    </row>
    <row r="79" spans="2:72" x14ac:dyDescent="0.3">
      <c r="D79" s="1"/>
      <c r="E79" s="129" t="s">
        <v>69</v>
      </c>
      <c r="F79" s="65"/>
      <c r="G79" s="99" t="s">
        <v>70</v>
      </c>
      <c r="H79" s="65"/>
      <c r="I79" s="65"/>
      <c r="J79" s="65"/>
      <c r="K79" s="65"/>
      <c r="L79" s="65"/>
      <c r="X79" s="1"/>
      <c r="Y79" s="1"/>
      <c r="Z79" s="1"/>
      <c r="AA79" s="1"/>
      <c r="AB79" s="1"/>
      <c r="AC79" s="1"/>
      <c r="AD79" s="1"/>
      <c r="AE79" s="1"/>
      <c r="AX79" s="115"/>
      <c r="AY79" s="115"/>
      <c r="AZ79" s="115"/>
      <c r="BA79" s="115"/>
      <c r="BB79" s="115"/>
      <c r="BC79" s="115"/>
      <c r="BD79" s="115"/>
      <c r="BE79" s="96"/>
      <c r="BF79" s="1"/>
      <c r="BG79" s="1"/>
    </row>
    <row r="80" spans="2:72" x14ac:dyDescent="0.3">
      <c r="X80" s="1"/>
      <c r="Y80" s="1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1"/>
      <c r="BG80" s="1"/>
    </row>
    <row r="81" spans="4:74" x14ac:dyDescent="0.3">
      <c r="X81" s="1"/>
      <c r="Y81" s="1"/>
    </row>
    <row r="82" spans="4:74" x14ac:dyDescent="0.3">
      <c r="D82" s="60"/>
      <c r="X82" s="1"/>
      <c r="Y82" s="1"/>
    </row>
    <row r="83" spans="4:74" x14ac:dyDescent="0.3">
      <c r="X83" s="1"/>
      <c r="Y83" s="1"/>
    </row>
    <row r="84" spans="4:74" x14ac:dyDescent="0.3"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</row>
    <row r="90" spans="4:74" x14ac:dyDescent="0.3">
      <c r="X90" s="1"/>
      <c r="Y90" s="1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1"/>
      <c r="BG90" s="1"/>
      <c r="BH90" s="1"/>
      <c r="BI90" s="1"/>
      <c r="BJ90" s="96"/>
      <c r="BK90" s="96"/>
      <c r="BL90" s="96"/>
      <c r="BM90" s="96"/>
      <c r="BN90" s="96"/>
      <c r="BO90" s="96"/>
      <c r="BP90" s="96"/>
      <c r="BQ90" s="96"/>
      <c r="BR90" s="96"/>
      <c r="BS90" s="96"/>
      <c r="BT90" s="96"/>
      <c r="BU90" s="96"/>
      <c r="BV90" s="96"/>
    </row>
    <row r="91" spans="4:74" x14ac:dyDescent="0.3">
      <c r="X91" s="10"/>
      <c r="Y91" s="10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95"/>
      <c r="BK91" s="95"/>
      <c r="BL91" s="95"/>
      <c r="BM91" s="95"/>
      <c r="BN91" s="127"/>
      <c r="BO91" s="1"/>
      <c r="BP91" s="1"/>
      <c r="BQ91" s="1"/>
      <c r="BR91" s="1"/>
      <c r="BS91" s="1"/>
      <c r="BT91" s="1"/>
      <c r="BU91" s="1"/>
      <c r="BV91" s="1"/>
    </row>
    <row r="92" spans="4:74" x14ac:dyDescent="0.3">
      <c r="D92">
        <v>10</v>
      </c>
      <c r="X92" s="10"/>
      <c r="Y92" s="10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95"/>
      <c r="BK92" s="95"/>
      <c r="BL92" s="95"/>
      <c r="BM92" s="95"/>
      <c r="BN92" s="95"/>
      <c r="BO92" s="1"/>
      <c r="BP92" s="1"/>
      <c r="BQ92" s="1"/>
      <c r="BR92" s="1"/>
      <c r="BS92" s="1"/>
      <c r="BT92" s="1"/>
      <c r="BU92" s="1"/>
      <c r="BV92" s="1"/>
    </row>
    <row r="93" spans="4:74" x14ac:dyDescent="0.3">
      <c r="D93" s="1">
        <v>1000000</v>
      </c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95"/>
      <c r="BO93" s="1"/>
      <c r="BP93" s="1"/>
      <c r="BQ93" s="1"/>
      <c r="BR93" s="1"/>
      <c r="BS93" s="1"/>
      <c r="BT93" s="1"/>
    </row>
    <row r="94" spans="4:74" x14ac:dyDescent="0.3">
      <c r="D94" s="61">
        <f>+D92/D93</f>
        <v>1.0000000000000001E-5</v>
      </c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95"/>
      <c r="BM94" s="95"/>
      <c r="BN94" s="95"/>
      <c r="BO94" s="1"/>
      <c r="BP94" s="1"/>
      <c r="BQ94" s="1"/>
      <c r="BR94" s="1"/>
      <c r="BS94" s="1"/>
      <c r="BT94" s="1"/>
    </row>
    <row r="95" spans="4:74" x14ac:dyDescent="0.3">
      <c r="X95" s="10"/>
      <c r="Y95" s="10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128"/>
      <c r="BM95" s="95"/>
      <c r="BN95" s="95"/>
    </row>
    <row r="96" spans="4:74" x14ac:dyDescent="0.3">
      <c r="X96" s="10"/>
      <c r="Y96" s="10"/>
      <c r="Z96" s="96"/>
      <c r="AA96" s="96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96"/>
      <c r="AS96" s="96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</row>
    <row r="97" spans="2:66" x14ac:dyDescent="0.3">
      <c r="X97" s="10"/>
      <c r="Y97" s="10"/>
      <c r="Z97" s="96"/>
      <c r="AA97" s="96"/>
      <c r="AB97" s="157"/>
      <c r="AC97" s="157"/>
      <c r="AD97" s="157"/>
      <c r="AE97" s="157"/>
      <c r="AF97" s="157"/>
      <c r="AG97" s="157"/>
      <c r="AH97" s="157"/>
      <c r="AI97" s="96"/>
      <c r="AJ97" s="96"/>
      <c r="AK97" s="96"/>
      <c r="AL97" s="116"/>
      <c r="AM97" s="116"/>
      <c r="AN97" s="116"/>
      <c r="AO97" s="116"/>
      <c r="AP97" s="96"/>
      <c r="AQ97" s="96"/>
      <c r="AR97" s="116"/>
      <c r="AS97" s="96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</row>
    <row r="98" spans="2:66" x14ac:dyDescent="0.3">
      <c r="X98" s="10"/>
      <c r="Y98" s="10"/>
      <c r="Z98" s="96"/>
      <c r="AA98" s="96"/>
      <c r="AB98" s="157"/>
      <c r="AC98" s="157"/>
      <c r="AD98" s="157"/>
      <c r="AE98" s="157"/>
      <c r="AF98" s="157"/>
      <c r="AG98" s="157"/>
      <c r="AH98" s="157"/>
      <c r="AI98" s="157"/>
      <c r="AJ98" s="116"/>
      <c r="AK98" s="96"/>
      <c r="AL98" s="116"/>
      <c r="AM98" s="116"/>
      <c r="AN98" s="116"/>
      <c r="AO98" s="116"/>
      <c r="AP98" s="96"/>
      <c r="AQ98" s="96"/>
      <c r="AR98" s="11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96"/>
      <c r="AC99" s="96"/>
      <c r="AD99" s="158"/>
      <c r="AE99" s="158"/>
      <c r="AF99" s="158"/>
      <c r="AG99" s="158"/>
      <c r="AH99" s="158"/>
      <c r="AI99" s="96"/>
      <c r="AJ99" s="96"/>
      <c r="AK99" s="96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95"/>
      <c r="BK99" s="95"/>
      <c r="BL99" s="95"/>
      <c r="BM99" s="95"/>
      <c r="BN99" s="95"/>
    </row>
    <row r="100" spans="2:66" x14ac:dyDescent="0.3">
      <c r="X100" s="10"/>
      <c r="Y100" s="10"/>
      <c r="Z100" s="96"/>
      <c r="AA100" s="96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2:66" x14ac:dyDescent="0.3">
      <c r="X101" s="10"/>
      <c r="Y101" s="10"/>
      <c r="Z101" s="96"/>
      <c r="AA101" s="96"/>
      <c r="AB101" s="96"/>
      <c r="AC101" s="96"/>
      <c r="AD101" s="158"/>
      <c r="AE101" s="158"/>
      <c r="AF101" s="158"/>
      <c r="AG101" s="158"/>
      <c r="AH101" s="158"/>
      <c r="AI101" s="158"/>
      <c r="AJ101" s="158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2:66" x14ac:dyDescent="0.3">
      <c r="X102" s="10"/>
      <c r="Y102" s="10"/>
      <c r="Z102" s="96"/>
      <c r="AA102" s="96"/>
      <c r="AB102" s="96"/>
      <c r="AC102" s="96"/>
      <c r="AD102" s="158"/>
      <c r="AE102" s="158"/>
      <c r="AF102" s="158"/>
      <c r="AG102" s="158"/>
      <c r="AH102" s="158"/>
      <c r="AI102" s="158"/>
      <c r="AJ102" s="158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58"/>
      <c r="AE103" s="158"/>
      <c r="AF103" s="158"/>
      <c r="AG103" s="158"/>
      <c r="AH103" s="158"/>
      <c r="AI103" s="158"/>
      <c r="AJ103" s="158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58"/>
      <c r="AE104" s="158"/>
      <c r="AF104" s="158"/>
      <c r="AG104" s="158"/>
      <c r="AH104" s="158"/>
      <c r="AI104" s="158"/>
      <c r="AJ104" s="158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96"/>
      <c r="AC105" s="96"/>
      <c r="AD105" s="158"/>
      <c r="AE105" s="158"/>
      <c r="AF105" s="158"/>
      <c r="AG105" s="158"/>
      <c r="AH105" s="158"/>
      <c r="AI105" s="158"/>
      <c r="AJ105" s="158"/>
      <c r="AK105" s="96"/>
      <c r="AL105" s="116"/>
      <c r="AM105" s="116"/>
      <c r="AN105" s="116"/>
      <c r="AO105" s="116"/>
      <c r="AP105" s="96"/>
      <c r="AQ105" s="9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96"/>
      <c r="AM106" s="96"/>
      <c r="AN106" s="96"/>
      <c r="AO106" s="96"/>
      <c r="AP106" s="96"/>
      <c r="AQ106" s="11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X107" s="10"/>
      <c r="Y107" s="10"/>
      <c r="Z107" s="96"/>
      <c r="AA107" s="96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96"/>
      <c r="AQ107" s="96"/>
      <c r="AR107" s="116"/>
      <c r="AS107" s="96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2:66" x14ac:dyDescent="0.3"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96"/>
      <c r="AK108" s="116"/>
      <c r="AL108" s="159"/>
      <c r="AM108" s="159"/>
      <c r="AN108" s="159"/>
      <c r="AO108" s="159"/>
      <c r="AP108" s="116"/>
      <c r="AQ108" s="116"/>
      <c r="AR108" s="116"/>
      <c r="AS108" s="116"/>
    </row>
    <row r="109" spans="2:66" x14ac:dyDescent="0.3">
      <c r="B109" s="131"/>
      <c r="D109" s="59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96"/>
      <c r="AM109" s="96"/>
      <c r="AN109" s="96"/>
      <c r="AO109" s="96"/>
      <c r="AP109" s="116"/>
      <c r="AQ109" s="160"/>
      <c r="AR109" s="116"/>
      <c r="AS109" s="116"/>
    </row>
    <row r="110" spans="2:66" x14ac:dyDescent="0.3">
      <c r="B110" s="1"/>
      <c r="D110" s="59"/>
      <c r="R110" s="65"/>
      <c r="S110" s="65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</row>
    <row r="111" spans="2:66" x14ac:dyDescent="0.3">
      <c r="B111" s="1"/>
      <c r="D111" s="59"/>
      <c r="R111" s="65"/>
      <c r="S111" s="65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</row>
    <row r="113" spans="2:34" x14ac:dyDescent="0.3">
      <c r="B113" s="1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</row>
    <row r="114" spans="2:34" x14ac:dyDescent="0.3">
      <c r="B114" s="59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34" x14ac:dyDescent="0.3">
      <c r="B115" s="6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34" x14ac:dyDescent="0.3">
      <c r="B116" s="1"/>
      <c r="D116" s="59"/>
      <c r="R116" s="65"/>
      <c r="S116" s="65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</row>
    <row r="117" spans="2:34" x14ac:dyDescent="0.3">
      <c r="B117" s="1"/>
      <c r="D117" s="59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</row>
    <row r="118" spans="2:34" x14ac:dyDescent="0.3">
      <c r="B118" s="1"/>
      <c r="D118" s="59"/>
    </row>
    <row r="119" spans="2:34" x14ac:dyDescent="0.3">
      <c r="B119" s="1"/>
      <c r="D119" s="59"/>
    </row>
    <row r="120" spans="2:34" x14ac:dyDescent="0.3">
      <c r="B120" s="61" t="e">
        <f>+B119/B118</f>
        <v>#DIV/0!</v>
      </c>
      <c r="D120" s="59"/>
    </row>
    <row r="121" spans="2:34" x14ac:dyDescent="0.3">
      <c r="B121" s="1"/>
      <c r="D121" s="59"/>
    </row>
    <row r="122" spans="2:34" x14ac:dyDescent="0.3">
      <c r="B122" s="1"/>
      <c r="D122" s="59"/>
    </row>
    <row r="123" spans="2:34" x14ac:dyDescent="0.3">
      <c r="B123" s="1">
        <f>+B119*50</f>
        <v>0</v>
      </c>
      <c r="D123" s="59"/>
    </row>
    <row r="124" spans="2:34" x14ac:dyDescent="0.3">
      <c r="B124" s="1"/>
      <c r="D124" s="59"/>
    </row>
    <row r="125" spans="2:34" x14ac:dyDescent="0.3">
      <c r="B125" s="1"/>
      <c r="D125" s="59"/>
    </row>
    <row r="126" spans="2:34" x14ac:dyDescent="0.3">
      <c r="B126" s="1"/>
      <c r="D126" s="59"/>
    </row>
    <row r="127" spans="2:34" x14ac:dyDescent="0.3">
      <c r="B127" s="1"/>
      <c r="D127" s="59"/>
    </row>
    <row r="128" spans="2:34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  <c r="D132" s="59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</sheetData>
  <mergeCells count="16">
    <mergeCell ref="B1:D1"/>
    <mergeCell ref="B2:D2"/>
    <mergeCell ref="J4:W4"/>
    <mergeCell ref="D7:J7"/>
    <mergeCell ref="B3:C3"/>
    <mergeCell ref="F6:L6"/>
    <mergeCell ref="S6:Z6"/>
    <mergeCell ref="Q7:Z7"/>
    <mergeCell ref="AQ8:AS8"/>
    <mergeCell ref="AU8:BC8"/>
    <mergeCell ref="AB4:BH4"/>
    <mergeCell ref="AU6:BH6"/>
    <mergeCell ref="AQ7:BH7"/>
    <mergeCell ref="AB7:AO7"/>
    <mergeCell ref="AB6:AO6"/>
    <mergeCell ref="AQ6:AS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6"/>
  <sheetViews>
    <sheetView topLeftCell="A43" workbookViewId="0">
      <selection activeCell="AF19" sqref="AF1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74" t="s">
        <v>5</v>
      </c>
      <c r="D1" s="174"/>
      <c r="E1" s="174"/>
    </row>
    <row r="2" spans="3:40" ht="15.6" x14ac:dyDescent="0.3">
      <c r="C2" s="174" t="s">
        <v>6</v>
      </c>
      <c r="D2" s="174"/>
      <c r="E2" s="174"/>
    </row>
    <row r="3" spans="3:40" x14ac:dyDescent="0.3">
      <c r="C3" s="175" t="s">
        <v>13</v>
      </c>
      <c r="D3" s="175"/>
    </row>
    <row r="4" spans="3:40" x14ac:dyDescent="0.3">
      <c r="D4" s="175"/>
      <c r="E4" s="175"/>
    </row>
    <row r="5" spans="3:40" x14ac:dyDescent="0.3">
      <c r="C5" s="129" t="s">
        <v>40</v>
      </c>
      <c r="D5" s="130"/>
      <c r="E5" s="130" t="s">
        <v>42</v>
      </c>
    </row>
    <row r="6" spans="3:40" ht="15" thickBot="1" x14ac:dyDescent="0.35"/>
    <row r="7" spans="3:40" x14ac:dyDescent="0.3">
      <c r="C7" s="62" t="s">
        <v>80</v>
      </c>
      <c r="E7" s="490" t="s">
        <v>7</v>
      </c>
      <c r="F7" s="491"/>
      <c r="G7" s="495">
        <v>0.7</v>
      </c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6"/>
    </row>
    <row r="8" spans="3:40" x14ac:dyDescent="0.3">
      <c r="E8" s="492" t="s">
        <v>129</v>
      </c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3"/>
      <c r="U8" s="494"/>
    </row>
    <row r="9" spans="3:40" x14ac:dyDescent="0.3">
      <c r="E9" s="510" t="s">
        <v>37</v>
      </c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2"/>
      <c r="Q9" s="508" t="s">
        <v>118</v>
      </c>
      <c r="R9" s="5"/>
      <c r="S9" s="505" t="s">
        <v>4</v>
      </c>
      <c r="T9" s="506"/>
      <c r="U9" s="507"/>
      <c r="W9" s="62" t="s">
        <v>18</v>
      </c>
    </row>
    <row r="10" spans="3:40" x14ac:dyDescent="0.3">
      <c r="E10" s="290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80" t="s">
        <v>81</v>
      </c>
      <c r="N10" s="125"/>
      <c r="O10" s="126" t="s">
        <v>15</v>
      </c>
      <c r="P10" s="385"/>
      <c r="Q10" s="509"/>
      <c r="R10" s="6"/>
      <c r="S10" s="4" t="s">
        <v>4</v>
      </c>
      <c r="T10" s="6"/>
      <c r="U10" s="291" t="s">
        <v>82</v>
      </c>
    </row>
    <row r="11" spans="3:40" x14ac:dyDescent="0.3">
      <c r="C11" s="178">
        <v>43910</v>
      </c>
      <c r="E11" s="292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86"/>
      <c r="R11" s="6"/>
      <c r="S11" s="6"/>
      <c r="T11" s="6"/>
      <c r="U11" s="293"/>
      <c r="W11">
        <v>1</v>
      </c>
      <c r="AL11" s="116"/>
      <c r="AM11" s="116"/>
      <c r="AN11" s="116"/>
    </row>
    <row r="12" spans="3:40" ht="15" thickBot="1" x14ac:dyDescent="0.35">
      <c r="C12" s="178">
        <f>+C11+1</f>
        <v>43911</v>
      </c>
      <c r="E12" s="292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86"/>
      <c r="R12" s="6"/>
      <c r="S12" s="6"/>
      <c r="T12" s="6"/>
      <c r="U12" s="293"/>
      <c r="W12">
        <f t="shared" ref="W12:W72" si="0">+W11+1</f>
        <v>2</v>
      </c>
      <c r="Z12" s="10"/>
      <c r="AA12" s="10"/>
      <c r="AB12" s="10"/>
      <c r="AC12" s="10"/>
      <c r="AD12" s="10"/>
      <c r="AE12" s="10"/>
      <c r="AF12" s="10"/>
      <c r="AG12" s="65"/>
      <c r="AH12" s="65"/>
      <c r="AI12" s="65"/>
      <c r="AJ12" s="65"/>
      <c r="AK12" s="65"/>
      <c r="AL12" s="116"/>
      <c r="AM12" s="116"/>
      <c r="AN12" s="116"/>
    </row>
    <row r="13" spans="3:40" ht="15" thickBot="1" x14ac:dyDescent="0.35">
      <c r="C13" s="178">
        <f>+C12+1</f>
        <v>43912</v>
      </c>
      <c r="E13" s="292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86"/>
      <c r="R13" s="6"/>
      <c r="S13" s="6"/>
      <c r="T13" s="6"/>
      <c r="U13" s="293"/>
      <c r="W13">
        <f t="shared" si="0"/>
        <v>3</v>
      </c>
      <c r="Z13" s="1"/>
      <c r="AA13" s="1"/>
      <c r="AB13" s="1"/>
      <c r="AC13" s="210" t="s">
        <v>61</v>
      </c>
      <c r="AD13" s="211"/>
      <c r="AE13" s="211"/>
      <c r="AF13" s="211"/>
      <c r="AG13" s="211"/>
      <c r="AH13" s="211"/>
      <c r="AI13" s="211"/>
      <c r="AJ13" s="211"/>
      <c r="AK13" s="212"/>
      <c r="AL13" s="161"/>
      <c r="AM13" s="161"/>
      <c r="AN13" s="116"/>
    </row>
    <row r="14" spans="3:40" ht="15" thickBot="1" x14ac:dyDescent="0.35">
      <c r="C14" s="178">
        <f t="shared" ref="C14:C72" si="1">+C13+1</f>
        <v>43913</v>
      </c>
      <c r="E14" s="292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86"/>
      <c r="R14" s="6"/>
      <c r="S14" s="6"/>
      <c r="T14" s="6"/>
      <c r="U14" s="293"/>
      <c r="W14">
        <f t="shared" si="0"/>
        <v>4</v>
      </c>
      <c r="Z14" s="1"/>
      <c r="AA14" s="1"/>
      <c r="AB14" s="1"/>
      <c r="AC14" s="213"/>
      <c r="AD14" s="502" t="s">
        <v>48</v>
      </c>
      <c r="AE14" s="503"/>
      <c r="AF14" s="504"/>
      <c r="AG14" s="214"/>
      <c r="AH14" s="500" t="s">
        <v>32</v>
      </c>
      <c r="AI14" s="215"/>
      <c r="AJ14" s="215"/>
      <c r="AK14" s="216"/>
      <c r="AL14" s="116"/>
      <c r="AM14" s="116"/>
      <c r="AN14" s="116"/>
    </row>
    <row r="15" spans="3:40" ht="15" thickBot="1" x14ac:dyDescent="0.35">
      <c r="C15" s="178">
        <f t="shared" si="1"/>
        <v>43914</v>
      </c>
      <c r="E15" s="292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86"/>
      <c r="R15" s="6"/>
      <c r="S15" s="6"/>
      <c r="T15" s="6"/>
      <c r="U15" s="293"/>
      <c r="W15">
        <f t="shared" si="0"/>
        <v>5</v>
      </c>
      <c r="Z15" s="1"/>
      <c r="AA15" s="1"/>
      <c r="AB15" s="1"/>
      <c r="AC15" s="197"/>
      <c r="AD15" s="176"/>
      <c r="AE15" s="176"/>
      <c r="AF15" s="217" t="s">
        <v>20</v>
      </c>
      <c r="AG15" s="218"/>
      <c r="AH15" s="501"/>
      <c r="AI15" s="219"/>
      <c r="AJ15" s="220" t="s">
        <v>4</v>
      </c>
      <c r="AK15" s="221"/>
      <c r="AL15" s="116"/>
      <c r="AM15" s="116"/>
      <c r="AN15" s="116"/>
    </row>
    <row r="16" spans="3:40" x14ac:dyDescent="0.3">
      <c r="C16" s="178">
        <f t="shared" si="1"/>
        <v>43915</v>
      </c>
      <c r="E16" s="292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86"/>
      <c r="R16" s="6"/>
      <c r="S16" s="6"/>
      <c r="T16" s="6"/>
      <c r="U16" s="293"/>
      <c r="W16">
        <f t="shared" si="0"/>
        <v>6</v>
      </c>
      <c r="Z16" s="1"/>
      <c r="AA16" s="1"/>
      <c r="AB16" s="1"/>
      <c r="AC16" s="197"/>
      <c r="AD16" s="209" t="s">
        <v>39</v>
      </c>
      <c r="AE16" s="176"/>
      <c r="AF16" s="209">
        <f>+K74</f>
        <v>526602</v>
      </c>
      <c r="AG16" s="208"/>
      <c r="AH16" s="222">
        <f>+AJ31</f>
        <v>1617.0532061905863</v>
      </c>
      <c r="AI16" s="222"/>
      <c r="AJ16" s="223">
        <f>+S74</f>
        <v>40772</v>
      </c>
      <c r="AK16" s="224"/>
      <c r="AL16" s="116"/>
      <c r="AM16" s="116"/>
      <c r="AN16" s="116"/>
    </row>
    <row r="17" spans="3:41" x14ac:dyDescent="0.3">
      <c r="C17" s="178">
        <f t="shared" si="1"/>
        <v>43916</v>
      </c>
      <c r="E17" s="292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86"/>
      <c r="R17" s="6"/>
      <c r="S17" s="6"/>
      <c r="T17" s="6"/>
      <c r="U17" s="293"/>
      <c r="W17">
        <f t="shared" si="0"/>
        <v>7</v>
      </c>
      <c r="Z17" s="65"/>
      <c r="AA17" s="65"/>
      <c r="AB17" s="10"/>
      <c r="AC17" s="197"/>
      <c r="AD17" s="225" t="s">
        <v>59</v>
      </c>
      <c r="AE17" s="176"/>
      <c r="AF17" s="169">
        <v>83421</v>
      </c>
      <c r="AG17" s="209"/>
      <c r="AH17" s="170">
        <v>1210</v>
      </c>
      <c r="AI17" s="222"/>
      <c r="AJ17" s="169">
        <v>5592</v>
      </c>
      <c r="AK17" s="226"/>
      <c r="AL17" s="116"/>
      <c r="AM17" s="96"/>
      <c r="AN17" s="96"/>
    </row>
    <row r="18" spans="3:41" x14ac:dyDescent="0.3">
      <c r="C18" s="178">
        <f t="shared" si="1"/>
        <v>43917</v>
      </c>
      <c r="E18" s="292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87"/>
      <c r="R18" s="45"/>
      <c r="S18" s="6"/>
      <c r="T18" s="6"/>
      <c r="U18" s="294"/>
      <c r="W18">
        <f t="shared" si="0"/>
        <v>8</v>
      </c>
      <c r="Z18" s="1"/>
      <c r="AA18" s="1"/>
      <c r="AB18" s="1"/>
      <c r="AC18" s="197"/>
      <c r="AD18" s="209" t="s">
        <v>92</v>
      </c>
      <c r="AE18" s="176"/>
      <c r="AF18" s="169">
        <v>64136</v>
      </c>
      <c r="AG18" s="209"/>
      <c r="AH18" s="170">
        <v>501</v>
      </c>
      <c r="AI18" s="222"/>
      <c r="AJ18" s="169">
        <v>4422</v>
      </c>
      <c r="AK18" s="226"/>
      <c r="AL18" s="116"/>
      <c r="AM18" s="96"/>
      <c r="AN18" s="96"/>
    </row>
    <row r="19" spans="3:41" ht="15" thickBot="1" x14ac:dyDescent="0.35">
      <c r="C19" s="178">
        <f t="shared" si="1"/>
        <v>43918</v>
      </c>
      <c r="E19" s="292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89">
        <f>+K19-K18</f>
        <v>9747</v>
      </c>
      <c r="R19" s="45"/>
      <c r="S19" s="7">
        <f>728+140</f>
        <v>868</v>
      </c>
      <c r="T19" s="6"/>
      <c r="U19" s="294">
        <f>+S19/K19</f>
        <v>1.3681788089908893E-2</v>
      </c>
      <c r="W19">
        <f t="shared" si="0"/>
        <v>9</v>
      </c>
      <c r="Z19" s="1"/>
      <c r="AA19" s="1"/>
      <c r="AB19" s="10"/>
      <c r="AC19" s="197"/>
      <c r="AD19" s="176"/>
      <c r="AE19" s="176"/>
      <c r="AF19" s="227">
        <f>SUM(AF16:AF18)</f>
        <v>674159</v>
      </c>
      <c r="AG19" s="209"/>
      <c r="AH19" s="209"/>
      <c r="AI19" s="209"/>
      <c r="AJ19" s="227">
        <f>SUM(AJ16:AJ18)</f>
        <v>50786</v>
      </c>
      <c r="AK19" s="226"/>
      <c r="AL19" s="116"/>
      <c r="AM19" s="96"/>
      <c r="AN19" s="96"/>
    </row>
    <row r="20" spans="3:41" ht="15" thickTop="1" x14ac:dyDescent="0.3">
      <c r="C20" s="178">
        <f t="shared" si="1"/>
        <v>43919</v>
      </c>
      <c r="E20" s="292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89">
        <f t="shared" ref="Q20:Q61" si="4">+K20-K19</f>
        <v>9457</v>
      </c>
      <c r="R20" s="45"/>
      <c r="S20" s="7">
        <f>965+161</f>
        <v>1126</v>
      </c>
      <c r="T20" s="6"/>
      <c r="U20" s="294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7"/>
      <c r="AD20" s="176"/>
      <c r="AE20" s="176"/>
      <c r="AF20" s="209"/>
      <c r="AG20" s="209"/>
      <c r="AH20" s="209"/>
      <c r="AI20" s="209"/>
      <c r="AJ20" s="209"/>
      <c r="AK20" s="226"/>
      <c r="AL20" s="116"/>
      <c r="AM20" s="96"/>
      <c r="AN20" s="96"/>
    </row>
    <row r="21" spans="3:41" ht="15" thickBot="1" x14ac:dyDescent="0.35">
      <c r="C21" s="178">
        <f t="shared" si="1"/>
        <v>43920</v>
      </c>
      <c r="E21" s="292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89">
        <f t="shared" si="4"/>
        <v>10204</v>
      </c>
      <c r="R21" s="45"/>
      <c r="S21" s="7">
        <f>1218+198</f>
        <v>1416</v>
      </c>
      <c r="T21" s="6"/>
      <c r="U21" s="294">
        <f t="shared" si="5"/>
        <v>1.7039096061514023E-2</v>
      </c>
      <c r="W21">
        <f t="shared" si="0"/>
        <v>11</v>
      </c>
      <c r="Z21" s="1"/>
      <c r="AA21" s="1"/>
      <c r="AB21" s="1"/>
      <c r="AC21" s="197"/>
      <c r="AD21" s="228" t="s">
        <v>29</v>
      </c>
      <c r="AE21" s="176"/>
      <c r="AF21" s="229">
        <f>+AF19/'Main Table'!H71</f>
        <v>0.45422045787290349</v>
      </c>
      <c r="AG21" s="209"/>
      <c r="AH21" s="209"/>
      <c r="AI21" s="209"/>
      <c r="AJ21" s="229">
        <f>+AJ19/'Main Table'!U71</f>
        <v>0.57383365535631559</v>
      </c>
      <c r="AK21" s="226"/>
      <c r="AL21" s="116"/>
      <c r="AM21" s="96"/>
      <c r="AN21" s="96"/>
    </row>
    <row r="22" spans="3:41" ht="15.6" thickTop="1" thickBot="1" x14ac:dyDescent="0.35">
      <c r="C22" s="178">
        <f t="shared" si="1"/>
        <v>43921</v>
      </c>
      <c r="E22" s="292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89">
        <f t="shared" si="4"/>
        <v>11388</v>
      </c>
      <c r="R22" s="6"/>
      <c r="S22" s="7">
        <f>1550+267</f>
        <v>1817</v>
      </c>
      <c r="T22" s="6"/>
      <c r="U22" s="294">
        <f t="shared" si="5"/>
        <v>1.9229344593665005E-2</v>
      </c>
      <c r="W22">
        <f t="shared" si="0"/>
        <v>12</v>
      </c>
      <c r="Z22" s="1"/>
      <c r="AA22" s="1"/>
      <c r="AB22" s="1"/>
      <c r="AC22" s="202"/>
      <c r="AD22" s="230"/>
      <c r="AE22" s="203"/>
      <c r="AF22" s="231"/>
      <c r="AG22" s="232"/>
      <c r="AH22" s="232"/>
      <c r="AI22" s="232"/>
      <c r="AJ22" s="231"/>
      <c r="AK22" s="233"/>
      <c r="AL22" s="116"/>
      <c r="AM22" s="96"/>
      <c r="AN22" s="96"/>
    </row>
    <row r="23" spans="3:41" x14ac:dyDescent="0.3">
      <c r="C23" s="178">
        <f t="shared" si="1"/>
        <v>43922</v>
      </c>
      <c r="E23" s="292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89">
        <f t="shared" si="4"/>
        <v>11476</v>
      </c>
      <c r="R23" s="6"/>
      <c r="S23" s="7">
        <f>1941+355</f>
        <v>2296</v>
      </c>
      <c r="T23" s="6"/>
      <c r="U23" s="294">
        <f t="shared" si="5"/>
        <v>2.1667122783508075E-2</v>
      </c>
      <c r="W23">
        <f t="shared" si="0"/>
        <v>13</v>
      </c>
      <c r="Z23" s="1"/>
      <c r="AA23" s="1"/>
      <c r="AB23" s="96"/>
      <c r="AC23" s="96"/>
      <c r="AD23" s="101"/>
      <c r="AE23" s="96"/>
      <c r="AF23" s="102"/>
      <c r="AG23" s="96"/>
      <c r="AH23" s="96"/>
      <c r="AI23" s="96"/>
      <c r="AJ23" s="96"/>
      <c r="AK23" s="96"/>
      <c r="AL23" s="102"/>
      <c r="AM23" s="96"/>
      <c r="AN23" s="96"/>
    </row>
    <row r="24" spans="3:41" ht="15" thickBot="1" x14ac:dyDescent="0.35">
      <c r="C24" s="178">
        <f t="shared" si="1"/>
        <v>43923</v>
      </c>
      <c r="E24" s="292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89">
        <f t="shared" si="4"/>
        <v>12129</v>
      </c>
      <c r="R24" s="6"/>
      <c r="S24" s="7">
        <f>2373+537</f>
        <v>2910</v>
      </c>
      <c r="T24" s="6"/>
      <c r="U24" s="294">
        <f t="shared" si="5"/>
        <v>2.4640970058257688E-2</v>
      </c>
      <c r="W24">
        <f t="shared" si="0"/>
        <v>14</v>
      </c>
      <c r="Z24" s="1"/>
      <c r="AA24" s="1"/>
      <c r="AB24" s="96"/>
      <c r="AC24" s="96"/>
      <c r="AD24" s="101"/>
      <c r="AE24" s="96"/>
      <c r="AF24" s="96"/>
      <c r="AG24" s="96"/>
      <c r="AH24" s="96"/>
      <c r="AI24" s="96"/>
      <c r="AJ24" s="96"/>
      <c r="AK24" s="96"/>
      <c r="AL24" s="121"/>
      <c r="AM24" s="96"/>
      <c r="AN24" s="96"/>
      <c r="AO24" s="124"/>
    </row>
    <row r="25" spans="3:41" ht="15" thickBot="1" x14ac:dyDescent="0.35">
      <c r="C25" s="178">
        <f t="shared" si="1"/>
        <v>43924</v>
      </c>
      <c r="E25" s="292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89">
        <f t="shared" si="4"/>
        <v>14859</v>
      </c>
      <c r="R25" s="6"/>
      <c r="S25" s="7">
        <f>2935+646</f>
        <v>3581</v>
      </c>
      <c r="T25" s="6"/>
      <c r="U25" s="294">
        <f t="shared" si="5"/>
        <v>2.6933925012222179E-2</v>
      </c>
      <c r="W25">
        <f t="shared" si="0"/>
        <v>15</v>
      </c>
      <c r="Z25" s="1"/>
      <c r="AA25" s="502" t="s">
        <v>57</v>
      </c>
      <c r="AB25" s="503"/>
      <c r="AC25" s="503"/>
      <c r="AD25" s="503"/>
      <c r="AE25" s="503"/>
      <c r="AF25" s="503"/>
      <c r="AG25" s="503"/>
      <c r="AH25" s="503"/>
      <c r="AI25" s="503"/>
      <c r="AJ25" s="503"/>
      <c r="AK25" s="504"/>
      <c r="AL25" s="161"/>
      <c r="AM25" s="161"/>
      <c r="AN25" s="96"/>
      <c r="AO25" s="124"/>
    </row>
    <row r="26" spans="3:41" x14ac:dyDescent="0.3">
      <c r="C26" s="178">
        <f t="shared" si="1"/>
        <v>43925</v>
      </c>
      <c r="E26" s="292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89">
        <f t="shared" si="4"/>
        <v>15002</v>
      </c>
      <c r="R26" s="6"/>
      <c r="S26" s="7">
        <f>3565+846</f>
        <v>4411</v>
      </c>
      <c r="T26" s="6"/>
      <c r="U26" s="294">
        <f t="shared" si="5"/>
        <v>2.9812715856634021E-2</v>
      </c>
      <c r="W26">
        <f t="shared" si="0"/>
        <v>16</v>
      </c>
      <c r="Z26" s="1"/>
      <c r="AA26" s="193"/>
      <c r="AB26" s="194" t="s">
        <v>53</v>
      </c>
      <c r="AC26" s="195"/>
      <c r="AD26" s="194" t="s">
        <v>20</v>
      </c>
      <c r="AE26" s="195"/>
      <c r="AF26" s="194" t="s">
        <v>54</v>
      </c>
      <c r="AG26" s="195"/>
      <c r="AH26" s="194" t="s">
        <v>56</v>
      </c>
      <c r="AI26" s="195"/>
      <c r="AJ26" s="194" t="s">
        <v>55</v>
      </c>
      <c r="AK26" s="196"/>
      <c r="AL26" s="124"/>
      <c r="AM26" s="124"/>
      <c r="AN26" s="96"/>
      <c r="AO26" s="124"/>
    </row>
    <row r="27" spans="3:41" x14ac:dyDescent="0.3">
      <c r="C27" s="178">
        <f t="shared" si="1"/>
        <v>43926</v>
      </c>
      <c r="E27" s="292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89">
        <f t="shared" si="4"/>
        <v>12708</v>
      </c>
      <c r="R27" s="6"/>
      <c r="S27" s="7">
        <f>4150+914</f>
        <v>5064</v>
      </c>
      <c r="T27" s="6"/>
      <c r="U27" s="294">
        <f t="shared" si="5"/>
        <v>3.1518999159742322E-2</v>
      </c>
      <c r="W27">
        <f t="shared" si="0"/>
        <v>17</v>
      </c>
      <c r="Z27" s="1"/>
      <c r="AA27" s="197"/>
      <c r="AB27" s="176" t="s">
        <v>50</v>
      </c>
      <c r="AC27" s="176"/>
      <c r="AD27" s="176">
        <f>+E74</f>
        <v>345813</v>
      </c>
      <c r="AE27" s="176"/>
      <c r="AF27" s="207">
        <v>1778</v>
      </c>
      <c r="AG27" s="176"/>
      <c r="AH27" s="198">
        <f>+AD27/AD$31</f>
        <v>0.56688518301768953</v>
      </c>
      <c r="AI27" s="198"/>
      <c r="AJ27" s="176">
        <f>+AF27*AH27</f>
        <v>1007.921855405452</v>
      </c>
      <c r="AK27" s="199"/>
      <c r="AL27" s="124"/>
      <c r="AM27" s="96"/>
      <c r="AN27" s="96"/>
      <c r="AO27" s="124"/>
    </row>
    <row r="28" spans="3:41" x14ac:dyDescent="0.3">
      <c r="C28" s="178">
        <f t="shared" si="1"/>
        <v>43927</v>
      </c>
      <c r="E28" s="292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89">
        <f t="shared" si="4"/>
        <v>11985</v>
      </c>
      <c r="R28" s="6"/>
      <c r="S28" s="7">
        <f>4758+1003</f>
        <v>5761</v>
      </c>
      <c r="T28" s="6"/>
      <c r="U28" s="294">
        <f t="shared" si="5"/>
        <v>3.3368085722560094E-2</v>
      </c>
      <c r="W28">
        <f t="shared" si="0"/>
        <v>18</v>
      </c>
      <c r="Z28" s="1"/>
      <c r="AA28" s="197"/>
      <c r="AB28" s="176" t="s">
        <v>51</v>
      </c>
      <c r="AC28" s="176"/>
      <c r="AD28" s="176">
        <f>+G74</f>
        <v>143984</v>
      </c>
      <c r="AE28" s="176"/>
      <c r="AF28" s="207">
        <v>1621</v>
      </c>
      <c r="AG28" s="176"/>
      <c r="AH28" s="198">
        <f>+AD28/AD$31</f>
        <v>0.2360304447537224</v>
      </c>
      <c r="AI28" s="198"/>
      <c r="AJ28" s="176">
        <f>+AF28*AH28</f>
        <v>382.60535094578398</v>
      </c>
      <c r="AK28" s="199"/>
      <c r="AL28" s="124"/>
      <c r="AM28" s="96"/>
      <c r="AN28" s="96"/>
      <c r="AO28" s="124"/>
    </row>
    <row r="29" spans="3:41" x14ac:dyDescent="0.3">
      <c r="C29" s="178">
        <f t="shared" si="1"/>
        <v>43928</v>
      </c>
      <c r="E29" s="292">
        <v>139876</v>
      </c>
      <c r="F29" s="7"/>
      <c r="G29" s="7">
        <f>44416</f>
        <v>44416</v>
      </c>
      <c r="H29" s="7"/>
      <c r="I29" s="7"/>
      <c r="J29" s="295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89">
        <f t="shared" si="4"/>
        <v>11642</v>
      </c>
      <c r="R29" s="6"/>
      <c r="S29" s="7">
        <f>5489+1232+277</f>
        <v>6998</v>
      </c>
      <c r="T29" s="6"/>
      <c r="U29" s="294">
        <f t="shared" si="5"/>
        <v>3.7972348229982855E-2</v>
      </c>
      <c r="W29">
        <f t="shared" si="0"/>
        <v>19</v>
      </c>
      <c r="Z29" s="1"/>
      <c r="AA29" s="197"/>
      <c r="AB29" s="176" t="s">
        <v>52</v>
      </c>
      <c r="AC29" s="176"/>
      <c r="AD29" s="176">
        <f>+I74</f>
        <v>36805</v>
      </c>
      <c r="AE29" s="176"/>
      <c r="AF29" s="207">
        <v>1012</v>
      </c>
      <c r="AG29" s="176"/>
      <c r="AH29" s="198">
        <f>+AD29/AD$31</f>
        <v>6.0333790693137802E-2</v>
      </c>
      <c r="AI29" s="198"/>
      <c r="AJ29" s="176">
        <f>+AF29*AH29</f>
        <v>61.057796181455458</v>
      </c>
      <c r="AK29" s="199"/>
      <c r="AL29" s="124"/>
      <c r="AM29" s="96"/>
      <c r="AN29" s="96"/>
      <c r="AO29" s="124"/>
    </row>
    <row r="30" spans="3:41" x14ac:dyDescent="0.3">
      <c r="C30" s="178">
        <f t="shared" si="1"/>
        <v>43929</v>
      </c>
      <c r="E30" s="292">
        <v>151069</v>
      </c>
      <c r="F30" s="7"/>
      <c r="G30" s="7">
        <f>47437</f>
        <v>47437</v>
      </c>
      <c r="H30" s="7"/>
      <c r="I30" s="7">
        <v>8781</v>
      </c>
      <c r="J30" s="295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89">
        <f t="shared" si="4"/>
        <v>22995</v>
      </c>
      <c r="R30" s="6"/>
      <c r="S30" s="7">
        <f>6268+1504+335</f>
        <v>8107</v>
      </c>
      <c r="T30" s="6"/>
      <c r="U30" s="294">
        <f t="shared" si="5"/>
        <v>3.9110026195564605E-2</v>
      </c>
      <c r="W30">
        <f t="shared" si="0"/>
        <v>20</v>
      </c>
      <c r="Z30" s="1"/>
      <c r="AA30" s="193"/>
      <c r="AB30" s="176" t="s">
        <v>107</v>
      </c>
      <c r="AC30" s="288"/>
      <c r="AD30" s="176">
        <f>+AF17</f>
        <v>83421</v>
      </c>
      <c r="AE30" s="288"/>
      <c r="AF30" s="176">
        <f>+AH17</f>
        <v>1210</v>
      </c>
      <c r="AG30" s="288"/>
      <c r="AH30" s="198">
        <f>+AD30/AD$31</f>
        <v>0.13675058153545031</v>
      </c>
      <c r="AI30" s="288"/>
      <c r="AJ30" s="176">
        <f>+AF30*AH30</f>
        <v>165.46820365789486</v>
      </c>
      <c r="AK30" s="199"/>
      <c r="AL30" s="124"/>
      <c r="AM30" s="96"/>
      <c r="AN30" s="96"/>
      <c r="AO30" s="124"/>
    </row>
    <row r="31" spans="3:41" ht="15" thickBot="1" x14ac:dyDescent="0.35">
      <c r="C31" s="178">
        <f t="shared" si="1"/>
        <v>43930</v>
      </c>
      <c r="E31" s="292">
        <v>161790</v>
      </c>
      <c r="F31" s="7"/>
      <c r="G31" s="7">
        <f>51027</f>
        <v>51027</v>
      </c>
      <c r="H31" s="7"/>
      <c r="I31" s="7">
        <v>9784</v>
      </c>
      <c r="J31" s="295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89">
        <f t="shared" si="4"/>
        <v>15314</v>
      </c>
      <c r="R31" s="6"/>
      <c r="S31" s="7">
        <f>7067+1209+380</f>
        <v>8656</v>
      </c>
      <c r="T31" s="6"/>
      <c r="U31" s="294">
        <f t="shared" si="5"/>
        <v>3.8885719291467696E-2</v>
      </c>
      <c r="W31">
        <f t="shared" si="0"/>
        <v>21</v>
      </c>
      <c r="Z31" s="1"/>
      <c r="AA31" s="197"/>
      <c r="AB31" s="176"/>
      <c r="AC31" s="176"/>
      <c r="AD31" s="200">
        <f>SUM(AD27:AD30)</f>
        <v>610023</v>
      </c>
      <c r="AE31" s="176"/>
      <c r="AF31" s="176"/>
      <c r="AG31" s="176"/>
      <c r="AH31" s="201">
        <f>SUM(AH27:AH30)</f>
        <v>1</v>
      </c>
      <c r="AI31" s="198"/>
      <c r="AJ31" s="200">
        <f>SUM(AJ27:AJ30)</f>
        <v>1617.0532061905863</v>
      </c>
      <c r="AK31" s="199"/>
      <c r="AL31" s="124"/>
      <c r="AM31" s="96"/>
      <c r="AN31" s="96"/>
      <c r="AO31" s="124"/>
    </row>
    <row r="32" spans="3:41" ht="15.6" thickTop="1" thickBot="1" x14ac:dyDescent="0.35">
      <c r="C32" s="178">
        <f t="shared" si="1"/>
        <v>43931</v>
      </c>
      <c r="E32" s="292">
        <v>174481</v>
      </c>
      <c r="F32" s="7"/>
      <c r="G32" s="7">
        <f>54588</f>
        <v>54588</v>
      </c>
      <c r="H32" s="7"/>
      <c r="I32" s="7">
        <v>10538</v>
      </c>
      <c r="J32" s="295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89">
        <f t="shared" si="4"/>
        <v>17006</v>
      </c>
      <c r="R32" s="6"/>
      <c r="S32" s="7">
        <f>7884+1932+448</f>
        <v>10264</v>
      </c>
      <c r="T32" s="6"/>
      <c r="U32" s="294">
        <f t="shared" si="5"/>
        <v>4.2836811946228619E-2</v>
      </c>
      <c r="W32">
        <f t="shared" si="0"/>
        <v>22</v>
      </c>
      <c r="Z32" s="1"/>
      <c r="AA32" s="202"/>
      <c r="AB32" s="203"/>
      <c r="AC32" s="203"/>
      <c r="AD32" s="203"/>
      <c r="AE32" s="203"/>
      <c r="AF32" s="203"/>
      <c r="AG32" s="203"/>
      <c r="AH32" s="204"/>
      <c r="AI32" s="204"/>
      <c r="AJ32" s="205"/>
      <c r="AK32" s="206"/>
      <c r="AL32" s="124"/>
      <c r="AM32" s="96"/>
      <c r="AN32" s="96"/>
      <c r="AO32" s="124"/>
    </row>
    <row r="33" spans="3:40" x14ac:dyDescent="0.3">
      <c r="C33" s="178">
        <f t="shared" si="1"/>
        <v>43932</v>
      </c>
      <c r="E33" s="292">
        <v>181825</v>
      </c>
      <c r="F33" s="7"/>
      <c r="G33" s="7">
        <f>58151</f>
        <v>58151</v>
      </c>
      <c r="H33" s="7"/>
      <c r="I33" s="7">
        <v>11510</v>
      </c>
      <c r="J33" s="295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89">
        <f t="shared" si="4"/>
        <v>11879</v>
      </c>
      <c r="R33" s="6"/>
      <c r="S33" s="7">
        <f>8650+2183+494</f>
        <v>11327</v>
      </c>
      <c r="T33" s="6"/>
      <c r="U33" s="294">
        <f t="shared" si="5"/>
        <v>4.5040280572278379E-2</v>
      </c>
      <c r="W33">
        <f t="shared" si="0"/>
        <v>23</v>
      </c>
    </row>
    <row r="34" spans="3:40" x14ac:dyDescent="0.3">
      <c r="C34" s="178">
        <f t="shared" si="1"/>
        <v>43933</v>
      </c>
      <c r="E34" s="292">
        <v>189033</v>
      </c>
      <c r="F34" s="7"/>
      <c r="G34" s="7">
        <f>61850</f>
        <v>61850</v>
      </c>
      <c r="H34" s="7"/>
      <c r="I34" s="7">
        <v>12035</v>
      </c>
      <c r="J34" s="295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89">
        <f t="shared" si="4"/>
        <v>11432</v>
      </c>
      <c r="R34" s="6"/>
      <c r="S34" s="7">
        <f>9385+2350+554</f>
        <v>12289</v>
      </c>
      <c r="T34" s="6"/>
      <c r="U34" s="294">
        <f t="shared" si="5"/>
        <v>4.674080892141276E-2</v>
      </c>
      <c r="W34">
        <f t="shared" si="0"/>
        <v>24</v>
      </c>
    </row>
    <row r="35" spans="3:40" ht="15" thickBot="1" x14ac:dyDescent="0.35">
      <c r="C35" s="178">
        <f t="shared" si="1"/>
        <v>43934</v>
      </c>
      <c r="E35" s="292">
        <v>195749</v>
      </c>
      <c r="F35" s="7"/>
      <c r="G35" s="7">
        <f>64584</f>
        <v>64584</v>
      </c>
      <c r="H35" s="7"/>
      <c r="I35" s="7">
        <v>13381</v>
      </c>
      <c r="J35" s="295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89">
        <f t="shared" si="4"/>
        <v>10796</v>
      </c>
      <c r="R35" s="6"/>
      <c r="S35" s="7">
        <f>10058+2443+602</f>
        <v>13103</v>
      </c>
      <c r="T35" s="6"/>
      <c r="U35" s="294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6"/>
      <c r="AK35" s="96"/>
      <c r="AL35" s="96"/>
      <c r="AM35" s="96"/>
      <c r="AN35" s="96"/>
    </row>
    <row r="36" spans="3:40" ht="15" thickBot="1" x14ac:dyDescent="0.35">
      <c r="C36" s="178">
        <f t="shared" si="1"/>
        <v>43935</v>
      </c>
      <c r="E36" s="292">
        <v>203020</v>
      </c>
      <c r="F36" s="7"/>
      <c r="G36" s="7">
        <f>68824</f>
        <v>68824</v>
      </c>
      <c r="H36" s="7"/>
      <c r="I36" s="7">
        <v>13989</v>
      </c>
      <c r="J36" s="295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89">
        <f t="shared" si="4"/>
        <v>12119</v>
      </c>
      <c r="R36" s="6"/>
      <c r="S36" s="7">
        <f>10842+2805+671+3778</f>
        <v>18096</v>
      </c>
      <c r="T36" s="6"/>
      <c r="U36" s="294">
        <f t="shared" si="5"/>
        <v>6.3309694821801543E-2</v>
      </c>
      <c r="W36">
        <f t="shared" si="0"/>
        <v>26</v>
      </c>
      <c r="Z36" s="1"/>
      <c r="AA36" s="497" t="s">
        <v>31</v>
      </c>
      <c r="AB36" s="498"/>
      <c r="AC36" s="498"/>
      <c r="AD36" s="498"/>
      <c r="AE36" s="498"/>
      <c r="AF36" s="498"/>
      <c r="AG36" s="498"/>
      <c r="AH36" s="498"/>
      <c r="AI36" s="499"/>
      <c r="AJ36" s="161"/>
      <c r="AK36" s="161"/>
      <c r="AL36" s="161"/>
      <c r="AM36" s="101"/>
      <c r="AN36" s="101"/>
    </row>
    <row r="37" spans="3:40" x14ac:dyDescent="0.3">
      <c r="C37" s="178">
        <f t="shared" si="1"/>
        <v>43936</v>
      </c>
      <c r="E37" s="292">
        <v>214639</v>
      </c>
      <c r="F37" s="7"/>
      <c r="G37" s="7">
        <f>71030</f>
        <v>71030</v>
      </c>
      <c r="H37" s="7"/>
      <c r="I37" s="7">
        <v>14755</v>
      </c>
      <c r="J37" s="295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89">
        <f t="shared" si="4"/>
        <v>14591</v>
      </c>
      <c r="R37" s="6"/>
      <c r="S37" s="7">
        <f>11620+3156+868-145</f>
        <v>15499</v>
      </c>
      <c r="T37" s="6"/>
      <c r="U37" s="294">
        <f t="shared" si="5"/>
        <v>5.1590418874657151E-2</v>
      </c>
      <c r="W37">
        <f t="shared" si="0"/>
        <v>27</v>
      </c>
      <c r="Z37" s="1"/>
      <c r="AA37" s="97"/>
      <c r="AB37" s="108"/>
      <c r="AC37" s="108"/>
      <c r="AD37" s="108"/>
      <c r="AE37" s="108"/>
      <c r="AF37" s="184" t="s">
        <v>30</v>
      </c>
      <c r="AG37" s="172"/>
      <c r="AH37" s="105" t="s">
        <v>34</v>
      </c>
      <c r="AI37" s="117"/>
      <c r="AJ37" s="115"/>
      <c r="AK37" s="115"/>
      <c r="AL37" s="116"/>
      <c r="AM37" s="113"/>
      <c r="AN37" s="113"/>
    </row>
    <row r="38" spans="3:40" x14ac:dyDescent="0.3">
      <c r="C38" s="178">
        <f t="shared" si="1"/>
        <v>43937</v>
      </c>
      <c r="E38" s="292">
        <v>223691</v>
      </c>
      <c r="F38" s="7"/>
      <c r="G38" s="7">
        <f>75317</f>
        <v>75317</v>
      </c>
      <c r="H38" s="7"/>
      <c r="I38" s="7">
        <v>15884</v>
      </c>
      <c r="J38" s="295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89">
        <f t="shared" si="4"/>
        <v>14468</v>
      </c>
      <c r="R38" s="6"/>
      <c r="S38" s="7">
        <f>14832+3518+446</f>
        <v>18796</v>
      </c>
      <c r="T38" s="6"/>
      <c r="U38" s="294">
        <f t="shared" si="5"/>
        <v>5.9690306517790226E-2</v>
      </c>
      <c r="W38">
        <f t="shared" si="0"/>
        <v>28</v>
      </c>
      <c r="Z38" s="1"/>
      <c r="AA38" s="97"/>
      <c r="AB38" s="108" t="s">
        <v>38</v>
      </c>
      <c r="AC38" s="108"/>
      <c r="AD38" s="108"/>
      <c r="AE38" s="108"/>
      <c r="AF38" s="173">
        <v>20100000</v>
      </c>
      <c r="AG38" s="172"/>
      <c r="AH38" s="106">
        <f>+AF38/AF$43</f>
        <v>6.0909090909090906E-2</v>
      </c>
      <c r="AI38" s="117"/>
      <c r="AJ38" s="115"/>
      <c r="AK38" s="115"/>
      <c r="AL38" s="116"/>
      <c r="AM38" s="114"/>
      <c r="AN38" s="114"/>
    </row>
    <row r="39" spans="3:40" x14ac:dyDescent="0.3">
      <c r="C39" s="178">
        <f t="shared" si="1"/>
        <v>43938</v>
      </c>
      <c r="E39" s="292">
        <v>230597</v>
      </c>
      <c r="F39" s="7"/>
      <c r="G39" s="7">
        <f>78467</f>
        <v>78467</v>
      </c>
      <c r="H39" s="7"/>
      <c r="I39" s="7">
        <v>16809</v>
      </c>
      <c r="J39" s="295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89">
        <f t="shared" si="4"/>
        <v>10981</v>
      </c>
      <c r="R39" s="6"/>
      <c r="S39" s="7">
        <f>17131+3840+1036</f>
        <v>22007</v>
      </c>
      <c r="T39" s="6"/>
      <c r="U39" s="294">
        <f t="shared" si="5"/>
        <v>6.7532443620674315E-2</v>
      </c>
      <c r="W39">
        <f t="shared" si="0"/>
        <v>29</v>
      </c>
      <c r="Z39" s="81"/>
      <c r="AA39" s="97"/>
      <c r="AB39" s="108" t="s">
        <v>59</v>
      </c>
      <c r="AC39" s="108"/>
      <c r="AD39" s="108"/>
      <c r="AE39" s="108"/>
      <c r="AF39" s="172">
        <v>4900000</v>
      </c>
      <c r="AG39" s="172"/>
      <c r="AH39" s="106">
        <f>+AF39/AF$43</f>
        <v>1.4848484848484849E-2</v>
      </c>
      <c r="AI39" s="185"/>
      <c r="AJ39" s="183"/>
      <c r="AK39" s="183"/>
      <c r="AL39" s="116"/>
      <c r="AM39" s="114"/>
      <c r="AN39" s="114"/>
    </row>
    <row r="40" spans="3:40" x14ac:dyDescent="0.3">
      <c r="C40" s="344">
        <f t="shared" si="1"/>
        <v>43939</v>
      </c>
      <c r="D40" s="116"/>
      <c r="E40" s="292">
        <v>238767</v>
      </c>
      <c r="F40" s="7"/>
      <c r="G40" s="7">
        <f>81420</f>
        <v>81420</v>
      </c>
      <c r="H40" s="7"/>
      <c r="I40" s="7">
        <v>17550</v>
      </c>
      <c r="J40" s="295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89">
        <f t="shared" si="4"/>
        <v>11864</v>
      </c>
      <c r="R40" s="6"/>
      <c r="S40" s="7">
        <f>17671+4070+1086</f>
        <v>22827</v>
      </c>
      <c r="T40" s="6"/>
      <c r="U40" s="294">
        <f t="shared" si="5"/>
        <v>6.7588093694205847E-2</v>
      </c>
      <c r="V40" s="116"/>
      <c r="W40" s="116">
        <f t="shared" si="0"/>
        <v>30</v>
      </c>
      <c r="Z40" s="81"/>
      <c r="AA40" s="97"/>
      <c r="AB40" s="108" t="s">
        <v>93</v>
      </c>
      <c r="AC40" s="108"/>
      <c r="AD40" s="108"/>
      <c r="AE40" s="108"/>
      <c r="AF40" s="172">
        <v>6000000</v>
      </c>
      <c r="AG40" s="172"/>
      <c r="AH40" s="106">
        <f>+AF40/AF$43</f>
        <v>1.8181818181818181E-2</v>
      </c>
      <c r="AI40" s="117"/>
      <c r="AJ40" s="115"/>
      <c r="AK40" s="115"/>
      <c r="AL40" s="116"/>
      <c r="AM40" s="114"/>
      <c r="AN40" s="114"/>
    </row>
    <row r="41" spans="3:40" ht="15" thickBot="1" x14ac:dyDescent="0.35">
      <c r="C41" s="178">
        <f t="shared" si="1"/>
        <v>43940</v>
      </c>
      <c r="E41" s="292">
        <v>242570</v>
      </c>
      <c r="F41" s="7"/>
      <c r="G41" s="7">
        <f>85301</f>
        <v>85301</v>
      </c>
      <c r="H41" s="7"/>
      <c r="I41" s="7">
        <v>17550</v>
      </c>
      <c r="J41" s="295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89">
        <f t="shared" si="4"/>
        <v>7684</v>
      </c>
      <c r="R41" s="6"/>
      <c r="S41" s="7">
        <f>17428+4362+1086</f>
        <v>22876</v>
      </c>
      <c r="T41" s="6"/>
      <c r="U41" s="294">
        <f t="shared" si="5"/>
        <v>6.6226430935003952E-2</v>
      </c>
      <c r="W41">
        <f t="shared" si="0"/>
        <v>31</v>
      </c>
      <c r="Z41" s="81"/>
      <c r="AA41" s="97"/>
      <c r="AB41" s="172" t="s">
        <v>33</v>
      </c>
      <c r="AC41" s="172"/>
      <c r="AD41" s="172"/>
      <c r="AE41" s="172"/>
      <c r="AF41" s="171">
        <f>SUM(AF38:AG40)</f>
        <v>31000000</v>
      </c>
      <c r="AG41" s="172"/>
      <c r="AH41" s="107">
        <f>+AF41/AF43</f>
        <v>9.3939393939393934E-2</v>
      </c>
      <c r="AI41" s="117"/>
      <c r="AJ41" s="115"/>
      <c r="AK41" s="115"/>
      <c r="AL41" s="116"/>
      <c r="AM41" s="114"/>
      <c r="AN41" s="114"/>
    </row>
    <row r="42" spans="3:40" ht="15" thickTop="1" x14ac:dyDescent="0.3">
      <c r="C42" s="178">
        <f t="shared" si="1"/>
        <v>43941</v>
      </c>
      <c r="E42" s="292">
        <v>253060</v>
      </c>
      <c r="F42" s="7"/>
      <c r="G42" s="7">
        <f>88722</f>
        <v>88722</v>
      </c>
      <c r="H42" s="7"/>
      <c r="I42" s="7">
        <v>19815</v>
      </c>
      <c r="J42" s="295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89">
        <f t="shared" si="4"/>
        <v>16176</v>
      </c>
      <c r="R42" s="6"/>
      <c r="S42" s="7">
        <f>18611+4496+1331</f>
        <v>24438</v>
      </c>
      <c r="T42" s="6"/>
      <c r="U42" s="294">
        <f t="shared" si="5"/>
        <v>6.7583525305796227E-2</v>
      </c>
      <c r="W42">
        <f t="shared" si="0"/>
        <v>32</v>
      </c>
      <c r="Z42" s="1"/>
      <c r="AA42" s="97"/>
      <c r="AB42" s="108"/>
      <c r="AC42" s="108"/>
      <c r="AD42" s="108"/>
      <c r="AE42" s="108"/>
      <c r="AF42" s="108"/>
      <c r="AG42" s="108"/>
      <c r="AH42" s="108"/>
      <c r="AI42" s="117"/>
      <c r="AJ42" s="115"/>
      <c r="AK42" s="115"/>
      <c r="AL42" s="116"/>
      <c r="AM42" s="115"/>
      <c r="AN42" s="115"/>
    </row>
    <row r="43" spans="3:40" ht="15" thickBot="1" x14ac:dyDescent="0.35">
      <c r="C43" s="178">
        <f t="shared" si="1"/>
        <v>43942</v>
      </c>
      <c r="E43" s="292">
        <v>258361</v>
      </c>
      <c r="F43" s="7"/>
      <c r="G43" s="7">
        <f>92387</f>
        <v>92387</v>
      </c>
      <c r="H43" s="7"/>
      <c r="I43" s="7">
        <v>20360</v>
      </c>
      <c r="J43" s="295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89">
        <f t="shared" si="4"/>
        <v>9511</v>
      </c>
      <c r="R43" s="6"/>
      <c r="S43" s="7">
        <f>18821+4520+1423</f>
        <v>24764</v>
      </c>
      <c r="T43" s="6"/>
      <c r="U43" s="294">
        <f t="shared" si="5"/>
        <v>6.672990072970672E-2</v>
      </c>
      <c r="W43">
        <f t="shared" si="0"/>
        <v>33</v>
      </c>
      <c r="Z43" s="1"/>
      <c r="AA43" s="97"/>
      <c r="AB43" s="108" t="s">
        <v>41</v>
      </c>
      <c r="AC43" s="108"/>
      <c r="AD43" s="108"/>
      <c r="AE43" s="108"/>
      <c r="AF43" s="171">
        <v>330000000</v>
      </c>
      <c r="AG43" s="172"/>
      <c r="AH43" s="181"/>
      <c r="AI43" s="117"/>
      <c r="AJ43" s="115"/>
      <c r="AK43" s="115"/>
      <c r="AL43" s="115"/>
      <c r="AM43" s="115"/>
      <c r="AN43" s="115"/>
    </row>
    <row r="44" spans="3:40" ht="15.6" thickTop="1" thickBot="1" x14ac:dyDescent="0.35">
      <c r="C44" s="178">
        <f t="shared" si="1"/>
        <v>43943</v>
      </c>
      <c r="E44" s="292">
        <v>263292</v>
      </c>
      <c r="F44" s="7"/>
      <c r="G44" s="7">
        <f>95418</f>
        <v>95418</v>
      </c>
      <c r="H44" s="7"/>
      <c r="I44" s="7">
        <v>22469</v>
      </c>
      <c r="J44" s="295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89">
        <f t="shared" si="4"/>
        <v>10071</v>
      </c>
      <c r="R44" s="6"/>
      <c r="S44" s="7">
        <f>19413+5129+1544</f>
        <v>26086</v>
      </c>
      <c r="T44" s="6"/>
      <c r="U44" s="294">
        <f t="shared" si="5"/>
        <v>6.8435039705755041E-2</v>
      </c>
      <c r="W44">
        <f t="shared" si="0"/>
        <v>34</v>
      </c>
      <c r="Z44" s="1"/>
      <c r="AA44" s="98"/>
      <c r="AB44" s="109"/>
      <c r="AC44" s="109"/>
      <c r="AD44" s="109"/>
      <c r="AE44" s="109"/>
      <c r="AF44" s="109"/>
      <c r="AG44" s="109"/>
      <c r="AH44" s="186"/>
      <c r="AI44" s="118"/>
      <c r="AJ44" s="115"/>
      <c r="AK44" s="115"/>
      <c r="AL44" s="115"/>
      <c r="AM44" s="115"/>
      <c r="AN44" s="115"/>
    </row>
    <row r="45" spans="3:40" x14ac:dyDescent="0.3">
      <c r="C45" s="178">
        <f t="shared" si="1"/>
        <v>43944</v>
      </c>
      <c r="E45" s="292">
        <v>271145</v>
      </c>
      <c r="F45" s="7"/>
      <c r="G45" s="7">
        <f>99989</f>
        <v>99989</v>
      </c>
      <c r="H45" s="7"/>
      <c r="I45" s="7">
        <v>23128</v>
      </c>
      <c r="J45" s="295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89">
        <f t="shared" si="4"/>
        <v>13083</v>
      </c>
      <c r="R45" s="6"/>
      <c r="S45" s="7">
        <f>20971+5426+1637</f>
        <v>28034</v>
      </c>
      <c r="T45" s="6"/>
      <c r="U45" s="294">
        <f t="shared" si="5"/>
        <v>7.110500124282837E-2</v>
      </c>
      <c r="W45">
        <f t="shared" si="0"/>
        <v>35</v>
      </c>
      <c r="AG45" s="124"/>
      <c r="AJ45" s="116"/>
      <c r="AK45" s="116"/>
      <c r="AL45" s="116"/>
      <c r="AM45" s="116"/>
      <c r="AN45" s="116"/>
    </row>
    <row r="46" spans="3:40" x14ac:dyDescent="0.3">
      <c r="C46" s="178">
        <f t="shared" si="1"/>
        <v>43945</v>
      </c>
      <c r="E46" s="292">
        <v>271590</v>
      </c>
      <c r="F46" s="7"/>
      <c r="G46" s="7">
        <f>100025</f>
        <v>100025</v>
      </c>
      <c r="H46" s="7"/>
      <c r="I46" s="7">
        <v>23936</v>
      </c>
      <c r="J46" s="295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89">
        <f t="shared" si="4"/>
        <v>1289</v>
      </c>
      <c r="R46" s="6"/>
      <c r="S46" s="7">
        <f>21349+5426+1767</f>
        <v>28542</v>
      </c>
      <c r="T46" s="6"/>
      <c r="U46" s="294">
        <f t="shared" si="5"/>
        <v>7.2157572601257491E-2</v>
      </c>
      <c r="W46">
        <f t="shared" si="0"/>
        <v>36</v>
      </c>
      <c r="AJ46" s="116"/>
      <c r="AK46" s="116"/>
      <c r="AL46" s="116"/>
      <c r="AM46" s="116"/>
      <c r="AN46" s="116"/>
    </row>
    <row r="47" spans="3:40" x14ac:dyDescent="0.3">
      <c r="C47" s="178">
        <f t="shared" si="1"/>
        <v>43946</v>
      </c>
      <c r="E47" s="292">
        <v>282143</v>
      </c>
      <c r="F47" s="7"/>
      <c r="G47" s="7">
        <f>105498</f>
        <v>105498</v>
      </c>
      <c r="H47" s="7"/>
      <c r="I47" s="7">
        <v>24583</v>
      </c>
      <c r="J47" s="295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89">
        <f t="shared" si="4"/>
        <v>16673</v>
      </c>
      <c r="R47" s="6"/>
      <c r="S47" s="7">
        <f>22009+5914+1865</f>
        <v>29788</v>
      </c>
      <c r="T47" s="6"/>
      <c r="U47" s="294">
        <f t="shared" si="5"/>
        <v>7.2261682968483149E-2</v>
      </c>
      <c r="W47">
        <f t="shared" si="0"/>
        <v>37</v>
      </c>
    </row>
    <row r="48" spans="3:40" x14ac:dyDescent="0.3">
      <c r="C48" s="179">
        <f t="shared" si="1"/>
        <v>43947</v>
      </c>
      <c r="E48" s="292">
        <v>288045</v>
      </c>
      <c r="F48" s="7"/>
      <c r="G48" s="7">
        <f>109038</f>
        <v>109038</v>
      </c>
      <c r="H48" s="7"/>
      <c r="I48" s="7">
        <v>25269</v>
      </c>
      <c r="J48" s="295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89">
        <f t="shared" si="4"/>
        <v>10128</v>
      </c>
      <c r="R48" s="6"/>
      <c r="S48" s="7">
        <f>22269+5938+1924</f>
        <v>30131</v>
      </c>
      <c r="T48" s="6"/>
      <c r="U48" s="294">
        <f t="shared" si="5"/>
        <v>7.134096677652764E-2</v>
      </c>
      <c r="W48">
        <f t="shared" si="0"/>
        <v>38</v>
      </c>
      <c r="AF48" s="60"/>
    </row>
    <row r="49" spans="3:32" x14ac:dyDescent="0.3">
      <c r="C49" s="405">
        <f t="shared" si="1"/>
        <v>43948</v>
      </c>
      <c r="E49" s="292">
        <v>291996</v>
      </c>
      <c r="F49" s="7"/>
      <c r="G49" s="7">
        <f>111188</f>
        <v>111188</v>
      </c>
      <c r="H49" s="7"/>
      <c r="I49" s="7">
        <v>25269</v>
      </c>
      <c r="J49" s="295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89">
        <f t="shared" si="4"/>
        <v>6101</v>
      </c>
      <c r="R49" s="6"/>
      <c r="S49" s="7">
        <f>22668+6044+1924</f>
        <v>30636</v>
      </c>
      <c r="T49" s="6"/>
      <c r="U49" s="294">
        <f t="shared" si="5"/>
        <v>7.1503758872034973E-2</v>
      </c>
      <c r="W49">
        <f t="shared" si="0"/>
        <v>39</v>
      </c>
    </row>
    <row r="50" spans="3:32" x14ac:dyDescent="0.3">
      <c r="C50" s="178">
        <f t="shared" si="1"/>
        <v>43949</v>
      </c>
      <c r="E50" s="292">
        <v>295106</v>
      </c>
      <c r="F50" s="7"/>
      <c r="G50" s="7">
        <f>113856</f>
        <v>113856</v>
      </c>
      <c r="H50" s="7"/>
      <c r="I50" s="7">
        <v>26312</v>
      </c>
      <c r="J50" s="295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89">
        <f t="shared" si="4"/>
        <v>6821</v>
      </c>
      <c r="R50" s="6"/>
      <c r="S50" s="7">
        <f>22912+6442+2087</f>
        <v>31441</v>
      </c>
      <c r="T50" s="6"/>
      <c r="U50" s="294">
        <f t="shared" si="5"/>
        <v>7.223266264467898E-2</v>
      </c>
      <c r="W50">
        <f t="shared" si="0"/>
        <v>40</v>
      </c>
      <c r="AF50" s="281"/>
    </row>
    <row r="51" spans="3:32" x14ac:dyDescent="0.3">
      <c r="C51" s="178">
        <f t="shared" si="1"/>
        <v>43950</v>
      </c>
      <c r="E51" s="292">
        <v>299691</v>
      </c>
      <c r="F51" s="7"/>
      <c r="G51" s="7">
        <f>116365</f>
        <v>116365</v>
      </c>
      <c r="H51" s="7"/>
      <c r="I51" s="7">
        <v>26751</v>
      </c>
      <c r="J51" s="295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89">
        <f t="shared" si="4"/>
        <v>7533</v>
      </c>
      <c r="R51" s="6"/>
      <c r="S51" s="7">
        <f>23477+6711+2169</f>
        <v>32357</v>
      </c>
      <c r="T51" s="6"/>
      <c r="U51" s="294">
        <f t="shared" si="5"/>
        <v>7.3072467237419461E-2</v>
      </c>
      <c r="W51">
        <f t="shared" si="0"/>
        <v>41</v>
      </c>
    </row>
    <row r="52" spans="3:32" x14ac:dyDescent="0.3">
      <c r="C52" s="178">
        <f t="shared" si="1"/>
        <v>43951</v>
      </c>
      <c r="E52" s="292">
        <v>304372</v>
      </c>
      <c r="F52" s="7"/>
      <c r="G52" s="7">
        <v>118652</v>
      </c>
      <c r="H52" s="7"/>
      <c r="I52" s="7">
        <v>27700</v>
      </c>
      <c r="J52" s="295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89">
        <f t="shared" si="4"/>
        <v>7917</v>
      </c>
      <c r="R52" s="6"/>
      <c r="S52" s="7">
        <f>23545+7228+2257</f>
        <v>33030</v>
      </c>
      <c r="T52" s="6"/>
      <c r="U52" s="294">
        <f t="shared" si="5"/>
        <v>7.3282097247983249E-2</v>
      </c>
      <c r="W52">
        <f t="shared" si="0"/>
        <v>42</v>
      </c>
    </row>
    <row r="53" spans="3:32" x14ac:dyDescent="0.3">
      <c r="C53" s="178">
        <f t="shared" si="1"/>
        <v>43952</v>
      </c>
      <c r="E53" s="292">
        <v>308314</v>
      </c>
      <c r="F53" s="7"/>
      <c r="G53" s="7">
        <v>121190</v>
      </c>
      <c r="H53" s="7"/>
      <c r="I53" s="7">
        <v>28855</v>
      </c>
      <c r="J53" s="295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89">
        <f t="shared" si="4"/>
        <v>7635</v>
      </c>
      <c r="R53" s="6"/>
      <c r="S53" s="7">
        <f>23981+7538+2341</f>
        <v>33860</v>
      </c>
      <c r="T53" s="6"/>
      <c r="U53" s="294">
        <f t="shared" ref="U53:U65" si="10">+S53/K53</f>
        <v>7.3872226791663304E-2</v>
      </c>
      <c r="W53">
        <f t="shared" si="0"/>
        <v>43</v>
      </c>
    </row>
    <row r="54" spans="3:32" x14ac:dyDescent="0.3">
      <c r="C54" s="178">
        <f t="shared" si="1"/>
        <v>43953</v>
      </c>
      <c r="E54" s="292">
        <v>312977</v>
      </c>
      <c r="F54" s="7"/>
      <c r="G54" s="7">
        <v>123717</v>
      </c>
      <c r="H54" s="7"/>
      <c r="I54" s="7">
        <v>29346</v>
      </c>
      <c r="J54" s="295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89">
        <f t="shared" si="4"/>
        <v>7681</v>
      </c>
      <c r="R54" s="6"/>
      <c r="S54" s="7">
        <f>24198+7742+2437</f>
        <v>34377</v>
      </c>
      <c r="T54" s="6"/>
      <c r="U54" s="294">
        <f t="shared" si="10"/>
        <v>7.3764054587589042E-2</v>
      </c>
      <c r="W54">
        <f t="shared" si="0"/>
        <v>44</v>
      </c>
    </row>
    <row r="55" spans="3:32" x14ac:dyDescent="0.3">
      <c r="C55" s="178">
        <f t="shared" si="1"/>
        <v>43954</v>
      </c>
      <c r="E55" s="292">
        <v>316415</v>
      </c>
      <c r="F55" s="7"/>
      <c r="G55" s="7">
        <v>126744</v>
      </c>
      <c r="H55" s="7"/>
      <c r="I55" s="7">
        <v>29087</v>
      </c>
      <c r="J55" s="295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89">
        <f t="shared" si="4"/>
        <v>6206</v>
      </c>
      <c r="R55" s="6"/>
      <c r="S55" s="7">
        <f>24708+7871+2436</f>
        <v>35015</v>
      </c>
      <c r="T55" s="6"/>
      <c r="U55" s="294">
        <f t="shared" si="10"/>
        <v>7.4145678311727359E-2</v>
      </c>
      <c r="W55">
        <f t="shared" si="0"/>
        <v>45</v>
      </c>
    </row>
    <row r="56" spans="3:32" x14ac:dyDescent="0.3">
      <c r="C56" s="405">
        <f t="shared" si="1"/>
        <v>43955</v>
      </c>
      <c r="E56" s="292">
        <v>318953</v>
      </c>
      <c r="F56" s="7"/>
      <c r="G56" s="7">
        <v>128269</v>
      </c>
      <c r="H56" s="7"/>
      <c r="I56" s="7">
        <v>29973</v>
      </c>
      <c r="J56" s="295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89">
        <f t="shared" si="4"/>
        <v>4949</v>
      </c>
      <c r="R56" s="6"/>
      <c r="S56" s="7">
        <f>24999+7910+2556</f>
        <v>35465</v>
      </c>
      <c r="T56" s="6"/>
      <c r="U56" s="294">
        <f t="shared" si="10"/>
        <v>7.4319722545290706E-2</v>
      </c>
      <c r="W56">
        <f t="shared" si="0"/>
        <v>46</v>
      </c>
    </row>
    <row r="57" spans="3:32" x14ac:dyDescent="0.3">
      <c r="C57" s="178">
        <f t="shared" si="1"/>
        <v>43956</v>
      </c>
      <c r="E57" s="292">
        <v>321192</v>
      </c>
      <c r="F57" s="7"/>
      <c r="G57" s="7">
        <v>130593</v>
      </c>
      <c r="H57" s="7"/>
      <c r="I57" s="7">
        <v>30621</v>
      </c>
      <c r="J57" s="295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89">
        <f t="shared" si="4"/>
        <v>5211</v>
      </c>
      <c r="R57" s="6"/>
      <c r="S57" s="7">
        <f>25124+8244+2633</f>
        <v>36001</v>
      </c>
      <c r="T57" s="6"/>
      <c r="U57" s="294">
        <f t="shared" si="10"/>
        <v>7.4628010431047706E-2</v>
      </c>
      <c r="W57">
        <f t="shared" si="0"/>
        <v>47</v>
      </c>
    </row>
    <row r="58" spans="3:32" x14ac:dyDescent="0.3">
      <c r="C58" s="178">
        <f t="shared" si="1"/>
        <v>43957</v>
      </c>
      <c r="E58" s="292">
        <v>323978</v>
      </c>
      <c r="F58" s="7"/>
      <c r="G58" s="7">
        <v>131890</v>
      </c>
      <c r="H58" s="7"/>
      <c r="I58" s="7">
        <v>30995</v>
      </c>
      <c r="J58" s="295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89">
        <f t="shared" si="4"/>
        <v>4457</v>
      </c>
      <c r="R58" s="6"/>
      <c r="S58" s="7">
        <f>25346+8549+2718</f>
        <v>36613</v>
      </c>
      <c r="T58" s="6"/>
      <c r="U58" s="294">
        <f t="shared" si="10"/>
        <v>7.5201853498828214E-2</v>
      </c>
      <c r="W58">
        <f t="shared" si="0"/>
        <v>48</v>
      </c>
    </row>
    <row r="59" spans="3:32" x14ac:dyDescent="0.3">
      <c r="C59" s="178">
        <f t="shared" si="1"/>
        <v>43958</v>
      </c>
      <c r="E59" s="292">
        <v>327469</v>
      </c>
      <c r="F59" s="7"/>
      <c r="G59" s="7">
        <v>133991</v>
      </c>
      <c r="H59" s="7"/>
      <c r="I59" s="7">
        <v>31784</v>
      </c>
      <c r="J59" s="295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89">
        <f t="shared" si="4"/>
        <v>6381</v>
      </c>
      <c r="R59" s="6"/>
      <c r="S59" s="7">
        <f>26144+8807+2797</f>
        <v>37748</v>
      </c>
      <c r="T59" s="6"/>
      <c r="U59" s="294">
        <f t="shared" si="10"/>
        <v>7.6530074364817416E-2</v>
      </c>
      <c r="W59">
        <f t="shared" si="0"/>
        <v>49</v>
      </c>
    </row>
    <row r="60" spans="3:32" x14ac:dyDescent="0.3">
      <c r="C60" s="178">
        <f t="shared" si="1"/>
        <v>43959</v>
      </c>
      <c r="E60" s="292">
        <v>330407</v>
      </c>
      <c r="F60" s="7"/>
      <c r="G60" s="7">
        <v>135840</v>
      </c>
      <c r="H60" s="7"/>
      <c r="I60" s="7">
        <v>32411</v>
      </c>
      <c r="J60" s="295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89">
        <f t="shared" si="4"/>
        <v>5414</v>
      </c>
      <c r="R60" s="6"/>
      <c r="S60" s="7">
        <f>26243+8960+2874</f>
        <v>38077</v>
      </c>
      <c r="T60" s="6"/>
      <c r="U60" s="294">
        <f t="shared" si="10"/>
        <v>7.6358947414861489E-2</v>
      </c>
      <c r="W60">
        <f t="shared" si="0"/>
        <v>50</v>
      </c>
    </row>
    <row r="61" spans="3:32" x14ac:dyDescent="0.3">
      <c r="C61" s="178">
        <f t="shared" si="1"/>
        <v>43960</v>
      </c>
      <c r="E61" s="292">
        <v>333122</v>
      </c>
      <c r="F61" s="7"/>
      <c r="G61" s="7">
        <v>137397</v>
      </c>
      <c r="H61" s="7"/>
      <c r="I61" s="7">
        <v>32984</v>
      </c>
      <c r="J61" s="295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89">
        <f t="shared" si="4"/>
        <v>4845</v>
      </c>
      <c r="R61" s="6"/>
      <c r="S61" s="7">
        <f>26563+9116+2932</f>
        <v>38611</v>
      </c>
      <c r="T61" s="6"/>
      <c r="U61" s="294">
        <f t="shared" si="10"/>
        <v>7.6684746664865952E-2</v>
      </c>
      <c r="W61">
        <f t="shared" si="0"/>
        <v>51</v>
      </c>
    </row>
    <row r="62" spans="3:32" x14ac:dyDescent="0.3">
      <c r="C62" s="405">
        <f t="shared" si="1"/>
        <v>43961</v>
      </c>
      <c r="E62" s="292">
        <v>335395</v>
      </c>
      <c r="F62" s="7"/>
      <c r="G62" s="7">
        <v>138754</v>
      </c>
      <c r="H62" s="7"/>
      <c r="I62" s="7">
        <v>33554</v>
      </c>
      <c r="J62" s="295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89">
        <f>+K62-K61</f>
        <v>4200</v>
      </c>
      <c r="R62" s="6"/>
      <c r="S62" s="7">
        <f>26641+9256+2967</f>
        <v>38864</v>
      </c>
      <c r="T62" s="6"/>
      <c r="U62" s="294">
        <f t="shared" si="10"/>
        <v>7.6548690868480193E-2</v>
      </c>
      <c r="W62">
        <f t="shared" si="0"/>
        <v>52</v>
      </c>
    </row>
    <row r="63" spans="3:32" x14ac:dyDescent="0.3">
      <c r="C63" s="178">
        <f t="shared" si="1"/>
        <v>43962</v>
      </c>
      <c r="E63" s="292">
        <v>337055</v>
      </c>
      <c r="F63" s="7"/>
      <c r="G63" s="7">
        <v>140206</v>
      </c>
      <c r="H63" s="7"/>
      <c r="I63" s="7">
        <v>33765</v>
      </c>
      <c r="J63" s="295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89">
        <f>+K63-K62</f>
        <v>3323</v>
      </c>
      <c r="R63" s="6"/>
      <c r="S63" s="7">
        <f>26721+9340+3008</f>
        <v>39069</v>
      </c>
      <c r="T63" s="6"/>
      <c r="U63" s="294">
        <f t="shared" si="10"/>
        <v>7.6452078759202069E-2</v>
      </c>
      <c r="W63">
        <f t="shared" si="0"/>
        <v>53</v>
      </c>
    </row>
    <row r="64" spans="3:32" x14ac:dyDescent="0.3">
      <c r="C64" s="178">
        <f t="shared" si="1"/>
        <v>43963</v>
      </c>
      <c r="E64" s="292">
        <v>338485</v>
      </c>
      <c r="F64" s="7"/>
      <c r="G64" s="7">
        <v>140917</v>
      </c>
      <c r="H64" s="7"/>
      <c r="I64" s="7">
        <v>34333</v>
      </c>
      <c r="J64" s="295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89">
        <f>+K64-K63</f>
        <v>2709</v>
      </c>
      <c r="R64" s="6"/>
      <c r="S64" s="7">
        <f>27284+9531+3041</f>
        <v>39856</v>
      </c>
      <c r="T64" s="6"/>
      <c r="U64" s="294">
        <f t="shared" si="10"/>
        <v>7.7580853942207553E-2</v>
      </c>
      <c r="W64">
        <f t="shared" si="0"/>
        <v>54</v>
      </c>
    </row>
    <row r="65" spans="3:23" x14ac:dyDescent="0.3">
      <c r="C65" s="178">
        <f t="shared" si="1"/>
        <v>43964</v>
      </c>
      <c r="E65" s="292">
        <v>340661</v>
      </c>
      <c r="F65" s="7"/>
      <c r="G65" s="7">
        <v>141560</v>
      </c>
      <c r="H65" s="7"/>
      <c r="I65" s="7">
        <v>34895</v>
      </c>
      <c r="J65" s="295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89">
        <f>+K65-K64</f>
        <v>3381</v>
      </c>
      <c r="R65" s="6"/>
      <c r="S65" s="7">
        <f>27477+9714+3125</f>
        <v>40316</v>
      </c>
      <c r="T65" s="6"/>
      <c r="U65" s="294">
        <f t="shared" si="10"/>
        <v>7.7963164937847607E-2</v>
      </c>
      <c r="W65">
        <f t="shared" si="0"/>
        <v>55</v>
      </c>
    </row>
    <row r="66" spans="3:23" x14ac:dyDescent="0.3">
      <c r="C66" s="178">
        <f t="shared" si="1"/>
        <v>43965</v>
      </c>
      <c r="E66" s="292">
        <v>343051</v>
      </c>
      <c r="F66" s="7"/>
      <c r="G66" s="7">
        <v>142704</v>
      </c>
      <c r="H66" s="7"/>
      <c r="I66" s="7">
        <v>35464</v>
      </c>
      <c r="J66" s="295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89">
        <f>+K66-K65</f>
        <v>4103</v>
      </c>
      <c r="R66" s="6"/>
      <c r="S66" s="7">
        <f>27607+9946+3219</f>
        <v>40772</v>
      </c>
      <c r="T66" s="6"/>
      <c r="U66" s="294">
        <f t="shared" ref="U66" si="13">+S66/K66</f>
        <v>7.8224316458149076E-2</v>
      </c>
      <c r="W66">
        <f t="shared" si="0"/>
        <v>56</v>
      </c>
    </row>
    <row r="67" spans="3:23" x14ac:dyDescent="0.3">
      <c r="C67" s="178">
        <f t="shared" si="1"/>
        <v>43966</v>
      </c>
      <c r="E67" s="292">
        <v>345813</v>
      </c>
      <c r="F67" s="7"/>
      <c r="G67" s="7">
        <v>143984</v>
      </c>
      <c r="H67" s="7"/>
      <c r="I67" s="7">
        <v>36805</v>
      </c>
      <c r="J67" s="295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89">
        <v>444</v>
      </c>
      <c r="R67" s="6"/>
      <c r="S67" s="7">
        <f>27607+9946+3219</f>
        <v>40772</v>
      </c>
      <c r="T67" s="6"/>
      <c r="U67" s="294">
        <f t="shared" ref="U67" si="16">+S67/K67</f>
        <v>7.7424696450070454E-2</v>
      </c>
      <c r="W67">
        <f t="shared" si="0"/>
        <v>57</v>
      </c>
    </row>
    <row r="68" spans="3:23" x14ac:dyDescent="0.3">
      <c r="C68" s="178">
        <f t="shared" si="1"/>
        <v>43967</v>
      </c>
      <c r="E68" s="292"/>
      <c r="F68" s="7"/>
      <c r="G68" s="7"/>
      <c r="H68" s="7"/>
      <c r="I68" s="7"/>
      <c r="J68" s="295"/>
      <c r="K68" s="7"/>
      <c r="L68" s="6"/>
      <c r="M68" s="29"/>
      <c r="N68" s="29"/>
      <c r="O68" s="29"/>
      <c r="P68" s="29"/>
      <c r="Q68" s="389"/>
      <c r="R68" s="6"/>
      <c r="S68" s="7"/>
      <c r="T68" s="6"/>
      <c r="U68" s="294"/>
      <c r="W68">
        <f t="shared" si="0"/>
        <v>58</v>
      </c>
    </row>
    <row r="69" spans="3:23" x14ac:dyDescent="0.3">
      <c r="C69" s="178">
        <f t="shared" si="1"/>
        <v>43968</v>
      </c>
      <c r="E69" s="292"/>
      <c r="F69" s="7"/>
      <c r="G69" s="7"/>
      <c r="H69" s="7"/>
      <c r="I69" s="7"/>
      <c r="J69" s="295"/>
      <c r="K69" s="7"/>
      <c r="L69" s="6"/>
      <c r="M69" s="29"/>
      <c r="N69" s="29"/>
      <c r="O69" s="29"/>
      <c r="P69" s="29"/>
      <c r="Q69" s="389"/>
      <c r="R69" s="6"/>
      <c r="S69" s="7"/>
      <c r="T69" s="6"/>
      <c r="U69" s="294"/>
      <c r="W69">
        <f t="shared" si="0"/>
        <v>59</v>
      </c>
    </row>
    <row r="70" spans="3:23" x14ac:dyDescent="0.3">
      <c r="C70" s="178">
        <f t="shared" si="1"/>
        <v>43969</v>
      </c>
      <c r="E70" s="292"/>
      <c r="F70" s="7"/>
      <c r="G70" s="7"/>
      <c r="H70" s="7"/>
      <c r="I70" s="7"/>
      <c r="J70" s="295"/>
      <c r="K70" s="7"/>
      <c r="L70" s="6"/>
      <c r="M70" s="29"/>
      <c r="N70" s="29"/>
      <c r="O70" s="29"/>
      <c r="P70" s="29"/>
      <c r="Q70" s="389"/>
      <c r="R70" s="6"/>
      <c r="S70" s="7"/>
      <c r="T70" s="6"/>
      <c r="U70" s="294"/>
      <c r="W70">
        <f t="shared" si="0"/>
        <v>60</v>
      </c>
    </row>
    <row r="71" spans="3:23" x14ac:dyDescent="0.3">
      <c r="C71" s="178">
        <f t="shared" si="1"/>
        <v>43970</v>
      </c>
      <c r="E71" s="292"/>
      <c r="F71" s="7"/>
      <c r="G71" s="7"/>
      <c r="H71" s="7"/>
      <c r="I71" s="7"/>
      <c r="J71" s="295"/>
      <c r="K71" s="7"/>
      <c r="L71" s="6"/>
      <c r="M71" s="29"/>
      <c r="N71" s="29"/>
      <c r="O71" s="29"/>
      <c r="P71" s="29"/>
      <c r="Q71" s="389"/>
      <c r="R71" s="6"/>
      <c r="S71" s="7"/>
      <c r="T71" s="6"/>
      <c r="U71" s="294"/>
      <c r="W71">
        <f t="shared" si="0"/>
        <v>61</v>
      </c>
    </row>
    <row r="72" spans="3:23" ht="15" thickBot="1" x14ac:dyDescent="0.35">
      <c r="C72" s="178">
        <f t="shared" si="1"/>
        <v>43971</v>
      </c>
      <c r="E72" s="296"/>
      <c r="F72" s="297"/>
      <c r="G72" s="297"/>
      <c r="H72" s="297"/>
      <c r="I72" s="297"/>
      <c r="J72" s="297"/>
      <c r="K72" s="297"/>
      <c r="L72" s="298"/>
      <c r="M72" s="299"/>
      <c r="N72" s="299"/>
      <c r="O72" s="299"/>
      <c r="P72" s="299"/>
      <c r="Q72" s="388"/>
      <c r="R72" s="298"/>
      <c r="S72" s="298"/>
      <c r="T72" s="298"/>
      <c r="U72" s="300"/>
      <c r="W72">
        <f t="shared" si="0"/>
        <v>62</v>
      </c>
    </row>
    <row r="73" spans="3:23" x14ac:dyDescent="0.3">
      <c r="E73" s="60"/>
      <c r="F73" s="1"/>
      <c r="G73" s="60"/>
      <c r="H73" s="60"/>
      <c r="I73" s="60"/>
      <c r="J73" s="1"/>
      <c r="K73" s="60"/>
      <c r="S73" s="60"/>
    </row>
    <row r="74" spans="3:23" x14ac:dyDescent="0.3">
      <c r="C74" s="187" t="s">
        <v>83</v>
      </c>
      <c r="E74" s="60">
        <f>+E67</f>
        <v>345813</v>
      </c>
      <c r="F74" s="60">
        <f>+F52</f>
        <v>0</v>
      </c>
      <c r="G74" s="60">
        <f t="shared" ref="G74:S74" si="17">+G67</f>
        <v>143984</v>
      </c>
      <c r="H74" s="60">
        <f t="shared" si="17"/>
        <v>0</v>
      </c>
      <c r="I74" s="60">
        <f t="shared" si="17"/>
        <v>36805</v>
      </c>
      <c r="J74" s="60">
        <f t="shared" si="17"/>
        <v>0</v>
      </c>
      <c r="K74" s="60">
        <f t="shared" si="17"/>
        <v>526602</v>
      </c>
      <c r="L74" s="60">
        <f t="shared" si="17"/>
        <v>0</v>
      </c>
      <c r="M74" s="60">
        <f t="shared" si="17"/>
        <v>1.032771253542177E-2</v>
      </c>
      <c r="N74" s="60">
        <f t="shared" si="17"/>
        <v>0</v>
      </c>
      <c r="O74" s="60">
        <f t="shared" si="17"/>
        <v>0</v>
      </c>
      <c r="P74" s="60">
        <f t="shared" si="17"/>
        <v>0</v>
      </c>
      <c r="Q74" s="60">
        <f t="shared" si="17"/>
        <v>444</v>
      </c>
      <c r="R74" s="60">
        <f t="shared" si="17"/>
        <v>0</v>
      </c>
      <c r="S74" s="60">
        <f t="shared" si="17"/>
        <v>40772</v>
      </c>
      <c r="T74" s="60">
        <f>+T60</f>
        <v>0</v>
      </c>
    </row>
    <row r="75" spans="3:23" x14ac:dyDescent="0.3">
      <c r="E75" s="60"/>
      <c r="G75" s="60"/>
      <c r="H75" s="60"/>
      <c r="I75" s="60"/>
      <c r="J75" s="60"/>
      <c r="K75" s="60"/>
      <c r="L75" s="60"/>
      <c r="M75" s="63"/>
      <c r="N75" s="60"/>
      <c r="O75" s="60"/>
      <c r="P75" s="60"/>
      <c r="Q75" s="60"/>
      <c r="R75" s="60"/>
      <c r="S75" s="60"/>
    </row>
    <row r="76" spans="3:23" x14ac:dyDescent="0.3">
      <c r="E76" s="63"/>
      <c r="K76" s="1"/>
    </row>
    <row r="77" spans="3:23" x14ac:dyDescent="0.3">
      <c r="C77" s="129"/>
      <c r="D77" s="130"/>
      <c r="E77" s="407"/>
      <c r="F77" s="10"/>
      <c r="G77" s="10"/>
      <c r="H77" s="10"/>
      <c r="I77" s="65"/>
      <c r="J77" s="10"/>
      <c r="K77" s="10"/>
      <c r="L77" s="10"/>
      <c r="M77" s="10"/>
      <c r="N77" s="10"/>
      <c r="O77" s="10"/>
      <c r="P77" s="10"/>
      <c r="Q77" s="407"/>
      <c r="R77" s="10"/>
      <c r="S77" s="10"/>
    </row>
    <row r="78" spans="3:23" x14ac:dyDescent="0.3">
      <c r="E78" s="60"/>
      <c r="Q78" s="60"/>
    </row>
    <row r="79" spans="3:23" x14ac:dyDescent="0.3">
      <c r="Q79" s="60"/>
      <c r="S79" s="63"/>
    </row>
    <row r="82" spans="3:41" x14ac:dyDescent="0.3">
      <c r="AO82" s="1">
        <v>3797000</v>
      </c>
    </row>
    <row r="83" spans="3:41" x14ac:dyDescent="0.3">
      <c r="C83" s="1"/>
    </row>
    <row r="84" spans="3:41" x14ac:dyDescent="0.3">
      <c r="C84" s="1"/>
      <c r="AO84" s="1">
        <v>30000</v>
      </c>
    </row>
    <row r="85" spans="3:41" x14ac:dyDescent="0.3">
      <c r="C85" s="63"/>
    </row>
    <row r="86" spans="3:41" x14ac:dyDescent="0.3">
      <c r="AO86" s="285">
        <f>+AO84/AO82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4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66" t="s">
        <v>5</v>
      </c>
      <c r="C1" s="266"/>
      <c r="D1" s="266"/>
    </row>
    <row r="2" spans="2:28" ht="16.2" thickBot="1" x14ac:dyDescent="0.35">
      <c r="B2" s="266" t="s">
        <v>6</v>
      </c>
      <c r="C2" s="266"/>
      <c r="D2" s="266"/>
    </row>
    <row r="3" spans="2:28" ht="16.2" thickBot="1" x14ac:dyDescent="0.35">
      <c r="B3" s="264" t="s">
        <v>13</v>
      </c>
      <c r="C3" s="264"/>
      <c r="D3" s="174"/>
      <c r="R3" s="564" t="s">
        <v>116</v>
      </c>
      <c r="S3" s="565"/>
      <c r="T3" s="565"/>
      <c r="U3" s="565"/>
      <c r="V3" s="565"/>
      <c r="W3" s="565"/>
      <c r="X3" s="565"/>
      <c r="Y3" s="565"/>
      <c r="Z3" s="565"/>
      <c r="AA3" s="565"/>
      <c r="AB3" s="566"/>
    </row>
    <row r="4" spans="2:28" ht="15.6" x14ac:dyDescent="0.3">
      <c r="B4" s="264"/>
      <c r="C4" s="264"/>
      <c r="D4" s="174"/>
      <c r="R4" s="301"/>
      <c r="S4" s="408" t="s">
        <v>80</v>
      </c>
      <c r="T4" s="6"/>
      <c r="U4" s="408" t="s">
        <v>108</v>
      </c>
      <c r="V4" s="5"/>
      <c r="W4" s="408" t="s">
        <v>109</v>
      </c>
      <c r="X4" s="5"/>
      <c r="Y4" s="408" t="s">
        <v>75</v>
      </c>
      <c r="Z4" s="6"/>
      <c r="AA4" s="302" t="s">
        <v>15</v>
      </c>
      <c r="AB4" s="303"/>
    </row>
    <row r="5" spans="2:28" ht="15.6" x14ac:dyDescent="0.3">
      <c r="B5" s="264"/>
      <c r="C5" t="s">
        <v>94</v>
      </c>
      <c r="D5" s="174"/>
      <c r="E5" t="s">
        <v>95</v>
      </c>
      <c r="R5" s="301"/>
      <c r="S5" s="6"/>
      <c r="T5" s="6"/>
      <c r="U5" s="6"/>
      <c r="V5" s="6"/>
      <c r="W5" s="6"/>
      <c r="X5" s="6"/>
      <c r="Y5" s="6"/>
      <c r="Z5" s="6"/>
      <c r="AA5" s="6"/>
      <c r="AB5" s="303"/>
    </row>
    <row r="6" spans="2:28" ht="15.6" x14ac:dyDescent="0.3">
      <c r="B6" s="264"/>
      <c r="C6" s="264"/>
      <c r="D6" s="177"/>
      <c r="E6" t="s">
        <v>96</v>
      </c>
      <c r="F6" t="s">
        <v>113</v>
      </c>
      <c r="R6" s="301"/>
      <c r="S6" s="304">
        <v>43951</v>
      </c>
      <c r="T6" s="6"/>
      <c r="U6" s="7">
        <v>427734</v>
      </c>
      <c r="V6" s="6"/>
      <c r="W6" s="45">
        <v>0.39100000000000001</v>
      </c>
      <c r="X6" s="6"/>
      <c r="Y6" s="6"/>
      <c r="Z6" s="6"/>
      <c r="AA6" s="6"/>
      <c r="AB6" s="303"/>
    </row>
    <row r="7" spans="2:28" ht="15.6" x14ac:dyDescent="0.3">
      <c r="B7" s="264"/>
      <c r="C7" s="264"/>
      <c r="D7" s="177"/>
      <c r="E7" t="s">
        <v>97</v>
      </c>
      <c r="F7" t="s">
        <v>99</v>
      </c>
      <c r="R7" s="301"/>
      <c r="S7" s="304">
        <f>+S6+1</f>
        <v>43952</v>
      </c>
      <c r="T7" s="6"/>
      <c r="U7" s="7">
        <v>432831</v>
      </c>
      <c r="V7" s="6"/>
      <c r="W7" s="45">
        <v>0.38300000000000001</v>
      </c>
      <c r="X7" s="6"/>
      <c r="Y7" s="306">
        <f t="shared" ref="Y7:Y19" si="0">+U6-U7</f>
        <v>-5097</v>
      </c>
      <c r="Z7" s="6"/>
      <c r="AA7" s="6"/>
      <c r="AB7" s="303"/>
    </row>
    <row r="8" spans="2:28" ht="15.6" x14ac:dyDescent="0.3">
      <c r="B8" s="264"/>
      <c r="C8" s="264"/>
      <c r="D8" s="177"/>
      <c r="E8" t="s">
        <v>98</v>
      </c>
      <c r="F8" t="s">
        <v>114</v>
      </c>
      <c r="R8" s="301"/>
      <c r="S8" s="304">
        <f t="shared" ref="S8:S40" si="1">+S7+1</f>
        <v>43953</v>
      </c>
      <c r="T8" s="6"/>
      <c r="U8" s="7">
        <v>433512</v>
      </c>
      <c r="V8" s="6"/>
      <c r="W8" s="45">
        <v>0.373</v>
      </c>
      <c r="X8" s="6"/>
      <c r="Y8" s="306">
        <f t="shared" si="0"/>
        <v>-681</v>
      </c>
      <c r="Z8" s="6"/>
      <c r="AA8" s="6"/>
      <c r="AB8" s="303"/>
    </row>
    <row r="9" spans="2:28" ht="15.6" x14ac:dyDescent="0.3">
      <c r="B9" s="264"/>
      <c r="C9" s="264"/>
      <c r="D9" s="177"/>
      <c r="R9" s="301"/>
      <c r="S9" s="304">
        <f t="shared" si="1"/>
        <v>43954</v>
      </c>
      <c r="T9" s="6"/>
      <c r="U9" s="7">
        <v>434345</v>
      </c>
      <c r="V9" s="6"/>
      <c r="W9" s="45">
        <v>0.36599999999999999</v>
      </c>
      <c r="X9" s="6"/>
      <c r="Y9" s="306">
        <f t="shared" si="0"/>
        <v>-833</v>
      </c>
      <c r="Z9" s="6"/>
      <c r="AA9" s="6"/>
      <c r="AB9" s="303"/>
    </row>
    <row r="10" spans="2:28" ht="15.6" x14ac:dyDescent="0.3">
      <c r="B10" s="264"/>
      <c r="C10" s="286" t="s">
        <v>100</v>
      </c>
      <c r="D10" s="177"/>
      <c r="E10" t="s">
        <v>103</v>
      </c>
      <c r="R10" s="301"/>
      <c r="S10" s="304">
        <f t="shared" si="1"/>
        <v>43955</v>
      </c>
      <c r="T10" s="6"/>
      <c r="U10" s="7">
        <v>458962</v>
      </c>
      <c r="V10" s="6"/>
      <c r="W10" s="45">
        <v>0.378</v>
      </c>
      <c r="X10" s="6"/>
      <c r="Y10" s="306">
        <f t="shared" si="0"/>
        <v>-24617</v>
      </c>
      <c r="Z10" s="6"/>
      <c r="AA10" s="6"/>
      <c r="AB10" s="303"/>
    </row>
    <row r="11" spans="2:28" ht="15.6" x14ac:dyDescent="0.3">
      <c r="B11" s="264"/>
      <c r="C11" s="264"/>
      <c r="D11" s="177"/>
      <c r="E11" t="s">
        <v>96</v>
      </c>
      <c r="F11" t="s">
        <v>101</v>
      </c>
      <c r="R11" s="301"/>
      <c r="S11" s="304">
        <f t="shared" si="1"/>
        <v>43956</v>
      </c>
      <c r="T11" s="6"/>
      <c r="U11" s="305">
        <v>455743</v>
      </c>
      <c r="V11" s="6"/>
      <c r="W11" s="45">
        <v>0.36799999999999999</v>
      </c>
      <c r="X11" s="6"/>
      <c r="Y11" s="306">
        <f t="shared" si="0"/>
        <v>3219</v>
      </c>
      <c r="Z11" s="6"/>
      <c r="AA11" s="310"/>
      <c r="AB11" s="303"/>
    </row>
    <row r="12" spans="2:28" ht="15.6" x14ac:dyDescent="0.3">
      <c r="B12" s="264"/>
      <c r="C12" s="264"/>
      <c r="D12" s="177"/>
      <c r="E12" t="s">
        <v>97</v>
      </c>
      <c r="F12" t="s">
        <v>102</v>
      </c>
      <c r="R12" s="301"/>
      <c r="S12" s="304">
        <f t="shared" si="1"/>
        <v>43957</v>
      </c>
      <c r="T12" s="6"/>
      <c r="U12" s="305">
        <v>454697</v>
      </c>
      <c r="V12" s="6"/>
      <c r="W12" s="45">
        <f t="shared" ref="W12:W18" si="2">+L36</f>
        <v>0.27309257241726415</v>
      </c>
      <c r="X12" s="6"/>
      <c r="Y12" s="306">
        <f t="shared" si="0"/>
        <v>1046</v>
      </c>
      <c r="Z12" s="6"/>
      <c r="AA12" s="310"/>
      <c r="AB12" s="303"/>
    </row>
    <row r="13" spans="2:28" ht="15.6" x14ac:dyDescent="0.3">
      <c r="B13" s="264"/>
      <c r="C13" s="264"/>
      <c r="D13" s="177"/>
      <c r="R13" s="301"/>
      <c r="S13" s="304">
        <f t="shared" si="1"/>
        <v>43958</v>
      </c>
      <c r="T13" s="6"/>
      <c r="U13" s="305">
        <v>454838</v>
      </c>
      <c r="V13" s="6"/>
      <c r="W13" s="45">
        <f t="shared" si="2"/>
        <v>0</v>
      </c>
      <c r="X13" s="6"/>
      <c r="Y13" s="306">
        <f t="shared" si="0"/>
        <v>-141</v>
      </c>
      <c r="Z13" s="6"/>
      <c r="AA13" s="310"/>
      <c r="AB13" s="303"/>
    </row>
    <row r="14" spans="2:28" ht="15.6" x14ac:dyDescent="0.3">
      <c r="B14" s="264"/>
      <c r="C14" s="286" t="s">
        <v>104</v>
      </c>
      <c r="D14" s="177"/>
      <c r="E14" t="s">
        <v>105</v>
      </c>
      <c r="R14" s="301"/>
      <c r="S14" s="304">
        <f t="shared" si="1"/>
        <v>43959</v>
      </c>
      <c r="T14" s="6"/>
      <c r="U14" s="305">
        <v>452043</v>
      </c>
      <c r="V14" s="6"/>
      <c r="W14" s="45">
        <f t="shared" si="2"/>
        <v>0</v>
      </c>
      <c r="X14" s="6"/>
      <c r="Y14" s="306">
        <f t="shared" si="0"/>
        <v>2795</v>
      </c>
      <c r="Z14" s="6"/>
      <c r="AA14" s="310"/>
      <c r="AB14" s="303"/>
    </row>
    <row r="15" spans="2:28" x14ac:dyDescent="0.3">
      <c r="B15" s="264"/>
      <c r="E15" s="567" t="s">
        <v>106</v>
      </c>
      <c r="F15" s="567"/>
      <c r="G15" s="567"/>
      <c r="H15" s="567"/>
      <c r="I15" s="567"/>
      <c r="R15" s="301"/>
      <c r="S15" s="304">
        <f t="shared" si="1"/>
        <v>43960</v>
      </c>
      <c r="T15" s="6"/>
      <c r="U15" s="305">
        <v>439209</v>
      </c>
      <c r="V15" s="6"/>
      <c r="W15" s="45">
        <f t="shared" si="2"/>
        <v>0</v>
      </c>
      <c r="X15" s="6"/>
      <c r="Y15" s="306">
        <f t="shared" si="0"/>
        <v>12834</v>
      </c>
      <c r="Z15" s="6"/>
      <c r="AA15" s="310"/>
      <c r="AB15" s="303"/>
    </row>
    <row r="16" spans="2:28" x14ac:dyDescent="0.3">
      <c r="R16" s="301"/>
      <c r="S16" s="304">
        <f t="shared" si="1"/>
        <v>43961</v>
      </c>
      <c r="T16" s="6"/>
      <c r="U16" s="305">
        <v>423501</v>
      </c>
      <c r="V16" s="6"/>
      <c r="W16" s="45">
        <f t="shared" si="2"/>
        <v>0</v>
      </c>
      <c r="X16" s="6"/>
      <c r="Y16" s="306">
        <f t="shared" si="0"/>
        <v>15708</v>
      </c>
      <c r="Z16" s="6"/>
      <c r="AA16" s="310"/>
      <c r="AB16" s="303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01"/>
      <c r="S17" s="304">
        <f t="shared" si="1"/>
        <v>43962</v>
      </c>
      <c r="T17" s="6"/>
      <c r="U17" s="305">
        <v>415158</v>
      </c>
      <c r="V17" s="6"/>
      <c r="W17" s="45">
        <f t="shared" si="2"/>
        <v>0</v>
      </c>
      <c r="X17" s="6"/>
      <c r="Y17" s="306">
        <f t="shared" si="0"/>
        <v>8343</v>
      </c>
      <c r="Z17" s="6"/>
      <c r="AA17" s="310"/>
      <c r="AB17" s="303"/>
    </row>
    <row r="18" spans="3:28" ht="15" thickBot="1" x14ac:dyDescent="0.35">
      <c r="C18" s="1"/>
      <c r="D18" s="573" t="s">
        <v>46</v>
      </c>
      <c r="E18" s="574"/>
      <c r="F18" s="574"/>
      <c r="G18" s="574"/>
      <c r="H18" s="574"/>
      <c r="I18" s="574"/>
      <c r="J18" s="574"/>
      <c r="K18" s="574"/>
      <c r="L18" s="574"/>
      <c r="M18" s="574"/>
      <c r="N18" s="574"/>
      <c r="O18" s="575"/>
      <c r="P18" s="96"/>
      <c r="Q18" s="96"/>
      <c r="R18" s="301"/>
      <c r="S18" s="304">
        <f t="shared" si="1"/>
        <v>43963</v>
      </c>
      <c r="T18" s="6"/>
      <c r="U18" s="305">
        <v>413524</v>
      </c>
      <c r="V18" s="6"/>
      <c r="W18" s="45">
        <f t="shared" si="2"/>
        <v>0</v>
      </c>
      <c r="X18" s="6"/>
      <c r="Y18" s="306">
        <f t="shared" si="0"/>
        <v>1634</v>
      </c>
      <c r="Z18" s="6"/>
      <c r="AA18" s="310"/>
      <c r="AB18" s="303"/>
    </row>
    <row r="19" spans="3:28" ht="15" thickBot="1" x14ac:dyDescent="0.35">
      <c r="C19" s="1"/>
      <c r="D19" s="152"/>
      <c r="E19" s="576" t="s">
        <v>77</v>
      </c>
      <c r="F19" s="576"/>
      <c r="G19" s="576"/>
      <c r="H19" s="576"/>
      <c r="I19" s="153" t="s">
        <v>76</v>
      </c>
      <c r="J19" s="154"/>
      <c r="K19" s="581" t="s">
        <v>74</v>
      </c>
      <c r="L19" s="581"/>
      <c r="M19" s="147"/>
      <c r="N19" s="151" t="s">
        <v>75</v>
      </c>
      <c r="O19" s="148"/>
      <c r="P19" s="120"/>
      <c r="Q19" s="120"/>
      <c r="R19" s="301"/>
      <c r="S19" s="304">
        <f t="shared" si="1"/>
        <v>43964</v>
      </c>
      <c r="T19" s="6"/>
      <c r="U19" s="305">
        <v>410932</v>
      </c>
      <c r="V19" s="6"/>
      <c r="W19" s="45">
        <f>+L43</f>
        <v>0</v>
      </c>
      <c r="X19" s="6"/>
      <c r="Y19" s="306">
        <f t="shared" si="0"/>
        <v>2592</v>
      </c>
      <c r="Z19" s="6"/>
      <c r="AA19" s="310"/>
      <c r="AB19" s="303"/>
    </row>
    <row r="20" spans="3:28" x14ac:dyDescent="0.3">
      <c r="C20" s="1"/>
      <c r="D20" s="132"/>
      <c r="E20" s="133" t="s">
        <v>43</v>
      </c>
      <c r="F20" s="134"/>
      <c r="G20" s="133"/>
      <c r="H20" s="133"/>
      <c r="I20" s="99">
        <f>+'Main Table'!H51</f>
        <v>1095023</v>
      </c>
      <c r="J20" s="135"/>
      <c r="K20" s="146"/>
      <c r="L20" s="146"/>
      <c r="M20" s="146"/>
      <c r="N20" s="146"/>
      <c r="O20" s="142"/>
      <c r="P20" s="96"/>
      <c r="Q20" s="96"/>
      <c r="R20" s="301"/>
      <c r="S20" s="304">
        <f t="shared" si="1"/>
        <v>43965</v>
      </c>
      <c r="T20" s="6"/>
      <c r="U20" s="305">
        <v>409640</v>
      </c>
      <c r="V20" s="6"/>
      <c r="W20" s="45">
        <f>+L44</f>
        <v>0</v>
      </c>
      <c r="X20" s="6"/>
      <c r="Y20" s="306">
        <f t="shared" ref="Y20" si="3">+U19-U20</f>
        <v>1292</v>
      </c>
      <c r="Z20" s="6"/>
      <c r="AA20" s="310"/>
      <c r="AB20" s="303"/>
    </row>
    <row r="21" spans="3:28" x14ac:dyDescent="0.3">
      <c r="C21" s="1"/>
      <c r="D21" s="132"/>
      <c r="E21" s="133" t="s">
        <v>44</v>
      </c>
      <c r="F21" s="133" t="s">
        <v>4</v>
      </c>
      <c r="G21" s="133"/>
      <c r="H21" s="133"/>
      <c r="I21" s="136">
        <f>+'Main Table'!U71</f>
        <v>88503</v>
      </c>
      <c r="J21" s="135"/>
      <c r="K21" s="146"/>
      <c r="L21" s="146"/>
      <c r="M21" s="146"/>
      <c r="N21" s="146"/>
      <c r="O21" s="142"/>
      <c r="P21" s="96"/>
      <c r="Q21" s="96"/>
      <c r="R21" s="301"/>
      <c r="S21" s="304">
        <f t="shared" si="1"/>
        <v>43966</v>
      </c>
      <c r="T21" s="6"/>
      <c r="U21" s="305">
        <f>+I36</f>
        <v>405327</v>
      </c>
      <c r="V21" s="6"/>
      <c r="W21" s="45">
        <f>+L45</f>
        <v>0</v>
      </c>
      <c r="X21" s="6"/>
      <c r="Y21" s="306">
        <f t="shared" ref="Y21" si="4">+U20-U21</f>
        <v>4313</v>
      </c>
      <c r="Z21" s="6"/>
      <c r="AA21" s="310"/>
      <c r="AB21" s="303"/>
    </row>
    <row r="22" spans="3:28" x14ac:dyDescent="0.3">
      <c r="C22" s="1"/>
      <c r="D22" s="132"/>
      <c r="E22" s="133"/>
      <c r="F22" s="133" t="s">
        <v>45</v>
      </c>
      <c r="G22" s="133"/>
      <c r="H22" s="133"/>
      <c r="I22" s="165">
        <v>16139</v>
      </c>
      <c r="J22" s="135"/>
      <c r="K22" s="146"/>
      <c r="L22" s="289">
        <v>16240</v>
      </c>
      <c r="M22" s="146"/>
      <c r="N22" s="166">
        <f>+(I22-L22)/I22</f>
        <v>-6.2581324741309867E-3</v>
      </c>
      <c r="O22" s="142"/>
      <c r="P22" s="96"/>
      <c r="Q22" s="96"/>
      <c r="R22" s="301"/>
      <c r="S22" s="304">
        <f t="shared" si="1"/>
        <v>43967</v>
      </c>
      <c r="T22" s="6"/>
      <c r="U22" s="305"/>
      <c r="V22" s="6"/>
      <c r="W22" s="45"/>
      <c r="X22" s="6"/>
      <c r="Y22" s="306"/>
      <c r="Z22" s="6"/>
      <c r="AA22" s="310"/>
      <c r="AB22" s="303"/>
    </row>
    <row r="23" spans="3:28" x14ac:dyDescent="0.3">
      <c r="C23" s="1"/>
      <c r="D23" s="132"/>
      <c r="E23" s="133"/>
      <c r="F23" s="143" t="s">
        <v>72</v>
      </c>
      <c r="G23" s="143"/>
      <c r="H23" s="143"/>
      <c r="I23" s="136">
        <f>+I20-I21-I22</f>
        <v>990381</v>
      </c>
      <c r="J23" s="135"/>
      <c r="K23" s="146"/>
      <c r="L23" s="146"/>
      <c r="M23" s="146"/>
      <c r="N23" s="146"/>
      <c r="O23" s="142"/>
      <c r="P23" s="119"/>
      <c r="Q23" s="119"/>
      <c r="R23" s="301"/>
      <c r="S23" s="304">
        <f t="shared" si="1"/>
        <v>43968</v>
      </c>
      <c r="T23" s="6"/>
      <c r="U23" s="305"/>
      <c r="V23" s="6"/>
      <c r="W23" s="45"/>
      <c r="X23" s="6"/>
      <c r="Y23" s="306"/>
      <c r="Z23" s="6"/>
      <c r="AA23" s="310"/>
      <c r="AB23" s="303"/>
    </row>
    <row r="24" spans="3:28" x14ac:dyDescent="0.3">
      <c r="C24" s="1"/>
      <c r="D24" s="132"/>
      <c r="E24" s="133" t="s">
        <v>79</v>
      </c>
      <c r="F24" s="135"/>
      <c r="G24" s="135"/>
      <c r="H24" s="135"/>
      <c r="I24" s="137">
        <f>+'Main Table'!AF71</f>
        <v>326242</v>
      </c>
      <c r="J24" s="135"/>
      <c r="K24" s="146"/>
      <c r="L24" s="146"/>
      <c r="M24" s="146"/>
      <c r="N24" s="146"/>
      <c r="O24" s="142"/>
      <c r="P24" s="119"/>
      <c r="Q24" s="119"/>
      <c r="R24" s="301"/>
      <c r="S24" s="304">
        <f t="shared" si="1"/>
        <v>43969</v>
      </c>
      <c r="T24" s="6"/>
      <c r="U24" s="305"/>
      <c r="V24" s="6"/>
      <c r="W24" s="45"/>
      <c r="X24" s="6"/>
      <c r="Y24" s="306"/>
      <c r="Z24" s="6"/>
      <c r="AA24" s="310"/>
      <c r="AB24" s="303"/>
    </row>
    <row r="25" spans="3:28" x14ac:dyDescent="0.3">
      <c r="C25" s="1"/>
      <c r="D25" s="577" t="s">
        <v>49</v>
      </c>
      <c r="E25" s="578"/>
      <c r="F25" s="578"/>
      <c r="G25" s="578"/>
      <c r="H25" s="578"/>
      <c r="I25" s="138">
        <f>+I23-I24</f>
        <v>664139</v>
      </c>
      <c r="J25" s="135"/>
      <c r="K25" s="146"/>
      <c r="L25" s="146"/>
      <c r="M25" s="146"/>
      <c r="N25" s="146"/>
      <c r="O25" s="142"/>
      <c r="P25" s="119"/>
      <c r="Q25" s="119"/>
      <c r="R25" s="301"/>
      <c r="S25" s="304">
        <f t="shared" si="1"/>
        <v>43970</v>
      </c>
      <c r="T25" s="6"/>
      <c r="U25" s="305"/>
      <c r="V25" s="6"/>
      <c r="W25" s="45"/>
      <c r="X25" s="6"/>
      <c r="Y25" s="306"/>
      <c r="Z25" s="6"/>
      <c r="AA25" s="310"/>
      <c r="AB25" s="303"/>
    </row>
    <row r="26" spans="3:28" x14ac:dyDescent="0.3">
      <c r="C26" s="1"/>
      <c r="D26" s="132"/>
      <c r="E26" s="133" t="s">
        <v>73</v>
      </c>
      <c r="F26" s="135"/>
      <c r="G26" s="135"/>
      <c r="H26" s="135"/>
      <c r="I26" s="137">
        <f>+I24</f>
        <v>326242</v>
      </c>
      <c r="J26" s="135"/>
      <c r="K26" s="146"/>
      <c r="L26" s="146"/>
      <c r="M26" s="146"/>
      <c r="N26" s="146"/>
      <c r="O26" s="142"/>
      <c r="P26" s="96"/>
      <c r="Q26" s="96"/>
      <c r="R26" s="301"/>
      <c r="S26" s="304">
        <f t="shared" si="1"/>
        <v>43971</v>
      </c>
      <c r="T26" s="6"/>
      <c r="U26" s="305"/>
      <c r="V26" s="6"/>
      <c r="W26" s="45"/>
      <c r="X26" s="6"/>
      <c r="Y26" s="306"/>
      <c r="Z26" s="6"/>
      <c r="AA26" s="310"/>
      <c r="AB26" s="303"/>
    </row>
    <row r="27" spans="3:28" ht="15" thickBot="1" x14ac:dyDescent="0.35">
      <c r="C27" s="1"/>
      <c r="D27" s="577" t="s">
        <v>46</v>
      </c>
      <c r="E27" s="578"/>
      <c r="F27" s="578"/>
      <c r="G27" s="578"/>
      <c r="H27" s="578"/>
      <c r="I27" s="155">
        <f>+I25+I26</f>
        <v>990381</v>
      </c>
      <c r="J27" s="135"/>
      <c r="K27" s="582">
        <v>961046</v>
      </c>
      <c r="L27" s="582"/>
      <c r="M27" s="146"/>
      <c r="N27" s="156">
        <f>+I27-K27</f>
        <v>29335</v>
      </c>
      <c r="O27" s="142"/>
      <c r="P27" s="96"/>
      <c r="Q27" s="96"/>
      <c r="R27" s="301"/>
      <c r="S27" s="304">
        <f t="shared" si="1"/>
        <v>43972</v>
      </c>
      <c r="T27" s="6"/>
      <c r="U27" s="305"/>
      <c r="V27" s="6"/>
      <c r="W27" s="45"/>
      <c r="X27" s="6"/>
      <c r="Y27" s="306"/>
      <c r="Z27" s="6"/>
      <c r="AA27" s="310"/>
      <c r="AB27" s="303"/>
    </row>
    <row r="28" spans="3:28" ht="15.6" thickTop="1" thickBot="1" x14ac:dyDescent="0.35">
      <c r="C28" s="10"/>
      <c r="D28" s="141"/>
      <c r="E28" s="579" t="s">
        <v>71</v>
      </c>
      <c r="F28" s="579"/>
      <c r="G28" s="579"/>
      <c r="H28" s="143"/>
      <c r="I28" s="282">
        <f>+I27/I32</f>
        <v>0.66727776576241515</v>
      </c>
      <c r="J28" s="146"/>
      <c r="K28" s="146"/>
      <c r="L28" s="146"/>
      <c r="M28" s="116"/>
      <c r="N28" s="168">
        <f>+N27/K27</f>
        <v>3.0524033188837996E-2</v>
      </c>
      <c r="O28" s="142"/>
      <c r="P28" s="1"/>
      <c r="Q28" s="1"/>
      <c r="R28" s="301"/>
      <c r="S28" s="304">
        <f t="shared" si="1"/>
        <v>43973</v>
      </c>
      <c r="T28" s="6"/>
      <c r="U28" s="305"/>
      <c r="V28" s="6"/>
      <c r="W28" s="45"/>
      <c r="X28" s="6"/>
      <c r="Y28" s="306"/>
      <c r="Z28" s="6"/>
      <c r="AA28" s="310"/>
      <c r="AB28" s="303"/>
    </row>
    <row r="29" spans="3:28" ht="15.6" thickTop="1" thickBot="1" x14ac:dyDescent="0.35">
      <c r="C29" s="10"/>
      <c r="D29" s="139"/>
      <c r="E29" s="144"/>
      <c r="F29" s="144"/>
      <c r="G29" s="144"/>
      <c r="H29" s="144"/>
      <c r="I29" s="145"/>
      <c r="J29" s="140"/>
      <c r="K29" s="149"/>
      <c r="L29" s="149"/>
      <c r="M29" s="149"/>
      <c r="N29" s="149"/>
      <c r="O29" s="150"/>
      <c r="P29" s="1"/>
      <c r="Q29" s="1"/>
      <c r="R29" s="301"/>
      <c r="S29" s="304">
        <f t="shared" si="1"/>
        <v>43974</v>
      </c>
      <c r="T29" s="6"/>
      <c r="U29" s="305"/>
      <c r="V29" s="6"/>
      <c r="W29" s="45"/>
      <c r="X29" s="6"/>
      <c r="Y29" s="306"/>
      <c r="Z29" s="6"/>
      <c r="AA29" s="310"/>
      <c r="AB29" s="30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R30" s="301"/>
      <c r="S30" s="304">
        <f t="shared" si="1"/>
        <v>43975</v>
      </c>
      <c r="T30" s="6"/>
      <c r="U30" s="305"/>
      <c r="V30" s="6"/>
      <c r="W30" s="45"/>
      <c r="X30" s="6"/>
      <c r="Y30" s="306"/>
      <c r="Z30" s="6"/>
      <c r="AA30" s="310"/>
      <c r="AB30" s="303"/>
    </row>
    <row r="31" spans="3:28" ht="16.2" thickBot="1" x14ac:dyDescent="0.35">
      <c r="C31" s="96"/>
      <c r="D31" s="280"/>
      <c r="E31" s="542" t="s">
        <v>116</v>
      </c>
      <c r="F31" s="543"/>
      <c r="G31" s="543"/>
      <c r="H31" s="543"/>
      <c r="I31" s="543"/>
      <c r="J31" s="544"/>
      <c r="K31" s="279"/>
      <c r="L31" s="278" t="s">
        <v>10</v>
      </c>
      <c r="M31" s="277"/>
      <c r="N31" s="276"/>
      <c r="O31" s="116"/>
      <c r="P31" s="96"/>
      <c r="Q31" s="96"/>
      <c r="R31" s="301"/>
      <c r="S31" s="304">
        <f t="shared" si="1"/>
        <v>43976</v>
      </c>
      <c r="T31" s="6"/>
      <c r="U31" s="305"/>
      <c r="V31" s="6"/>
      <c r="W31" s="45"/>
      <c r="X31" s="6"/>
      <c r="Y31" s="306"/>
      <c r="Z31" s="6"/>
      <c r="AA31" s="310"/>
      <c r="AB31" s="303"/>
    </row>
    <row r="32" spans="3:28" x14ac:dyDescent="0.3">
      <c r="C32" s="10"/>
      <c r="D32" s="267"/>
      <c r="E32" s="268" t="s">
        <v>90</v>
      </c>
      <c r="F32" s="24"/>
      <c r="G32" s="24"/>
      <c r="H32" s="24"/>
      <c r="I32" s="583">
        <f>+'Main Table'!H71</f>
        <v>1484211</v>
      </c>
      <c r="J32" s="583"/>
      <c r="K32" s="24"/>
      <c r="L32" s="25">
        <f>+I32/$I$32</f>
        <v>1</v>
      </c>
      <c r="M32" s="269"/>
      <c r="N32" s="96"/>
      <c r="O32" s="96"/>
      <c r="P32" s="96"/>
      <c r="Q32" s="96"/>
      <c r="R32" s="301"/>
      <c r="S32" s="304">
        <f t="shared" si="1"/>
        <v>43977</v>
      </c>
      <c r="T32" s="6"/>
      <c r="U32" s="305"/>
      <c r="V32" s="6"/>
      <c r="W32" s="45"/>
      <c r="X32" s="6"/>
      <c r="Y32" s="306"/>
      <c r="Z32" s="6"/>
      <c r="AA32" s="310"/>
      <c r="AB32" s="303"/>
    </row>
    <row r="33" spans="3:28" x14ac:dyDescent="0.3">
      <c r="C33" s="10"/>
      <c r="D33" s="267"/>
      <c r="E33" s="268"/>
      <c r="F33" s="24"/>
      <c r="G33" s="24"/>
      <c r="H33" s="24"/>
      <c r="I33" s="24"/>
      <c r="J33" s="24"/>
      <c r="K33" s="24"/>
      <c r="L33" s="24"/>
      <c r="M33" s="269"/>
      <c r="N33" s="96"/>
      <c r="O33" s="96"/>
      <c r="P33" s="96"/>
      <c r="Q33" s="96"/>
      <c r="R33" s="301"/>
      <c r="S33" s="304">
        <f t="shared" si="1"/>
        <v>43978</v>
      </c>
      <c r="T33" s="6"/>
      <c r="U33" s="305"/>
      <c r="V33" s="6"/>
      <c r="W33" s="45"/>
      <c r="X33" s="6"/>
      <c r="Y33" s="306"/>
      <c r="Z33" s="6"/>
      <c r="AA33" s="310"/>
      <c r="AB33" s="303"/>
    </row>
    <row r="34" spans="3:28" x14ac:dyDescent="0.3">
      <c r="D34" s="270"/>
      <c r="E34" s="22"/>
      <c r="F34" s="271" t="s">
        <v>115</v>
      </c>
      <c r="G34" s="271"/>
      <c r="H34" s="22"/>
      <c r="I34" s="538">
        <f>+I27</f>
        <v>990381</v>
      </c>
      <c r="J34" s="539"/>
      <c r="K34" s="22"/>
      <c r="L34" s="25">
        <f>+I34/$I$32</f>
        <v>0.66727776576241515</v>
      </c>
      <c r="M34" s="272"/>
      <c r="P34" s="240"/>
      <c r="Q34" s="240"/>
      <c r="R34" s="301"/>
      <c r="S34" s="304">
        <f t="shared" si="1"/>
        <v>43979</v>
      </c>
      <c r="T34" s="6"/>
      <c r="U34" s="305"/>
      <c r="V34" s="6"/>
      <c r="W34" s="45"/>
      <c r="X34" s="6"/>
      <c r="Y34" s="306"/>
      <c r="Z34" s="6"/>
      <c r="AA34" s="310"/>
      <c r="AB34" s="303"/>
    </row>
    <row r="35" spans="3:28" x14ac:dyDescent="0.3">
      <c r="D35" s="270"/>
      <c r="E35" s="22"/>
      <c r="F35" s="22" t="s">
        <v>91</v>
      </c>
      <c r="G35" s="22"/>
      <c r="H35" s="22"/>
      <c r="I35" s="545">
        <f>+I21</f>
        <v>88503</v>
      </c>
      <c r="J35" s="546"/>
      <c r="K35" s="22"/>
      <c r="L35" s="25">
        <f>+I35/$I$32</f>
        <v>5.9629661820320694E-2</v>
      </c>
      <c r="M35" s="272"/>
      <c r="P35" s="281"/>
      <c r="Q35" s="281"/>
      <c r="R35" s="301"/>
      <c r="S35" s="304">
        <f t="shared" si="1"/>
        <v>43980</v>
      </c>
      <c r="T35" s="6"/>
      <c r="U35" s="305"/>
      <c r="V35" s="6"/>
      <c r="W35" s="45"/>
      <c r="X35" s="6"/>
      <c r="Y35" s="306"/>
      <c r="Z35" s="6"/>
      <c r="AA35" s="310"/>
      <c r="AB35" s="303"/>
    </row>
    <row r="36" spans="3:28" ht="15" thickBot="1" x14ac:dyDescent="0.35">
      <c r="D36" s="270"/>
      <c r="E36" s="580" t="s">
        <v>116</v>
      </c>
      <c r="F36" s="580"/>
      <c r="G36" s="580"/>
      <c r="H36" s="283"/>
      <c r="I36" s="540">
        <f>+I32-I34-I35</f>
        <v>405327</v>
      </c>
      <c r="J36" s="541"/>
      <c r="K36" s="311"/>
      <c r="L36" s="284">
        <f>+I36/$I$32</f>
        <v>0.27309257241726415</v>
      </c>
      <c r="M36" s="272"/>
      <c r="R36" s="301"/>
      <c r="S36" s="304">
        <f t="shared" si="1"/>
        <v>43981</v>
      </c>
      <c r="T36" s="6"/>
      <c r="U36" s="305"/>
      <c r="V36" s="6"/>
      <c r="W36" s="45"/>
      <c r="X36" s="6"/>
      <c r="Y36" s="306"/>
      <c r="Z36" s="6"/>
      <c r="AA36" s="310"/>
      <c r="AB36" s="303"/>
    </row>
    <row r="37" spans="3:28" ht="15.6" thickTop="1" thickBot="1" x14ac:dyDescent="0.35">
      <c r="D37" s="273"/>
      <c r="E37" s="274"/>
      <c r="F37" s="274"/>
      <c r="G37" s="274"/>
      <c r="H37" s="274"/>
      <c r="I37" s="274"/>
      <c r="J37" s="274"/>
      <c r="K37" s="274"/>
      <c r="L37" s="274"/>
      <c r="M37" s="275"/>
      <c r="R37" s="301"/>
      <c r="S37" s="304">
        <f t="shared" si="1"/>
        <v>43982</v>
      </c>
      <c r="T37" s="6"/>
      <c r="U37" s="305"/>
      <c r="V37" s="6"/>
      <c r="W37" s="45"/>
      <c r="X37" s="6"/>
      <c r="Y37" s="306"/>
      <c r="Z37" s="6"/>
      <c r="AA37" s="310"/>
      <c r="AB37" s="303"/>
    </row>
    <row r="38" spans="3:28" x14ac:dyDescent="0.3">
      <c r="R38" s="301"/>
      <c r="S38" s="304">
        <f t="shared" si="1"/>
        <v>43983</v>
      </c>
      <c r="T38" s="6"/>
      <c r="U38" s="305"/>
      <c r="V38" s="6"/>
      <c r="W38" s="45"/>
      <c r="X38" s="6"/>
      <c r="Y38" s="306"/>
      <c r="Z38" s="6"/>
      <c r="AA38" s="310"/>
      <c r="AB38" s="303"/>
    </row>
    <row r="39" spans="3:28" ht="15" thickBot="1" x14ac:dyDescent="0.35">
      <c r="R39" s="301"/>
      <c r="S39" s="304">
        <f t="shared" si="1"/>
        <v>43984</v>
      </c>
      <c r="T39" s="6"/>
      <c r="U39" s="305"/>
      <c r="V39" s="6"/>
      <c r="W39" s="45"/>
      <c r="X39" s="6"/>
      <c r="Y39" s="306"/>
      <c r="Z39" s="6"/>
      <c r="AA39" s="310"/>
      <c r="AB39" s="303"/>
    </row>
    <row r="40" spans="3:28" ht="15" thickBot="1" x14ac:dyDescent="0.35">
      <c r="D40" s="568" t="s">
        <v>121</v>
      </c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70"/>
      <c r="R40" s="307"/>
      <c r="S40" s="409">
        <f t="shared" si="1"/>
        <v>43985</v>
      </c>
      <c r="T40" s="298"/>
      <c r="U40" s="410"/>
      <c r="V40" s="298"/>
      <c r="W40" s="308"/>
      <c r="X40" s="298"/>
      <c r="Y40" s="411"/>
      <c r="Z40" s="298"/>
      <c r="AA40" s="412"/>
      <c r="AB40" s="309"/>
    </row>
    <row r="41" spans="3:28" ht="15" thickBot="1" x14ac:dyDescent="0.35">
      <c r="D41" s="329"/>
      <c r="E41" s="571" t="s">
        <v>77</v>
      </c>
      <c r="F41" s="571"/>
      <c r="G41" s="571"/>
      <c r="H41" s="571"/>
      <c r="I41" s="312" t="s">
        <v>76</v>
      </c>
      <c r="J41" s="313"/>
      <c r="K41" s="572" t="s">
        <v>37</v>
      </c>
      <c r="L41" s="572"/>
      <c r="M41" s="314"/>
      <c r="N41" s="315" t="s">
        <v>75</v>
      </c>
      <c r="O41" s="330"/>
    </row>
    <row r="42" spans="3:28" x14ac:dyDescent="0.3">
      <c r="D42" s="331"/>
      <c r="E42" s="316" t="s">
        <v>43</v>
      </c>
      <c r="F42" s="317"/>
      <c r="G42" s="316"/>
      <c r="H42" s="316"/>
      <c r="I42" s="394">
        <v>19862</v>
      </c>
      <c r="J42" s="394"/>
      <c r="K42" s="395"/>
      <c r="L42" s="395"/>
      <c r="M42" s="395"/>
      <c r="N42" s="395"/>
      <c r="O42" s="323"/>
    </row>
    <row r="43" spans="3:28" x14ac:dyDescent="0.3">
      <c r="D43" s="331"/>
      <c r="E43" s="316" t="s">
        <v>44</v>
      </c>
      <c r="F43" s="316" t="s">
        <v>4</v>
      </c>
      <c r="G43" s="316"/>
      <c r="H43" s="316"/>
      <c r="I43" s="394">
        <v>1436</v>
      </c>
      <c r="J43" s="394"/>
      <c r="K43" s="395"/>
      <c r="L43" s="395"/>
      <c r="M43" s="395"/>
      <c r="N43" s="395"/>
      <c r="O43" s="323"/>
    </row>
    <row r="44" spans="3:28" x14ac:dyDescent="0.3">
      <c r="D44" s="331"/>
      <c r="E44" s="316"/>
      <c r="F44" s="316" t="s">
        <v>45</v>
      </c>
      <c r="G44" s="316"/>
      <c r="H44" s="316"/>
      <c r="I44" s="396">
        <v>1232</v>
      </c>
      <c r="J44" s="394"/>
      <c r="K44" s="395"/>
      <c r="L44" s="394"/>
      <c r="M44" s="395"/>
      <c r="N44" s="397"/>
      <c r="O44" s="323"/>
    </row>
    <row r="45" spans="3:28" x14ac:dyDescent="0.3">
      <c r="D45" s="331"/>
      <c r="E45" s="316"/>
      <c r="F45" s="320" t="s">
        <v>72</v>
      </c>
      <c r="G45" s="320"/>
      <c r="H45" s="320"/>
      <c r="I45" s="394">
        <f>+I42-I43-I44</f>
        <v>17194</v>
      </c>
      <c r="J45" s="394"/>
      <c r="K45" s="395"/>
      <c r="L45" s="395"/>
      <c r="M45" s="395"/>
      <c r="N45" s="395"/>
      <c r="O45" s="323"/>
    </row>
    <row r="46" spans="3:28" x14ac:dyDescent="0.3">
      <c r="D46" s="331"/>
      <c r="E46" s="316" t="s">
        <v>79</v>
      </c>
      <c r="F46" s="318"/>
      <c r="G46" s="318"/>
      <c r="H46" s="318"/>
      <c r="I46" s="396">
        <f>+'Main Table'!AF88</f>
        <v>0</v>
      </c>
      <c r="J46" s="394"/>
      <c r="K46" s="395"/>
      <c r="L46" s="395"/>
      <c r="M46" s="395"/>
      <c r="N46" s="395"/>
      <c r="O46" s="323"/>
    </row>
    <row r="47" spans="3:28" x14ac:dyDescent="0.3">
      <c r="D47" s="548" t="s">
        <v>49</v>
      </c>
      <c r="E47" s="549"/>
      <c r="F47" s="549"/>
      <c r="G47" s="549"/>
      <c r="H47" s="549"/>
      <c r="I47" s="321">
        <f>+I45-I46</f>
        <v>17194</v>
      </c>
      <c r="J47" s="394"/>
      <c r="K47" s="395"/>
      <c r="L47" s="395"/>
      <c r="M47" s="395"/>
      <c r="N47" s="395"/>
      <c r="O47" s="323"/>
    </row>
    <row r="48" spans="3:28" x14ac:dyDescent="0.3">
      <c r="D48" s="331"/>
      <c r="E48" s="316" t="s">
        <v>73</v>
      </c>
      <c r="F48" s="318"/>
      <c r="G48" s="318"/>
      <c r="H48" s="318"/>
      <c r="I48" s="396">
        <f>+I46</f>
        <v>0</v>
      </c>
      <c r="J48" s="394"/>
      <c r="K48" s="395"/>
      <c r="L48" s="395"/>
      <c r="M48" s="395"/>
      <c r="N48" s="395"/>
      <c r="O48" s="323"/>
    </row>
    <row r="49" spans="4:17" ht="15" thickBot="1" x14ac:dyDescent="0.35">
      <c r="D49" s="548" t="s">
        <v>46</v>
      </c>
      <c r="E49" s="549"/>
      <c r="F49" s="549"/>
      <c r="G49" s="549"/>
      <c r="H49" s="549"/>
      <c r="I49" s="398">
        <f>+I47+I48</f>
        <v>17194</v>
      </c>
      <c r="J49" s="394"/>
      <c r="K49" s="550">
        <v>25250</v>
      </c>
      <c r="L49" s="550"/>
      <c r="M49" s="395"/>
      <c r="N49" s="399">
        <f>+K49-I49</f>
        <v>8056</v>
      </c>
      <c r="O49" s="323"/>
      <c r="Q49" s="60"/>
    </row>
    <row r="50" spans="4:17" ht="15.6" thickTop="1" thickBot="1" x14ac:dyDescent="0.35">
      <c r="D50" s="322"/>
      <c r="E50" s="551" t="s">
        <v>71</v>
      </c>
      <c r="F50" s="551"/>
      <c r="G50" s="551"/>
      <c r="H50" s="320"/>
      <c r="I50" s="400">
        <f>+I49/K49</f>
        <v>0.680950495049505</v>
      </c>
      <c r="J50" s="395"/>
      <c r="K50" s="395"/>
      <c r="L50" s="395"/>
      <c r="M50" s="395"/>
      <c r="N50" s="401">
        <f>+N49/K49</f>
        <v>0.31904950495049506</v>
      </c>
      <c r="O50" s="323"/>
      <c r="Q50" s="60"/>
    </row>
    <row r="51" spans="4:17" ht="15.6" thickTop="1" thickBot="1" x14ac:dyDescent="0.35">
      <c r="D51" s="332"/>
      <c r="E51" s="333"/>
      <c r="F51" s="333"/>
      <c r="G51" s="333"/>
      <c r="H51" s="333"/>
      <c r="I51" s="402"/>
      <c r="J51" s="403"/>
      <c r="K51" s="404"/>
      <c r="L51" s="404"/>
      <c r="M51" s="404"/>
      <c r="N51" s="404"/>
      <c r="O51" s="326"/>
    </row>
    <row r="52" spans="4:17" ht="15" thickBot="1" x14ac:dyDescent="0.35">
      <c r="D52" s="96"/>
      <c r="E52" s="158"/>
      <c r="F52" s="158"/>
      <c r="G52" s="158"/>
      <c r="H52" s="158"/>
      <c r="I52" s="367"/>
      <c r="J52" s="96"/>
      <c r="K52" s="116"/>
      <c r="L52" s="116"/>
      <c r="M52" s="373"/>
      <c r="N52" s="116"/>
      <c r="O52" s="116"/>
      <c r="P52" s="65"/>
    </row>
    <row r="53" spans="4:17" ht="16.2" thickBot="1" x14ac:dyDescent="0.35">
      <c r="D53" s="374"/>
      <c r="E53" s="552" t="s">
        <v>120</v>
      </c>
      <c r="F53" s="553"/>
      <c r="G53" s="553"/>
      <c r="H53" s="553"/>
      <c r="I53" s="553"/>
      <c r="J53" s="554"/>
      <c r="K53" s="375"/>
      <c r="L53" s="378" t="s">
        <v>10</v>
      </c>
      <c r="M53" s="377"/>
      <c r="N53" s="116"/>
      <c r="O53" s="116"/>
      <c r="P53" s="65"/>
    </row>
    <row r="54" spans="4:17" x14ac:dyDescent="0.3">
      <c r="D54" s="331"/>
      <c r="E54" s="368" t="s">
        <v>90</v>
      </c>
      <c r="F54" s="318"/>
      <c r="G54" s="318"/>
      <c r="H54" s="318"/>
      <c r="I54" s="555">
        <f>+K49</f>
        <v>25250</v>
      </c>
      <c r="J54" s="555"/>
      <c r="K54" s="318"/>
      <c r="L54" s="369">
        <f>+I54/$I$54</f>
        <v>1</v>
      </c>
      <c r="M54" s="376"/>
      <c r="N54" s="116"/>
      <c r="O54" s="116"/>
      <c r="P54" s="65"/>
    </row>
    <row r="55" spans="4:17" x14ac:dyDescent="0.3">
      <c r="D55" s="331"/>
      <c r="E55" s="368"/>
      <c r="F55" s="318"/>
      <c r="G55" s="318"/>
      <c r="H55" s="318"/>
      <c r="I55" s="318"/>
      <c r="J55" s="318"/>
      <c r="K55" s="318"/>
      <c r="L55" s="318"/>
      <c r="M55" s="376"/>
      <c r="N55" s="116"/>
      <c r="O55" s="116"/>
      <c r="P55" s="65"/>
    </row>
    <row r="56" spans="4:17" x14ac:dyDescent="0.3">
      <c r="D56" s="322"/>
      <c r="E56" s="319"/>
      <c r="F56" s="370" t="s">
        <v>115</v>
      </c>
      <c r="G56" s="370"/>
      <c r="H56" s="319"/>
      <c r="I56" s="556">
        <f>+I49</f>
        <v>17194</v>
      </c>
      <c r="J56" s="557"/>
      <c r="K56" s="319"/>
      <c r="L56" s="369">
        <f>+I56/$I$54</f>
        <v>0.680950495049505</v>
      </c>
      <c r="M56" s="323"/>
      <c r="N56" s="116"/>
      <c r="O56" s="116"/>
      <c r="P56" s="65"/>
    </row>
    <row r="57" spans="4:17" x14ac:dyDescent="0.3">
      <c r="D57" s="322"/>
      <c r="E57" s="319"/>
      <c r="F57" s="319" t="s">
        <v>91</v>
      </c>
      <c r="G57" s="319"/>
      <c r="H57" s="319"/>
      <c r="I57" s="558">
        <f>+I43</f>
        <v>1436</v>
      </c>
      <c r="J57" s="559"/>
      <c r="K57" s="319"/>
      <c r="L57" s="369">
        <f>+I57/$I$54</f>
        <v>5.6871287128712873E-2</v>
      </c>
      <c r="M57" s="323"/>
      <c r="N57" s="116"/>
      <c r="O57" s="116"/>
      <c r="P57" s="65"/>
    </row>
    <row r="58" spans="4:17" ht="15" thickBot="1" x14ac:dyDescent="0.35">
      <c r="D58" s="322"/>
      <c r="E58" s="560" t="s">
        <v>116</v>
      </c>
      <c r="F58" s="560"/>
      <c r="G58" s="560"/>
      <c r="H58" s="319"/>
      <c r="I58" s="561">
        <f>+I54-I56-I57</f>
        <v>6620</v>
      </c>
      <c r="J58" s="562"/>
      <c r="K58" s="371"/>
      <c r="L58" s="372">
        <f>+I58/$I$54</f>
        <v>0.26217821782178219</v>
      </c>
      <c r="M58" s="323"/>
      <c r="N58" s="116"/>
      <c r="O58" s="116"/>
      <c r="P58" s="164">
        <f>+I58-I44</f>
        <v>5388</v>
      </c>
    </row>
    <row r="59" spans="4:17" ht="15" thickTop="1" x14ac:dyDescent="0.3">
      <c r="D59" s="322"/>
      <c r="E59" s="390"/>
      <c r="F59" s="390"/>
      <c r="G59" s="390"/>
      <c r="H59" s="319"/>
      <c r="I59" s="391"/>
      <c r="J59" s="390"/>
      <c r="K59" s="371"/>
      <c r="L59" s="392"/>
      <c r="M59" s="323"/>
      <c r="N59" s="116"/>
      <c r="O59" s="116"/>
      <c r="P59" s="65"/>
    </row>
    <row r="60" spans="4:17" ht="15" thickBot="1" x14ac:dyDescent="0.35">
      <c r="D60" s="324"/>
      <c r="E60" s="325"/>
      <c r="F60" s="325"/>
      <c r="G60" s="325"/>
      <c r="H60" s="325"/>
      <c r="I60" s="325"/>
      <c r="J60" s="325"/>
      <c r="K60" s="325"/>
      <c r="L60" s="325"/>
      <c r="M60" s="326"/>
      <c r="N60" s="116"/>
      <c r="O60" s="116"/>
      <c r="P60" s="65"/>
    </row>
    <row r="61" spans="4:17" ht="15" thickBot="1" x14ac:dyDescent="0.35"/>
    <row r="62" spans="4:17" ht="15" thickBot="1" x14ac:dyDescent="0.35">
      <c r="E62" s="552" t="s">
        <v>119</v>
      </c>
      <c r="F62" s="553"/>
      <c r="G62" s="553"/>
      <c r="H62" s="553"/>
      <c r="I62" s="553"/>
      <c r="J62" s="553"/>
      <c r="K62" s="553"/>
      <c r="L62" s="553"/>
      <c r="M62" s="554"/>
      <c r="P62" s="384">
        <f>+I54/P63</f>
        <v>215.99657827202736</v>
      </c>
    </row>
    <row r="63" spans="4:17" x14ac:dyDescent="0.3">
      <c r="E63" s="379"/>
      <c r="F63" s="327" t="s">
        <v>111</v>
      </c>
      <c r="G63" s="327"/>
      <c r="H63" s="327"/>
      <c r="I63" s="547">
        <v>11690000</v>
      </c>
      <c r="J63" s="547"/>
      <c r="K63" s="547"/>
      <c r="L63" s="547"/>
      <c r="M63" s="380"/>
      <c r="P63">
        <f>+I63/100000</f>
        <v>116.9</v>
      </c>
    </row>
    <row r="64" spans="4:17" x14ac:dyDescent="0.3">
      <c r="E64" s="379"/>
      <c r="F64" s="327" t="s">
        <v>112</v>
      </c>
      <c r="G64" s="327"/>
      <c r="H64" s="327"/>
      <c r="I64" s="327"/>
      <c r="J64" s="327"/>
      <c r="K64" s="327"/>
      <c r="L64" s="328">
        <f>+I58/I63</f>
        <v>5.6629597946963222E-4</v>
      </c>
      <c r="M64" s="380"/>
    </row>
    <row r="65" spans="4:15" x14ac:dyDescent="0.3">
      <c r="E65" s="379"/>
      <c r="F65" s="563" t="s">
        <v>110</v>
      </c>
      <c r="G65" s="563"/>
      <c r="H65" s="327"/>
      <c r="I65" s="327"/>
      <c r="J65" s="327"/>
      <c r="K65" s="327"/>
      <c r="L65" s="393">
        <f>+I58/(I63/100000)</f>
        <v>56.629597946963216</v>
      </c>
      <c r="M65" s="380"/>
    </row>
    <row r="66" spans="4:15" ht="15" thickBot="1" x14ac:dyDescent="0.35">
      <c r="E66" s="381"/>
      <c r="F66" s="382"/>
      <c r="G66" s="382"/>
      <c r="H66" s="382"/>
      <c r="I66" s="382"/>
      <c r="J66" s="382"/>
      <c r="K66" s="382"/>
      <c r="L66" s="382"/>
      <c r="M66" s="383"/>
    </row>
    <row r="69" spans="4:15" ht="15" thickBot="1" x14ac:dyDescent="0.35"/>
    <row r="70" spans="4:15" ht="15" thickBot="1" x14ac:dyDescent="0.35">
      <c r="D70" s="530" t="s">
        <v>123</v>
      </c>
      <c r="E70" s="531"/>
      <c r="F70" s="531"/>
      <c r="G70" s="531"/>
      <c r="H70" s="531"/>
      <c r="I70" s="531"/>
      <c r="J70" s="531"/>
      <c r="K70" s="531"/>
      <c r="L70" s="531"/>
      <c r="M70" s="531"/>
      <c r="N70" s="531"/>
      <c r="O70" s="532"/>
    </row>
    <row r="71" spans="4:15" ht="15" thickBot="1" x14ac:dyDescent="0.35">
      <c r="D71" s="413"/>
      <c r="E71" s="533" t="s">
        <v>77</v>
      </c>
      <c r="F71" s="533"/>
      <c r="G71" s="533"/>
      <c r="H71" s="533"/>
      <c r="I71" s="414" t="s">
        <v>76</v>
      </c>
      <c r="J71" s="415"/>
      <c r="K71" s="534" t="s">
        <v>37</v>
      </c>
      <c r="L71" s="534"/>
      <c r="M71" s="416"/>
      <c r="N71" s="417" t="s">
        <v>75</v>
      </c>
      <c r="O71" s="418"/>
    </row>
    <row r="72" spans="4:15" x14ac:dyDescent="0.3">
      <c r="D72" s="419"/>
      <c r="E72" s="420" t="s">
        <v>43</v>
      </c>
      <c r="F72" s="421"/>
      <c r="G72" s="420"/>
      <c r="H72" s="420"/>
      <c r="I72" s="422">
        <v>33193</v>
      </c>
      <c r="J72" s="422"/>
      <c r="K72" s="423"/>
      <c r="L72" s="423"/>
      <c r="M72" s="423"/>
      <c r="N72" s="423"/>
      <c r="O72" s="424"/>
    </row>
    <row r="73" spans="4:15" x14ac:dyDescent="0.3">
      <c r="D73" s="419"/>
      <c r="E73" s="420" t="s">
        <v>44</v>
      </c>
      <c r="F73" s="420" t="s">
        <v>4</v>
      </c>
      <c r="G73" s="420"/>
      <c r="H73" s="420"/>
      <c r="I73" s="422">
        <v>1827</v>
      </c>
      <c r="J73" s="422"/>
      <c r="K73" s="423"/>
      <c r="L73" s="423"/>
      <c r="M73" s="423"/>
      <c r="N73" s="423"/>
      <c r="O73" s="424"/>
    </row>
    <row r="74" spans="4:15" x14ac:dyDescent="0.3">
      <c r="D74" s="419"/>
      <c r="E74" s="420"/>
      <c r="F74" s="420" t="s">
        <v>45</v>
      </c>
      <c r="G74" s="420"/>
      <c r="H74" s="420"/>
      <c r="I74" s="425"/>
      <c r="J74" s="422"/>
      <c r="K74" s="423"/>
      <c r="L74" s="422"/>
      <c r="M74" s="423"/>
      <c r="N74" s="426"/>
      <c r="O74" s="424"/>
    </row>
    <row r="75" spans="4:15" x14ac:dyDescent="0.3">
      <c r="D75" s="419"/>
      <c r="E75" s="420"/>
      <c r="F75" s="427" t="s">
        <v>72</v>
      </c>
      <c r="G75" s="427"/>
      <c r="H75" s="427"/>
      <c r="I75" s="422">
        <f>+I72-I73-I74</f>
        <v>31366</v>
      </c>
      <c r="J75" s="422"/>
      <c r="K75" s="423"/>
      <c r="L75" s="423"/>
      <c r="M75" s="423"/>
      <c r="N75" s="423"/>
      <c r="O75" s="424"/>
    </row>
    <row r="76" spans="4:15" x14ac:dyDescent="0.3">
      <c r="D76" s="419"/>
      <c r="E76" s="420" t="s">
        <v>79</v>
      </c>
      <c r="F76" s="16"/>
      <c r="G76" s="16"/>
      <c r="H76" s="16"/>
      <c r="I76" s="425">
        <f>+'Main Table'!AF118</f>
        <v>0</v>
      </c>
      <c r="J76" s="422"/>
      <c r="K76" s="423"/>
      <c r="L76" s="423"/>
      <c r="M76" s="423"/>
      <c r="N76" s="423"/>
      <c r="O76" s="424"/>
    </row>
    <row r="77" spans="4:15" x14ac:dyDescent="0.3">
      <c r="D77" s="535" t="s">
        <v>49</v>
      </c>
      <c r="E77" s="536"/>
      <c r="F77" s="536"/>
      <c r="G77" s="536"/>
      <c r="H77" s="536"/>
      <c r="I77" s="428">
        <f>+I75-I76</f>
        <v>31366</v>
      </c>
      <c r="J77" s="422"/>
      <c r="K77" s="423"/>
      <c r="L77" s="423"/>
      <c r="M77" s="423"/>
      <c r="N77" s="423"/>
      <c r="O77" s="424"/>
    </row>
    <row r="78" spans="4:15" x14ac:dyDescent="0.3">
      <c r="D78" s="419"/>
      <c r="E78" s="420" t="s">
        <v>73</v>
      </c>
      <c r="F78" s="16"/>
      <c r="G78" s="16"/>
      <c r="H78" s="16"/>
      <c r="I78" s="425">
        <f>+I76</f>
        <v>0</v>
      </c>
      <c r="J78" s="422"/>
      <c r="K78" s="423"/>
      <c r="L78" s="423"/>
      <c r="M78" s="423"/>
      <c r="N78" s="423"/>
      <c r="O78" s="424"/>
    </row>
    <row r="79" spans="4:15" ht="15" thickBot="1" x14ac:dyDescent="0.35">
      <c r="D79" s="535" t="s">
        <v>46</v>
      </c>
      <c r="E79" s="536"/>
      <c r="F79" s="536"/>
      <c r="G79" s="536"/>
      <c r="H79" s="536"/>
      <c r="I79" s="429">
        <f>+I77+I78</f>
        <v>31366</v>
      </c>
      <c r="J79" s="422"/>
      <c r="K79" s="537">
        <v>42402</v>
      </c>
      <c r="L79" s="537"/>
      <c r="M79" s="423"/>
      <c r="N79" s="430">
        <f>+K79-I79</f>
        <v>11036</v>
      </c>
      <c r="O79" s="424"/>
    </row>
    <row r="80" spans="4:15" ht="15.6" thickTop="1" thickBot="1" x14ac:dyDescent="0.35">
      <c r="D80" s="431"/>
      <c r="E80" s="521" t="s">
        <v>71</v>
      </c>
      <c r="F80" s="521"/>
      <c r="G80" s="521"/>
      <c r="H80" s="427"/>
      <c r="I80" s="432">
        <f>+I79/K79</f>
        <v>0.73972925805386536</v>
      </c>
      <c r="J80" s="423"/>
      <c r="K80" s="423"/>
      <c r="L80" s="423"/>
      <c r="M80" s="423"/>
      <c r="N80" s="433">
        <f>+N79/K79</f>
        <v>0.26027074194613464</v>
      </c>
      <c r="O80" s="424"/>
    </row>
    <row r="81" spans="4:15" ht="15.6" thickTop="1" thickBot="1" x14ac:dyDescent="0.35">
      <c r="D81" s="434"/>
      <c r="E81" s="435"/>
      <c r="F81" s="435"/>
      <c r="G81" s="435"/>
      <c r="H81" s="435"/>
      <c r="I81" s="436"/>
      <c r="J81" s="437"/>
      <c r="K81" s="438"/>
      <c r="L81" s="438"/>
      <c r="M81" s="438"/>
      <c r="N81" s="438"/>
      <c r="O81" s="439"/>
    </row>
    <row r="82" spans="4:15" ht="15" thickBot="1" x14ac:dyDescent="0.35">
      <c r="D82" s="96"/>
      <c r="E82" s="158"/>
      <c r="F82" s="158"/>
      <c r="G82" s="158"/>
      <c r="H82" s="158"/>
      <c r="I82" s="367"/>
      <c r="J82" s="96"/>
      <c r="K82" s="116"/>
      <c r="L82" s="116"/>
      <c r="M82" s="373"/>
      <c r="N82" s="116"/>
      <c r="O82" s="116"/>
    </row>
    <row r="83" spans="4:15" ht="16.2" thickBot="1" x14ac:dyDescent="0.35">
      <c r="D83" s="440"/>
      <c r="E83" s="522" t="s">
        <v>124</v>
      </c>
      <c r="F83" s="523"/>
      <c r="G83" s="523"/>
      <c r="H83" s="523"/>
      <c r="I83" s="523"/>
      <c r="J83" s="524"/>
      <c r="K83" s="441"/>
      <c r="L83" s="453" t="s">
        <v>10</v>
      </c>
      <c r="M83" s="442"/>
      <c r="N83" s="116"/>
      <c r="O83" s="116"/>
    </row>
    <row r="84" spans="4:15" x14ac:dyDescent="0.3">
      <c r="D84" s="419"/>
      <c r="E84" s="443" t="s">
        <v>90</v>
      </c>
      <c r="F84" s="16"/>
      <c r="G84" s="16"/>
      <c r="H84" s="16"/>
      <c r="I84" s="525">
        <f>+K79</f>
        <v>42402</v>
      </c>
      <c r="J84" s="525"/>
      <c r="K84" s="16"/>
      <c r="L84" s="64">
        <f>+I84/$I$84</f>
        <v>1</v>
      </c>
      <c r="M84" s="444"/>
      <c r="N84" s="116"/>
      <c r="O84" s="116"/>
    </row>
    <row r="85" spans="4:15" x14ac:dyDescent="0.3">
      <c r="D85" s="419"/>
      <c r="E85" s="443"/>
      <c r="F85" s="16"/>
      <c r="G85" s="16"/>
      <c r="H85" s="16"/>
      <c r="I85" s="16"/>
      <c r="J85" s="16"/>
      <c r="K85" s="16"/>
      <c r="L85" s="16"/>
      <c r="M85" s="444"/>
      <c r="N85" s="116"/>
      <c r="O85" s="116"/>
    </row>
    <row r="86" spans="4:15" x14ac:dyDescent="0.3">
      <c r="D86" s="431"/>
      <c r="E86" s="15"/>
      <c r="F86" s="445" t="s">
        <v>115</v>
      </c>
      <c r="G86" s="445"/>
      <c r="H86" s="15"/>
      <c r="I86" s="526">
        <f>+I79</f>
        <v>31366</v>
      </c>
      <c r="J86" s="527"/>
      <c r="K86" s="15"/>
      <c r="L86" s="64">
        <f>+I86/$I$84</f>
        <v>0.73972925805386536</v>
      </c>
      <c r="M86" s="424"/>
      <c r="N86" s="116"/>
      <c r="O86" s="116"/>
    </row>
    <row r="87" spans="4:15" x14ac:dyDescent="0.3">
      <c r="D87" s="431"/>
      <c r="E87" s="15"/>
      <c r="F87" s="15" t="s">
        <v>91</v>
      </c>
      <c r="G87" s="15"/>
      <c r="H87" s="15"/>
      <c r="I87" s="528">
        <f>+I73</f>
        <v>1827</v>
      </c>
      <c r="J87" s="529"/>
      <c r="K87" s="15"/>
      <c r="L87" s="64">
        <f>+I87/$I$84</f>
        <v>4.3087590208009056E-2</v>
      </c>
      <c r="M87" s="424"/>
      <c r="N87" s="116"/>
      <c r="O87" s="116"/>
    </row>
    <row r="88" spans="4:15" ht="15" thickBot="1" x14ac:dyDescent="0.35">
      <c r="D88" s="431"/>
      <c r="E88" s="514" t="s">
        <v>116</v>
      </c>
      <c r="F88" s="514"/>
      <c r="G88" s="514"/>
      <c r="H88" s="15"/>
      <c r="I88" s="515">
        <f>+I84-I86-I87</f>
        <v>9209</v>
      </c>
      <c r="J88" s="516"/>
      <c r="K88" s="446"/>
      <c r="L88" s="447">
        <f>+I88/$I$84</f>
        <v>0.21718315173812555</v>
      </c>
      <c r="M88" s="424"/>
      <c r="N88" s="116"/>
      <c r="O88" s="116"/>
    </row>
    <row r="89" spans="4:15" ht="15" thickTop="1" x14ac:dyDescent="0.3">
      <c r="D89" s="431"/>
      <c r="E89" s="448"/>
      <c r="F89" s="448"/>
      <c r="G89" s="448"/>
      <c r="H89" s="15"/>
      <c r="I89" s="449"/>
      <c r="J89" s="448"/>
      <c r="K89" s="446"/>
      <c r="L89" s="450"/>
      <c r="M89" s="424"/>
      <c r="N89" s="116"/>
      <c r="O89" s="116"/>
    </row>
    <row r="90" spans="4:15" ht="15" thickBot="1" x14ac:dyDescent="0.35">
      <c r="D90" s="451"/>
      <c r="E90" s="452"/>
      <c r="F90" s="452"/>
      <c r="G90" s="452"/>
      <c r="H90" s="452"/>
      <c r="I90" s="452"/>
      <c r="J90" s="452"/>
      <c r="K90" s="452"/>
      <c r="L90" s="452"/>
      <c r="M90" s="439"/>
      <c r="N90" s="116"/>
      <c r="O90" s="116"/>
    </row>
    <row r="91" spans="4:15" ht="15" thickBot="1" x14ac:dyDescent="0.35"/>
    <row r="92" spans="4:15" ht="15" thickBot="1" x14ac:dyDescent="0.35">
      <c r="E92" s="517" t="s">
        <v>125</v>
      </c>
      <c r="F92" s="518"/>
      <c r="G92" s="518"/>
      <c r="H92" s="518"/>
      <c r="I92" s="518"/>
      <c r="J92" s="518"/>
      <c r="K92" s="518"/>
      <c r="L92" s="518"/>
      <c r="M92" s="519"/>
    </row>
    <row r="93" spans="4:15" x14ac:dyDescent="0.3">
      <c r="E93" s="454"/>
      <c r="F93" s="455" t="s">
        <v>126</v>
      </c>
      <c r="G93" s="455"/>
      <c r="H93" s="455"/>
      <c r="I93" s="520">
        <v>21477737</v>
      </c>
      <c r="J93" s="520"/>
      <c r="K93" s="520"/>
      <c r="L93" s="520"/>
      <c r="M93" s="456"/>
    </row>
    <row r="94" spans="4:15" x14ac:dyDescent="0.3">
      <c r="E94" s="454"/>
      <c r="F94" s="455" t="s">
        <v>112</v>
      </c>
      <c r="G94" s="455"/>
      <c r="H94" s="455"/>
      <c r="I94" s="455"/>
      <c r="J94" s="455"/>
      <c r="K94" s="455"/>
      <c r="L94" s="457">
        <f>+I88/I93</f>
        <v>4.2876956729659182E-4</v>
      </c>
      <c r="M94" s="456"/>
    </row>
    <row r="95" spans="4:15" x14ac:dyDescent="0.3">
      <c r="E95" s="454"/>
      <c r="F95" s="513" t="s">
        <v>110</v>
      </c>
      <c r="G95" s="513"/>
      <c r="H95" s="455"/>
      <c r="I95" s="455"/>
      <c r="J95" s="455"/>
      <c r="K95" s="455"/>
      <c r="L95" s="458">
        <f>+I88/(I93/100000)</f>
        <v>42.876956729659184</v>
      </c>
      <c r="M95" s="456"/>
    </row>
    <row r="96" spans="4:15" x14ac:dyDescent="0.3">
      <c r="E96" s="454"/>
      <c r="F96" s="459"/>
      <c r="G96" s="459"/>
      <c r="H96" s="455"/>
      <c r="I96" s="455"/>
      <c r="J96" s="455"/>
      <c r="K96" s="455"/>
      <c r="L96" s="458"/>
      <c r="M96" s="456"/>
    </row>
    <row r="97" spans="5:13" x14ac:dyDescent="0.3">
      <c r="E97" s="454"/>
      <c r="F97" s="459" t="s">
        <v>127</v>
      </c>
      <c r="G97" s="459"/>
      <c r="H97" s="513" t="s">
        <v>128</v>
      </c>
      <c r="I97" s="513"/>
      <c r="J97" s="455"/>
      <c r="K97" s="455"/>
      <c r="L97" s="458"/>
      <c r="M97" s="456"/>
    </row>
    <row r="98" spans="5:13" ht="15" thickBot="1" x14ac:dyDescent="0.35">
      <c r="E98" s="460"/>
      <c r="F98" s="461"/>
      <c r="G98" s="461"/>
      <c r="H98" s="461"/>
      <c r="I98" s="461"/>
      <c r="J98" s="461"/>
      <c r="K98" s="461"/>
      <c r="L98" s="461"/>
      <c r="M98" s="462"/>
    </row>
  </sheetData>
  <mergeCells count="48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D70:O70"/>
    <mergeCell ref="E71:H71"/>
    <mergeCell ref="K71:L71"/>
    <mergeCell ref="D77:H77"/>
    <mergeCell ref="D79:H79"/>
    <mergeCell ref="K79:L79"/>
    <mergeCell ref="E80:G80"/>
    <mergeCell ref="E83:J83"/>
    <mergeCell ref="I84:J84"/>
    <mergeCell ref="I86:J86"/>
    <mergeCell ref="I87:J87"/>
    <mergeCell ref="H97:I97"/>
    <mergeCell ref="E88:G88"/>
    <mergeCell ref="I88:J88"/>
    <mergeCell ref="E92:M92"/>
    <mergeCell ref="I93:L93"/>
    <mergeCell ref="F95:G9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8" t="s">
        <v>5</v>
      </c>
      <c r="C1" s="478"/>
      <c r="D1" s="478"/>
    </row>
    <row r="2" spans="2:31" ht="15.6" x14ac:dyDescent="0.3">
      <c r="B2" s="478" t="s">
        <v>6</v>
      </c>
      <c r="C2" s="478"/>
      <c r="D2" s="478"/>
    </row>
    <row r="3" spans="2:31" ht="15.6" x14ac:dyDescent="0.3">
      <c r="B3" s="264" t="s">
        <v>13</v>
      </c>
      <c r="C3" s="264"/>
      <c r="D3" s="174"/>
    </row>
    <row r="4" spans="2:31" ht="15.6" x14ac:dyDescent="0.3">
      <c r="B4" s="175"/>
      <c r="C4" s="175"/>
      <c r="D4" s="174"/>
    </row>
    <row r="5" spans="2:31" ht="15.6" x14ac:dyDescent="0.3">
      <c r="B5" s="175"/>
      <c r="C5" s="175"/>
      <c r="D5" s="174" t="s">
        <v>85</v>
      </c>
      <c r="F5" s="265" t="s">
        <v>86</v>
      </c>
    </row>
    <row r="6" spans="2:31" ht="15.6" x14ac:dyDescent="0.3">
      <c r="B6" s="175"/>
      <c r="C6" s="175"/>
      <c r="D6" s="174"/>
      <c r="F6" t="s">
        <v>89</v>
      </c>
    </row>
    <row r="7" spans="2:31" ht="15.6" x14ac:dyDescent="0.3">
      <c r="B7" s="175"/>
      <c r="C7" s="175"/>
      <c r="D7" s="174"/>
      <c r="F7" s="265" t="s">
        <v>88</v>
      </c>
    </row>
    <row r="8" spans="2:31" ht="15.6" x14ac:dyDescent="0.3">
      <c r="B8" s="175"/>
      <c r="C8" s="175"/>
      <c r="D8" s="174"/>
      <c r="F8" s="265" t="s">
        <v>87</v>
      </c>
    </row>
    <row r="9" spans="2:31" ht="15.6" x14ac:dyDescent="0.3">
      <c r="B9" s="175"/>
      <c r="C9" s="175"/>
      <c r="D9" s="174"/>
      <c r="F9" s="265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585" t="s">
        <v>23</v>
      </c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7"/>
      <c r="V12" s="63"/>
    </row>
    <row r="13" spans="2:31" ht="15" thickBot="1" x14ac:dyDescent="0.35">
      <c r="D13" s="234" t="s">
        <v>19</v>
      </c>
      <c r="E13" s="82"/>
      <c r="F13" s="235" t="s">
        <v>20</v>
      </c>
      <c r="G13" s="83"/>
      <c r="H13" s="83"/>
      <c r="I13" s="83"/>
      <c r="J13" s="236" t="s">
        <v>21</v>
      </c>
      <c r="K13" s="83"/>
      <c r="L13" s="235" t="s">
        <v>18</v>
      </c>
      <c r="M13" s="84"/>
      <c r="N13" s="84"/>
      <c r="O13" s="84"/>
      <c r="P13" s="235" t="s">
        <v>20</v>
      </c>
      <c r="Q13" s="84"/>
      <c r="R13" s="84"/>
      <c r="S13" s="84"/>
      <c r="T13" s="235" t="s">
        <v>22</v>
      </c>
      <c r="U13" s="237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39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39">
        <f>+'Main Table'!J71</f>
        <v>1.826091490497354E-2</v>
      </c>
      <c r="U14" s="237"/>
      <c r="V14" s="1"/>
      <c r="X14" s="241"/>
      <c r="Y14" s="584" t="s">
        <v>63</v>
      </c>
      <c r="Z14" s="584"/>
      <c r="AA14" s="584"/>
      <c r="AB14" s="584"/>
      <c r="AC14" s="584"/>
      <c r="AD14" s="242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9" si="2">+J14</f>
        <v>0.25251059213323362</v>
      </c>
      <c r="K15" s="87"/>
      <c r="L15" s="87">
        <f t="shared" ref="L15:L59" si="3">+L14+1</f>
        <v>1</v>
      </c>
      <c r="M15" s="87"/>
      <c r="N15" s="87"/>
      <c r="O15" s="87"/>
      <c r="P15" s="87">
        <f t="shared" ref="P15:P49" si="4">+P14*(1+T14)</f>
        <v>86995.121264906411</v>
      </c>
      <c r="Q15" s="87"/>
      <c r="R15" s="87"/>
      <c r="S15" s="87"/>
      <c r="T15" s="88">
        <f t="shared" ref="T15:T59" si="5">+T14</f>
        <v>1.826091490497354E-2</v>
      </c>
      <c r="U15" s="237"/>
      <c r="V15" s="1"/>
      <c r="X15" s="243"/>
      <c r="Y15" s="244" t="s">
        <v>64</v>
      </c>
      <c r="Z15" s="245"/>
      <c r="AA15" s="244" t="s">
        <v>65</v>
      </c>
      <c r="AB15" s="246"/>
      <c r="AC15" s="247" t="s">
        <v>10</v>
      </c>
      <c r="AD15" s="248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88583.731771472711</v>
      </c>
      <c r="Q16" s="87"/>
      <c r="R16" s="87"/>
      <c r="S16" s="87"/>
      <c r="T16" s="88">
        <f t="shared" si="5"/>
        <v>1.826091490497354E-2</v>
      </c>
      <c r="U16" s="237"/>
      <c r="V16" s="1"/>
      <c r="X16" s="243"/>
      <c r="Y16" s="249" t="s">
        <v>60</v>
      </c>
      <c r="Z16" s="249"/>
      <c r="AA16" s="250">
        <v>330</v>
      </c>
      <c r="AB16" s="249"/>
      <c r="AC16" s="251">
        <f>+AA16/AA16</f>
        <v>1</v>
      </c>
      <c r="AD16" s="248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90201.351759316574</v>
      </c>
      <c r="Q17" s="87"/>
      <c r="R17" s="87"/>
      <c r="S17" s="87"/>
      <c r="T17" s="88">
        <f t="shared" si="5"/>
        <v>1.826091490497354E-2</v>
      </c>
      <c r="U17" s="237"/>
      <c r="V17" s="1"/>
      <c r="X17" s="243"/>
      <c r="Y17" s="252" t="s">
        <v>62</v>
      </c>
      <c r="Z17" s="249"/>
      <c r="AA17" s="253">
        <v>53.42</v>
      </c>
      <c r="AB17" s="249"/>
      <c r="AC17" s="251">
        <f>+AA17/AA16</f>
        <v>0.16187878787878787</v>
      </c>
      <c r="AD17" s="248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91848.510968107032</v>
      </c>
      <c r="Q18" s="87"/>
      <c r="R18" s="87"/>
      <c r="S18" s="87"/>
      <c r="T18" s="88">
        <f t="shared" si="5"/>
        <v>1.826091490497354E-2</v>
      </c>
      <c r="U18" s="237"/>
      <c r="V18" s="1"/>
      <c r="X18" s="243"/>
      <c r="Y18" s="254" t="s">
        <v>66</v>
      </c>
      <c r="Z18" s="254"/>
      <c r="AA18" s="250">
        <f>+AC18*AA17</f>
        <v>11.37846</v>
      </c>
      <c r="AB18" s="249"/>
      <c r="AC18" s="251">
        <v>0.21299999999999999</v>
      </c>
      <c r="AD18" s="248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93525.748811044163</v>
      </c>
      <c r="Q19" s="87"/>
      <c r="R19" s="87"/>
      <c r="S19" s="87"/>
      <c r="T19" s="88">
        <f t="shared" si="5"/>
        <v>1.826091490497354E-2</v>
      </c>
      <c r="U19" s="237"/>
      <c r="V19" s="1"/>
      <c r="X19" s="255"/>
      <c r="Y19" s="256" t="s">
        <v>67</v>
      </c>
      <c r="Z19" s="256"/>
      <c r="AA19" s="257"/>
      <c r="AB19" s="258"/>
      <c r="AC19" s="257">
        <f>+AA18/AA16</f>
        <v>3.448018181818182E-2</v>
      </c>
      <c r="AD19" s="259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95233.614551506573</v>
      </c>
      <c r="Q20" s="87"/>
      <c r="R20" s="87"/>
      <c r="S20" s="87"/>
      <c r="T20" s="88">
        <f t="shared" si="5"/>
        <v>1.826091490497354E-2</v>
      </c>
      <c r="U20" s="237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96972.667482924677</v>
      </c>
      <c r="Q21" s="87"/>
      <c r="R21" s="87"/>
      <c r="S21" s="87"/>
      <c r="T21" s="88">
        <f t="shared" si="5"/>
        <v>1.826091490497354E-2</v>
      </c>
      <c r="U21" s="237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98743.477111938657</v>
      </c>
      <c r="Q22" s="87"/>
      <c r="R22" s="87"/>
      <c r="S22" s="87"/>
      <c r="T22" s="88">
        <f t="shared" si="5"/>
        <v>1.826091490497354E-2</v>
      </c>
      <c r="U22" s="237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100546.62334490097</v>
      </c>
      <c r="Q23" s="87"/>
      <c r="R23" s="87"/>
      <c r="S23" s="87"/>
      <c r="T23" s="88">
        <f t="shared" si="5"/>
        <v>1.826091490497354E-2</v>
      </c>
      <c r="U23" s="237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102382.69667778464</v>
      </c>
      <c r="Q24" s="87"/>
      <c r="R24" s="87"/>
      <c r="S24" s="87"/>
      <c r="T24" s="88">
        <f t="shared" si="5"/>
        <v>1.826091490497354E-2</v>
      </c>
      <c r="U24" s="237"/>
      <c r="V24" s="1"/>
      <c r="X24" s="116"/>
      <c r="Y24" s="120"/>
      <c r="Z24" s="263"/>
      <c r="AA24" s="263"/>
      <c r="AB24" s="263"/>
      <c r="AC24" s="263"/>
      <c r="AD24" s="263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104252.29838955938</v>
      </c>
      <c r="Q25" s="87"/>
      <c r="R25" s="87"/>
      <c r="S25" s="87"/>
      <c r="T25" s="88">
        <f t="shared" si="5"/>
        <v>1.826091490497354E-2</v>
      </c>
      <c r="U25" s="237"/>
      <c r="V25" s="1"/>
      <c r="X25" s="116"/>
      <c r="Y25" s="262"/>
      <c r="Z25" s="262"/>
      <c r="AA25" s="262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106156.04073909903</v>
      </c>
      <c r="Q26" s="87"/>
      <c r="R26" s="87"/>
      <c r="S26" s="87"/>
      <c r="T26" s="88">
        <f t="shared" si="5"/>
        <v>1.826091490497354E-2</v>
      </c>
      <c r="U26" s="237"/>
      <c r="V26" s="1"/>
      <c r="X26" s="116"/>
      <c r="Y26" s="120"/>
      <c r="Z26" s="120"/>
      <c r="AA26" s="120"/>
      <c r="AB26" s="116"/>
      <c r="AC26" s="260"/>
      <c r="AD26" s="116"/>
      <c r="AE26" s="261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108094.54716568462</v>
      </c>
      <c r="Q27" s="87"/>
      <c r="R27" s="87"/>
      <c r="S27" s="87"/>
      <c r="T27" s="88">
        <f t="shared" si="5"/>
        <v>1.826091490497354E-2</v>
      </c>
      <c r="U27" s="237"/>
      <c r="V27" s="1"/>
      <c r="X27" s="116"/>
      <c r="Y27" s="120"/>
      <c r="Z27" s="120"/>
      <c r="AA27" s="120"/>
      <c r="AB27" s="116"/>
      <c r="AC27" s="260"/>
      <c r="AD27" s="116"/>
      <c r="AE27" s="261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110068.45249316884</v>
      </c>
      <c r="Q28" s="87"/>
      <c r="R28" s="87"/>
      <c r="S28" s="87"/>
      <c r="T28" s="88">
        <f t="shared" si="5"/>
        <v>1.826091490497354E-2</v>
      </c>
      <c r="U28" s="237"/>
      <c r="V28" s="1"/>
      <c r="X28" s="116"/>
      <c r="Y28" s="263"/>
      <c r="Z28" s="263"/>
      <c r="AA28" s="263"/>
      <c r="AB28" s="116"/>
      <c r="AC28" s="260"/>
      <c r="AD28" s="116"/>
      <c r="AE28" s="261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112078.40313786871</v>
      </c>
      <c r="Q29" s="87"/>
      <c r="R29" s="87"/>
      <c r="S29" s="87"/>
      <c r="T29" s="88">
        <f t="shared" si="5"/>
        <v>1.826091490497354E-2</v>
      </c>
      <c r="U29" s="237"/>
      <c r="V29" s="94"/>
      <c r="X29" s="116"/>
      <c r="Y29" s="263"/>
      <c r="Z29" s="263"/>
      <c r="AA29" s="263"/>
      <c r="AB29" s="116"/>
      <c r="AC29" s="261"/>
      <c r="AD29" s="116"/>
      <c r="AE29" s="261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114125.05732025464</v>
      </c>
      <c r="Q30" s="87"/>
      <c r="R30" s="87"/>
      <c r="S30" s="87"/>
      <c r="T30" s="88">
        <f t="shared" si="5"/>
        <v>1.826091490497354E-2</v>
      </c>
      <c r="U30" s="237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116209.08528050502</v>
      </c>
      <c r="Q31" s="87"/>
      <c r="R31" s="87"/>
      <c r="S31" s="87"/>
      <c r="T31" s="88">
        <f t="shared" si="5"/>
        <v>1.826091490497354E-2</v>
      </c>
      <c r="U31" s="237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118331.16949799714</v>
      </c>
      <c r="Q32" s="87"/>
      <c r="R32" s="87"/>
      <c r="S32" s="87"/>
      <c r="T32" s="88">
        <f t="shared" si="5"/>
        <v>1.826091490497354E-2</v>
      </c>
      <c r="U32" s="237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120492.00491480606</v>
      </c>
      <c r="Q33" s="87"/>
      <c r="R33" s="87"/>
      <c r="S33" s="87"/>
      <c r="T33" s="88">
        <f t="shared" si="5"/>
        <v>1.826091490497354E-2</v>
      </c>
      <c r="U33" s="237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122692.29916328499</v>
      </c>
      <c r="Q34" s="87"/>
      <c r="R34" s="87"/>
      <c r="S34" s="87"/>
      <c r="T34" s="88">
        <f t="shared" si="5"/>
        <v>1.826091490497354E-2</v>
      </c>
      <c r="U34" s="237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124932.77279780128</v>
      </c>
      <c r="Q35" s="87"/>
      <c r="R35" s="87"/>
      <c r="S35" s="87"/>
      <c r="T35" s="88">
        <f t="shared" si="5"/>
        <v>1.826091490497354E-2</v>
      </c>
      <c r="U35" s="237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127214.15953070432</v>
      </c>
      <c r="Q36" s="87"/>
      <c r="R36" s="87"/>
      <c r="S36" s="87"/>
      <c r="T36" s="88">
        <f t="shared" si="5"/>
        <v>1.826091490497354E-2</v>
      </c>
      <c r="U36" s="237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129537.20647260224</v>
      </c>
      <c r="Q37" s="87"/>
      <c r="R37" s="87"/>
      <c r="S37" s="87"/>
      <c r="T37" s="88">
        <f t="shared" si="5"/>
        <v>1.826091490497354E-2</v>
      </c>
      <c r="U37" s="237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131902.67437702641</v>
      </c>
      <c r="Q38" s="87"/>
      <c r="R38" s="87"/>
      <c r="S38" s="87"/>
      <c r="T38" s="88">
        <f t="shared" si="5"/>
        <v>1.826091490497354E-2</v>
      </c>
      <c r="U38" s="237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134311.33788956373</v>
      </c>
      <c r="Q39" s="87"/>
      <c r="R39" s="87"/>
      <c r="S39" s="87"/>
      <c r="T39" s="88">
        <f t="shared" si="5"/>
        <v>1.826091490497354E-2</v>
      </c>
      <c r="U39" s="237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136763.98580153819</v>
      </c>
      <c r="Q40" s="87"/>
      <c r="R40" s="87"/>
      <c r="S40" s="87"/>
      <c r="T40" s="88">
        <f t="shared" si="5"/>
        <v>1.826091490497354E-2</v>
      </c>
      <c r="U40" s="237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139261.42130832508</v>
      </c>
      <c r="Q41" s="87"/>
      <c r="R41" s="87"/>
      <c r="S41" s="87"/>
      <c r="T41" s="88">
        <f t="shared" si="5"/>
        <v>1.826091490497354E-2</v>
      </c>
      <c r="U41" s="237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141804.46227238208</v>
      </c>
      <c r="Q42" s="87"/>
      <c r="R42" s="87"/>
      <c r="S42" s="87"/>
      <c r="T42" s="88">
        <f t="shared" si="5"/>
        <v>1.826091490497354E-2</v>
      </c>
      <c r="U42" s="237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144393.94149108356</v>
      </c>
      <c r="Q43" s="87"/>
      <c r="R43" s="87"/>
      <c r="S43" s="87"/>
      <c r="T43" s="88">
        <f t="shared" si="5"/>
        <v>1.826091490497354E-2</v>
      </c>
      <c r="U43" s="237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147030.70696944595</v>
      </c>
      <c r="Q44" s="87"/>
      <c r="R44" s="87"/>
      <c r="S44" s="87"/>
      <c r="T44" s="88">
        <f t="shared" si="5"/>
        <v>1.826091490497354E-2</v>
      </c>
      <c r="U44" s="237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149715.62219783309</v>
      </c>
      <c r="Q45" s="87"/>
      <c r="R45" s="87"/>
      <c r="S45" s="87"/>
      <c r="T45" s="88">
        <f t="shared" si="5"/>
        <v>1.826091490497354E-2</v>
      </c>
      <c r="U45" s="237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152449.56643473287</v>
      </c>
      <c r="Q46" s="87"/>
      <c r="R46" s="87"/>
      <c r="S46" s="87"/>
      <c r="T46" s="88">
        <f t="shared" si="5"/>
        <v>1.826091490497354E-2</v>
      </c>
      <c r="U46" s="237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155233.43499469763</v>
      </c>
      <c r="Q47" s="87"/>
      <c r="R47" s="87"/>
      <c r="S47" s="87"/>
      <c r="T47" s="88">
        <f t="shared" si="5"/>
        <v>1.826091490497354E-2</v>
      </c>
      <c r="U47" s="237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158068.13954154254</v>
      </c>
      <c r="Q48" s="87"/>
      <c r="R48" s="87"/>
      <c r="S48" s="87"/>
      <c r="T48" s="88">
        <f t="shared" si="5"/>
        <v>1.826091490497354E-2</v>
      </c>
      <c r="U48" s="237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160954.60838689812</v>
      </c>
      <c r="Q49" s="87"/>
      <c r="R49" s="87"/>
      <c r="S49" s="87"/>
      <c r="T49" s="88">
        <f t="shared" si="5"/>
        <v>1.826091490497354E-2</v>
      </c>
      <c r="U49" s="237"/>
      <c r="V49" s="10"/>
    </row>
    <row r="50" spans="4:22" x14ac:dyDescent="0.3">
      <c r="D50" s="85">
        <f t="shared" si="0"/>
        <v>43952</v>
      </c>
      <c r="E50" s="86"/>
      <c r="F50" s="87">
        <f t="shared" ref="F50:F59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:P59" si="7">+P49*(1+T49)</f>
        <v>163893.7867942146</v>
      </c>
      <c r="Q50" s="87"/>
      <c r="R50" s="87"/>
      <c r="S50" s="87"/>
      <c r="T50" s="88">
        <f t="shared" si="5"/>
        <v>1.826091490497354E-2</v>
      </c>
      <c r="U50" s="237"/>
      <c r="V50" s="10"/>
    </row>
    <row r="51" spans="4:22" x14ac:dyDescent="0.3">
      <c r="D51" s="85">
        <f t="shared" si="0"/>
        <v>43953</v>
      </c>
      <c r="E51" s="86"/>
      <c r="F51" s="87">
        <f t="shared" si="6"/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si="7"/>
        <v>166886.63728831761</v>
      </c>
      <c r="Q51" s="87"/>
      <c r="R51" s="87"/>
      <c r="S51" s="87"/>
      <c r="T51" s="88">
        <f t="shared" si="5"/>
        <v>1.826091490497354E-2</v>
      </c>
      <c r="U51" s="237"/>
      <c r="V51" s="10"/>
    </row>
    <row r="52" spans="4:22" x14ac:dyDescent="0.3">
      <c r="D52" s="85">
        <f t="shared" si="0"/>
        <v>43954</v>
      </c>
      <c r="E52" s="86"/>
      <c r="F52" s="87">
        <f t="shared" si="6"/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si="7"/>
        <v>169934.13997061676</v>
      </c>
      <c r="Q52" s="87"/>
      <c r="R52" s="87"/>
      <c r="S52" s="87"/>
      <c r="T52" s="88">
        <f t="shared" si="5"/>
        <v>1.826091490497354E-2</v>
      </c>
      <c r="U52" s="237"/>
      <c r="V52" s="10"/>
    </row>
    <row r="53" spans="4:22" x14ac:dyDescent="0.3">
      <c r="D53" s="85">
        <f t="shared" si="0"/>
        <v>43955</v>
      </c>
      <c r="E53" s="86"/>
      <c r="F53" s="87">
        <f t="shared" si="6"/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si="7"/>
        <v>173037.29284007003</v>
      </c>
      <c r="Q53" s="87"/>
      <c r="R53" s="87"/>
      <c r="S53" s="87"/>
      <c r="T53" s="88">
        <f t="shared" si="5"/>
        <v>1.826091490497354E-2</v>
      </c>
      <c r="U53" s="237"/>
      <c r="V53" s="10"/>
    </row>
    <row r="54" spans="4:22" x14ac:dyDescent="0.3">
      <c r="D54" s="85">
        <f t="shared" si="0"/>
        <v>43956</v>
      </c>
      <c r="E54" s="86"/>
      <c r="F54" s="87">
        <f t="shared" si="6"/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si="7"/>
        <v>176197.11212000952</v>
      </c>
      <c r="Q54" s="87"/>
      <c r="R54" s="87"/>
      <c r="S54" s="87"/>
      <c r="T54" s="88">
        <f t="shared" si="5"/>
        <v>1.826091490497354E-2</v>
      </c>
      <c r="U54" s="237"/>
      <c r="V54" s="10"/>
    </row>
    <row r="55" spans="4:22" x14ac:dyDescent="0.3">
      <c r="D55" s="85">
        <f t="shared" si="0"/>
        <v>43957</v>
      </c>
      <c r="E55" s="86"/>
      <c r="F55" s="87">
        <f t="shared" si="6"/>
        <v>872315363.58713734</v>
      </c>
      <c r="G55" s="87"/>
      <c r="H55" s="87"/>
      <c r="I55" s="87"/>
      <c r="J55" s="88">
        <f t="shared" si="2"/>
        <v>0.25251059213323362</v>
      </c>
      <c r="K55" s="87"/>
      <c r="L55" s="87">
        <f t="shared" si="3"/>
        <v>41</v>
      </c>
      <c r="M55" s="87"/>
      <c r="N55" s="87"/>
      <c r="O55" s="87"/>
      <c r="P55" s="87">
        <f t="shared" si="7"/>
        <v>179414.6325909351</v>
      </c>
      <c r="Q55" s="87"/>
      <c r="R55" s="87"/>
      <c r="S55" s="87"/>
      <c r="T55" s="88">
        <f t="shared" si="5"/>
        <v>1.826091490497354E-2</v>
      </c>
      <c r="U55" s="237"/>
      <c r="V55" s="10"/>
    </row>
    <row r="56" spans="4:22" x14ac:dyDescent="0.3">
      <c r="D56" s="85">
        <f t="shared" si="0"/>
        <v>43958</v>
      </c>
      <c r="E56" s="86"/>
      <c r="F56" s="87">
        <f t="shared" si="6"/>
        <v>1092584232.5734422</v>
      </c>
      <c r="G56" s="87"/>
      <c r="H56" s="87"/>
      <c r="I56" s="87"/>
      <c r="J56" s="88">
        <f t="shared" si="2"/>
        <v>0.25251059213323362</v>
      </c>
      <c r="K56" s="87"/>
      <c r="L56" s="87">
        <f t="shared" si="3"/>
        <v>42</v>
      </c>
      <c r="M56" s="87"/>
      <c r="N56" s="87"/>
      <c r="O56" s="87"/>
      <c r="P56" s="87">
        <f t="shared" si="7"/>
        <v>182690.90792938526</v>
      </c>
      <c r="Q56" s="87"/>
      <c r="R56" s="87"/>
      <c r="S56" s="87"/>
      <c r="T56" s="88">
        <f t="shared" si="5"/>
        <v>1.826091490497354E-2</v>
      </c>
      <c r="U56" s="237"/>
      <c r="V56" s="10"/>
    </row>
    <row r="57" spans="4:22" x14ac:dyDescent="0.3">
      <c r="D57" s="85">
        <f t="shared" si="0"/>
        <v>43959</v>
      </c>
      <c r="E57" s="86"/>
      <c r="F57" s="87">
        <f t="shared" si="6"/>
        <v>1368473324.0959966</v>
      </c>
      <c r="G57" s="87"/>
      <c r="H57" s="87"/>
      <c r="I57" s="87"/>
      <c r="J57" s="88">
        <f t="shared" si="2"/>
        <v>0.25251059213323362</v>
      </c>
      <c r="K57" s="87"/>
      <c r="L57" s="87">
        <f t="shared" si="3"/>
        <v>43</v>
      </c>
      <c r="M57" s="87"/>
      <c r="N57" s="87"/>
      <c r="O57" s="87"/>
      <c r="P57" s="87">
        <f t="shared" si="7"/>
        <v>186027.01105299609</v>
      </c>
      <c r="Q57" s="87"/>
      <c r="R57" s="87"/>
      <c r="S57" s="87"/>
      <c r="T57" s="88">
        <f t="shared" si="5"/>
        <v>1.826091490497354E-2</v>
      </c>
      <c r="U57" s="237"/>
      <c r="V57" s="10"/>
    </row>
    <row r="58" spans="4:22" x14ac:dyDescent="0.3">
      <c r="D58" s="85">
        <f t="shared" si="0"/>
        <v>43960</v>
      </c>
      <c r="E58" s="86"/>
      <c r="F58" s="87">
        <f t="shared" si="6"/>
        <v>1714027333.4820111</v>
      </c>
      <c r="G58" s="87"/>
      <c r="H58" s="87"/>
      <c r="I58" s="87"/>
      <c r="J58" s="88">
        <f t="shared" si="2"/>
        <v>0.25251059213323362</v>
      </c>
      <c r="K58" s="87"/>
      <c r="L58" s="87">
        <f t="shared" si="3"/>
        <v>44</v>
      </c>
      <c r="M58" s="87"/>
      <c r="N58" s="87"/>
      <c r="O58" s="87"/>
      <c r="P58" s="87">
        <f t="shared" si="7"/>
        <v>189424.03447186144</v>
      </c>
      <c r="Q58" s="87"/>
      <c r="R58" s="87"/>
      <c r="S58" s="87"/>
      <c r="T58" s="88">
        <f t="shared" si="5"/>
        <v>1.826091490497354E-2</v>
      </c>
      <c r="U58" s="237"/>
      <c r="V58" s="10"/>
    </row>
    <row r="59" spans="4:22" x14ac:dyDescent="0.3">
      <c r="D59" s="85">
        <f t="shared" si="0"/>
        <v>43961</v>
      </c>
      <c r="E59" s="86"/>
      <c r="F59" s="87">
        <f t="shared" si="6"/>
        <v>2146837390.392101</v>
      </c>
      <c r="G59" s="87"/>
      <c r="H59" s="87"/>
      <c r="I59" s="87"/>
      <c r="J59" s="88">
        <f t="shared" si="2"/>
        <v>0.25251059213323362</v>
      </c>
      <c r="K59" s="87"/>
      <c r="L59" s="87">
        <f t="shared" si="3"/>
        <v>45</v>
      </c>
      <c r="M59" s="87"/>
      <c r="N59" s="87"/>
      <c r="O59" s="87"/>
      <c r="P59" s="87">
        <f t="shared" si="7"/>
        <v>192883.09064630888</v>
      </c>
      <c r="Q59" s="87"/>
      <c r="R59" s="87"/>
      <c r="S59" s="87"/>
      <c r="T59" s="88">
        <f t="shared" si="5"/>
        <v>1.826091490497354E-2</v>
      </c>
      <c r="U59" s="237"/>
      <c r="V59" s="10"/>
    </row>
    <row r="60" spans="4:22" ht="15" thickBot="1" x14ac:dyDescent="0.35">
      <c r="D60" s="287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38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85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2020-05-16T00:54:30Z</dcterms:modified>
</cp:coreProperties>
</file>