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\Documents\excel\COVID-19\"/>
    </mc:Choice>
  </mc:AlternateContent>
  <xr:revisionPtr revIDLastSave="0" documentId="8_{89E89F2F-996A-44D2-A970-DC1518B8701B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Table'!$A$1:$CI$84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N83" i="1" l="1"/>
  <c r="BM83" i="1"/>
  <c r="BK83" i="1"/>
  <c r="BI83" i="1"/>
  <c r="BH83" i="1"/>
  <c r="BG83" i="1"/>
  <c r="BE83" i="1"/>
  <c r="BC83" i="1"/>
  <c r="BB83" i="1"/>
  <c r="BA83" i="1"/>
  <c r="AY83" i="1"/>
  <c r="AX83" i="1"/>
  <c r="AV83" i="1"/>
  <c r="AT83" i="1"/>
  <c r="AS83" i="1"/>
  <c r="AR83" i="1"/>
  <c r="AP83" i="1"/>
  <c r="AO83" i="1"/>
  <c r="AN83" i="1"/>
  <c r="AM83" i="1"/>
  <c r="AL83" i="1"/>
  <c r="AK83" i="1"/>
  <c r="AJ83" i="1"/>
  <c r="AI83" i="1"/>
  <c r="AG83" i="1"/>
  <c r="AF83" i="1"/>
  <c r="AE83" i="1"/>
  <c r="AC83" i="1"/>
  <c r="AA83" i="1"/>
  <c r="Y83" i="1"/>
  <c r="X83" i="1"/>
  <c r="W83" i="1"/>
  <c r="V83" i="1"/>
  <c r="U83" i="1"/>
  <c r="T83" i="1"/>
  <c r="S83" i="1"/>
  <c r="Q83" i="1"/>
  <c r="O83" i="1"/>
  <c r="M83" i="1"/>
  <c r="L83" i="1"/>
  <c r="K83" i="1"/>
  <c r="I83" i="1"/>
  <c r="BO82" i="1"/>
  <c r="BN82" i="1"/>
  <c r="BM82" i="1"/>
  <c r="BK82" i="1"/>
  <c r="BI82" i="1"/>
  <c r="BH82" i="1"/>
  <c r="BG82" i="1"/>
  <c r="BE82" i="1"/>
  <c r="BC82" i="1"/>
  <c r="BB82" i="1"/>
  <c r="BA82" i="1"/>
  <c r="AZ82" i="1"/>
  <c r="AY82" i="1"/>
  <c r="AX82" i="1"/>
  <c r="AW82" i="1"/>
  <c r="AV82" i="1"/>
  <c r="AT82" i="1"/>
  <c r="AS82" i="1"/>
  <c r="AR82" i="1"/>
  <c r="AP82" i="1"/>
  <c r="AO82" i="1"/>
  <c r="AN82" i="1"/>
  <c r="AM82" i="1"/>
  <c r="AL82" i="1"/>
  <c r="AJ82" i="1"/>
  <c r="AI82" i="1"/>
  <c r="AG82" i="1"/>
  <c r="AF82" i="1"/>
  <c r="AE82" i="1"/>
  <c r="AC82" i="1"/>
  <c r="AA82" i="1"/>
  <c r="Y82" i="1"/>
  <c r="X82" i="1"/>
  <c r="W82" i="1"/>
  <c r="V82" i="1"/>
  <c r="U82" i="1"/>
  <c r="T82" i="1"/>
  <c r="S82" i="1"/>
  <c r="R82" i="1"/>
  <c r="Q82" i="1"/>
  <c r="O82" i="1"/>
  <c r="M82" i="1"/>
  <c r="L82" i="1"/>
  <c r="K82" i="1"/>
  <c r="J82" i="1"/>
  <c r="I82" i="1"/>
  <c r="D83" i="1"/>
  <c r="D82" i="1"/>
  <c r="BM76" i="1"/>
  <c r="BD76" i="1"/>
  <c r="BO76" i="1" s="1"/>
  <c r="BQ76" i="1" s="1"/>
  <c r="AZ76" i="1"/>
  <c r="BJ76" i="1" s="1"/>
  <c r="BJ83" i="1" s="1"/>
  <c r="AW76" i="1"/>
  <c r="AW83" i="1" s="1"/>
  <c r="AK76" i="1"/>
  <c r="AQ76" i="1" s="1"/>
  <c r="AQ82" i="1" s="1"/>
  <c r="AF76" i="1"/>
  <c r="AH76" i="1" s="1"/>
  <c r="AH83" i="1" s="1"/>
  <c r="Z76" i="1"/>
  <c r="Z83" i="1" s="1"/>
  <c r="P76" i="1"/>
  <c r="R76" i="1" s="1"/>
  <c r="R83" i="1" s="1"/>
  <c r="J76" i="1"/>
  <c r="J83" i="1" s="1"/>
  <c r="H76" i="1"/>
  <c r="AU76" i="1" s="1"/>
  <c r="AU83" i="1" s="1"/>
  <c r="S77" i="2"/>
  <c r="W77" i="2"/>
  <c r="K77" i="2"/>
  <c r="Q77" i="2" s="1"/>
  <c r="I20" i="3"/>
  <c r="BJ82" i="1" l="1"/>
  <c r="AZ83" i="1"/>
  <c r="AK82" i="1"/>
  <c r="AQ83" i="1"/>
  <c r="AH82" i="1"/>
  <c r="AD76" i="1"/>
  <c r="Z82" i="1"/>
  <c r="AB76" i="1"/>
  <c r="AU82" i="1"/>
  <c r="BO83" i="1"/>
  <c r="H82" i="1"/>
  <c r="P82" i="1"/>
  <c r="BD82" i="1"/>
  <c r="H83" i="1"/>
  <c r="P83" i="1"/>
  <c r="BD83" i="1"/>
  <c r="BF76" i="1"/>
  <c r="BL76" i="1"/>
  <c r="N76" i="1"/>
  <c r="U77" i="2"/>
  <c r="M77" i="2"/>
  <c r="S76" i="2"/>
  <c r="AD83" i="1" l="1"/>
  <c r="AD82" i="1"/>
  <c r="BF83" i="1"/>
  <c r="BF82" i="1"/>
  <c r="AB82" i="1"/>
  <c r="AB83" i="1"/>
  <c r="N83" i="1"/>
  <c r="N82" i="1"/>
  <c r="BL83" i="1"/>
  <c r="BL82" i="1"/>
  <c r="D111" i="1"/>
  <c r="BV76" i="1"/>
  <c r="BV77" i="1" s="1"/>
  <c r="BV78" i="1" s="1"/>
  <c r="BV79" i="1" s="1"/>
  <c r="BV80" i="1" s="1"/>
  <c r="B76" i="1"/>
  <c r="B77" i="1" s="1"/>
  <c r="B78" i="1" s="1"/>
  <c r="B79" i="1" s="1"/>
  <c r="B80" i="1" s="1"/>
  <c r="P75" i="1"/>
  <c r="BD75" i="1"/>
  <c r="AZ75" i="1"/>
  <c r="BJ75" i="1" s="1"/>
  <c r="AK75" i="1"/>
  <c r="AQ75" i="1" s="1"/>
  <c r="AF75" i="1"/>
  <c r="AH75" i="1" s="1"/>
  <c r="Z75" i="1"/>
  <c r="J75" i="1"/>
  <c r="H75" i="1"/>
  <c r="AU75" i="1" s="1"/>
  <c r="S81" i="2"/>
  <c r="R81" i="2"/>
  <c r="P81" i="2"/>
  <c r="O81" i="2"/>
  <c r="N81" i="2"/>
  <c r="L81" i="2"/>
  <c r="J81" i="2"/>
  <c r="I81" i="2"/>
  <c r="H81" i="2"/>
  <c r="G81" i="2"/>
  <c r="E81" i="2"/>
  <c r="K76" i="2"/>
  <c r="M76" i="2" s="1"/>
  <c r="M81" i="2" s="1"/>
  <c r="K81" i="2" l="1"/>
  <c r="BF75" i="1"/>
  <c r="AB75" i="1"/>
  <c r="BL75" i="1"/>
  <c r="BO75" i="1"/>
  <c r="U76" i="2"/>
  <c r="Q76" i="2"/>
  <c r="Q81" i="2" s="1"/>
  <c r="D115" i="1"/>
  <c r="D114" i="1"/>
  <c r="BQ75" i="1" l="1"/>
  <c r="S75" i="2"/>
  <c r="I21" i="3"/>
  <c r="BD74" i="1"/>
  <c r="BO74" i="1" s="1"/>
  <c r="BQ74" i="1" s="1"/>
  <c r="AZ74" i="1"/>
  <c r="AK74" i="1"/>
  <c r="AQ74" i="1" s="1"/>
  <c r="Z74" i="1"/>
  <c r="J74" i="1"/>
  <c r="H74" i="1"/>
  <c r="AU74" i="1" s="1"/>
  <c r="K75" i="2"/>
  <c r="Q75" i="2" s="1"/>
  <c r="W75" i="2"/>
  <c r="W76" i="2" s="1"/>
  <c r="W78" i="2" s="1"/>
  <c r="W79" i="2" s="1"/>
  <c r="W74" i="2"/>
  <c r="C75" i="2"/>
  <c r="C76" i="2" s="1"/>
  <c r="C77" i="2" s="1"/>
  <c r="C78" i="2" s="1"/>
  <c r="C79" i="2" s="1"/>
  <c r="AB74" i="1" l="1"/>
  <c r="BF74" i="1"/>
  <c r="U75" i="2"/>
  <c r="M75" i="2"/>
  <c r="S74" i="2"/>
  <c r="K74" i="2"/>
  <c r="Q74" i="2" s="1"/>
  <c r="BO73" i="1"/>
  <c r="BQ73" i="1" s="1"/>
  <c r="BD73" i="1"/>
  <c r="AZ73" i="1"/>
  <c r="AK73" i="1"/>
  <c r="Z73" i="1"/>
  <c r="J73" i="1"/>
  <c r="H73" i="1"/>
  <c r="AQ73" i="1" l="1"/>
  <c r="U74" i="2"/>
  <c r="M74" i="2"/>
  <c r="BF73" i="1"/>
  <c r="AU73" i="1"/>
  <c r="AB73" i="1"/>
  <c r="Q64" i="3"/>
  <c r="Q80" i="3"/>
  <c r="D97" i="1"/>
  <c r="K85" i="2"/>
  <c r="I59" i="3"/>
  <c r="S73" i="2" l="1"/>
  <c r="K73" i="2"/>
  <c r="Q73" i="2" s="1"/>
  <c r="S72" i="2"/>
  <c r="BD72" i="1"/>
  <c r="AZ72" i="1"/>
  <c r="AK72" i="1"/>
  <c r="AQ72" i="1" s="1"/>
  <c r="BF72" i="1" l="1"/>
  <c r="U73" i="2"/>
  <c r="M73" i="2"/>
  <c r="K72" i="2"/>
  <c r="Q72" i="2" s="1"/>
  <c r="BD71" i="1"/>
  <c r="AZ71" i="1"/>
  <c r="AK71" i="1"/>
  <c r="AQ71" i="1" s="1"/>
  <c r="Z71" i="1"/>
  <c r="Z72" i="1" l="1"/>
  <c r="U72" i="2"/>
  <c r="M72" i="2"/>
  <c r="BF71" i="1"/>
  <c r="S71" i="2"/>
  <c r="K71" i="2"/>
  <c r="Q71" i="2" s="1"/>
  <c r="U71" i="2" l="1"/>
  <c r="M71" i="2"/>
  <c r="BD70" i="1"/>
  <c r="AZ70" i="1"/>
  <c r="AK70" i="1"/>
  <c r="AQ70" i="1" s="1"/>
  <c r="BF70" i="1" l="1"/>
  <c r="S70" i="2"/>
  <c r="K70" i="2" l="1"/>
  <c r="Q70" i="2" s="1"/>
  <c r="BD69" i="1"/>
  <c r="AZ69" i="1"/>
  <c r="AK69" i="1"/>
  <c r="AQ69" i="1" s="1"/>
  <c r="U70" i="2" l="1"/>
  <c r="M70" i="2"/>
  <c r="BF69" i="1"/>
  <c r="S69" i="2"/>
  <c r="AF68" i="1" l="1"/>
  <c r="AF61" i="1"/>
  <c r="AF47" i="1"/>
  <c r="AF40" i="1"/>
  <c r="P61" i="1"/>
  <c r="P54" i="1"/>
  <c r="P40" i="1"/>
  <c r="P33" i="1"/>
  <c r="P47" i="1"/>
  <c r="AH68" i="1" l="1"/>
  <c r="R40" i="1"/>
  <c r="R54" i="1"/>
  <c r="R61" i="1"/>
  <c r="AH47" i="1"/>
  <c r="R47" i="1"/>
  <c r="K69" i="2" l="1"/>
  <c r="Q69" i="2" s="1"/>
  <c r="BD68" i="1"/>
  <c r="AZ68" i="1"/>
  <c r="AK68" i="1"/>
  <c r="AQ68" i="1" s="1"/>
  <c r="U69" i="2" l="1"/>
  <c r="M69" i="2"/>
  <c r="BF68" i="1"/>
  <c r="S68" i="2"/>
  <c r="D65" i="1"/>
  <c r="P68" i="1" s="1"/>
  <c r="R75" i="1" s="1"/>
  <c r="Q67" i="2"/>
  <c r="K68" i="2"/>
  <c r="M68" i="2" s="1"/>
  <c r="BD67" i="1"/>
  <c r="AZ67" i="1"/>
  <c r="AK67" i="1"/>
  <c r="R68" i="1" l="1"/>
  <c r="AQ67" i="1"/>
  <c r="Q68" i="2"/>
  <c r="U68" i="2"/>
  <c r="BF67" i="1"/>
  <c r="D105" i="1" l="1"/>
  <c r="S67" i="2"/>
  <c r="K67" i="2"/>
  <c r="BD66" i="1"/>
  <c r="AZ66" i="1"/>
  <c r="AK66" i="1"/>
  <c r="AQ66" i="1" s="1"/>
  <c r="U67" i="2" l="1"/>
  <c r="M67" i="2"/>
  <c r="BF66" i="1"/>
  <c r="S66" i="2"/>
  <c r="K66" i="2" l="1"/>
  <c r="Q66" i="2" s="1"/>
  <c r="BD65" i="1"/>
  <c r="AZ65" i="1"/>
  <c r="AK65" i="1"/>
  <c r="AQ65" i="1" l="1"/>
  <c r="U66" i="2"/>
  <c r="M66" i="2"/>
  <c r="BF65" i="1"/>
  <c r="S65" i="2" l="1"/>
  <c r="I88" i="3" l="1"/>
  <c r="I85" i="3"/>
  <c r="L85" i="3" s="1"/>
  <c r="I77" i="3"/>
  <c r="I79" i="3" s="1"/>
  <c r="I76" i="3"/>
  <c r="BD64" i="1"/>
  <c r="AZ64" i="1"/>
  <c r="AK64" i="1"/>
  <c r="AQ64" i="1" s="1"/>
  <c r="K65" i="2"/>
  <c r="Q65" i="2" s="1"/>
  <c r="S33" i="3"/>
  <c r="S34" i="3" s="1"/>
  <c r="S35" i="3" s="1"/>
  <c r="S36" i="3" s="1"/>
  <c r="S37" i="3" s="1"/>
  <c r="S38" i="3" s="1"/>
  <c r="S39" i="3" s="1"/>
  <c r="S40" i="3" s="1"/>
  <c r="S32" i="3"/>
  <c r="W19" i="3"/>
  <c r="S19" i="3"/>
  <c r="S20" i="3" s="1"/>
  <c r="S21" i="3" s="1"/>
  <c r="S22" i="3" s="1"/>
  <c r="S23" i="3" s="1"/>
  <c r="S24" i="3" s="1"/>
  <c r="S25" i="3" s="1"/>
  <c r="S26" i="3" s="1"/>
  <c r="S27" i="3" s="1"/>
  <c r="S28" i="3" s="1"/>
  <c r="S29" i="3" s="1"/>
  <c r="S30" i="3" s="1"/>
  <c r="S31" i="3" s="1"/>
  <c r="L88" i="3" l="1"/>
  <c r="I78" i="3"/>
  <c r="I80" i="3" s="1"/>
  <c r="I81" i="3" s="1"/>
  <c r="BF64" i="1"/>
  <c r="U65" i="2"/>
  <c r="M65" i="2"/>
  <c r="S64" i="2"/>
  <c r="N80" i="3" l="1"/>
  <c r="N81" i="3" s="1"/>
  <c r="I87" i="3"/>
  <c r="L87" i="3" s="1"/>
  <c r="K64" i="2"/>
  <c r="Q64" i="2" s="1"/>
  <c r="BD63" i="1"/>
  <c r="AZ63" i="1"/>
  <c r="AK63" i="1"/>
  <c r="AQ63" i="1" s="1"/>
  <c r="W18" i="3"/>
  <c r="S18" i="3"/>
  <c r="I89" i="3" l="1"/>
  <c r="P89" i="3" s="1"/>
  <c r="U64" i="2"/>
  <c r="M64" i="2"/>
  <c r="BF63" i="1"/>
  <c r="L96" i="3" l="1"/>
  <c r="L89" i="3"/>
  <c r="L95" i="3"/>
  <c r="S63" i="2"/>
  <c r="BD62" i="1"/>
  <c r="AZ62" i="1"/>
  <c r="BJ68" i="1" s="1"/>
  <c r="AK62" i="1"/>
  <c r="AQ62" i="1" s="1"/>
  <c r="K63" i="2"/>
  <c r="M63" i="2" s="1"/>
  <c r="W17" i="3"/>
  <c r="S17" i="3"/>
  <c r="BL68" i="1" l="1"/>
  <c r="BF62" i="1"/>
  <c r="U63" i="2"/>
  <c r="Q63" i="2"/>
  <c r="L55" i="7"/>
  <c r="L56" i="7" s="1"/>
  <c r="L57" i="7" s="1"/>
  <c r="L58" i="7" s="1"/>
  <c r="L59" i="7" s="1"/>
  <c r="S62" i="2"/>
  <c r="BD61" i="1" l="1"/>
  <c r="AZ61" i="1"/>
  <c r="AK61" i="1"/>
  <c r="AQ61" i="1" s="1"/>
  <c r="K62" i="2"/>
  <c r="Q62" i="2" s="1"/>
  <c r="W16" i="3"/>
  <c r="S16" i="3"/>
  <c r="BF61" i="1" l="1"/>
  <c r="U62" i="2"/>
  <c r="M62" i="2"/>
  <c r="S61" i="2"/>
  <c r="W15" i="3" l="1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K61" i="2"/>
  <c r="M61" i="2" s="1"/>
  <c r="Q61" i="2" l="1"/>
  <c r="U61" i="2"/>
  <c r="BD60" i="1"/>
  <c r="AZ60" i="1"/>
  <c r="AK60" i="1"/>
  <c r="I57" i="3"/>
  <c r="I54" i="3"/>
  <c r="L54" i="3" l="1"/>
  <c r="L57" i="3"/>
  <c r="AQ60" i="1"/>
  <c r="BF60" i="1"/>
  <c r="S60" i="2"/>
  <c r="T81" i="2"/>
  <c r="S59" i="2"/>
  <c r="K60" i="2"/>
  <c r="BD59" i="1"/>
  <c r="AZ59" i="1"/>
  <c r="AK59" i="1"/>
  <c r="AQ59" i="1" s="1"/>
  <c r="W14" i="3"/>
  <c r="U60" i="2" l="1"/>
  <c r="M60" i="2"/>
  <c r="BF59" i="1"/>
  <c r="D55" i="7"/>
  <c r="D56" i="7" s="1"/>
  <c r="D57" i="7" s="1"/>
  <c r="D58" i="7" s="1"/>
  <c r="D59" i="7" s="1"/>
  <c r="D60" i="7" s="1"/>
  <c r="K59" i="2"/>
  <c r="M59" i="2" s="1"/>
  <c r="W13" i="3"/>
  <c r="BD58" i="1"/>
  <c r="AZ58" i="1"/>
  <c r="AK58" i="1"/>
  <c r="AQ58" i="1" s="1"/>
  <c r="U59" i="2" l="1"/>
  <c r="BF58" i="1"/>
  <c r="S58" i="2"/>
  <c r="Y11" i="3" l="1"/>
  <c r="Y10" i="3"/>
  <c r="Y9" i="3"/>
  <c r="Y8" i="3"/>
  <c r="Y7" i="3"/>
  <c r="K58" i="2" l="1"/>
  <c r="BD57" i="1"/>
  <c r="AZ57" i="1"/>
  <c r="AK57" i="1"/>
  <c r="AQ57" i="1" s="1"/>
  <c r="M58" i="2" l="1"/>
  <c r="U58" i="2"/>
  <c r="BF57" i="1"/>
  <c r="I46" i="3"/>
  <c r="I48" i="3" s="1"/>
  <c r="I45" i="3"/>
  <c r="S7" i="3"/>
  <c r="S8" i="3" s="1"/>
  <c r="S9" i="3" s="1"/>
  <c r="S10" i="3" s="1"/>
  <c r="S11" i="3" s="1"/>
  <c r="S12" i="3" s="1"/>
  <c r="S13" i="3" s="1"/>
  <c r="S14" i="3" s="1"/>
  <c r="S15" i="3" s="1"/>
  <c r="I47" i="3" l="1"/>
  <c r="I49" i="3" s="1"/>
  <c r="I56" i="3" s="1"/>
  <c r="AF30" i="2"/>
  <c r="AD30" i="2"/>
  <c r="S57" i="2"/>
  <c r="L54" i="7"/>
  <c r="K57" i="2"/>
  <c r="M57" i="2" s="1"/>
  <c r="BD56" i="1"/>
  <c r="AZ56" i="1"/>
  <c r="AK56" i="1"/>
  <c r="AQ56" i="1" s="1"/>
  <c r="I58" i="3" l="1"/>
  <c r="L56" i="3"/>
  <c r="N49" i="3"/>
  <c r="I50" i="3"/>
  <c r="U57" i="2"/>
  <c r="BF56" i="1"/>
  <c r="S56" i="2"/>
  <c r="L53" i="7"/>
  <c r="K56" i="2"/>
  <c r="M56" i="2" s="1"/>
  <c r="BD55" i="1"/>
  <c r="AZ55" i="1"/>
  <c r="BJ61" i="1" s="1"/>
  <c r="BL61" i="1" s="1"/>
  <c r="AK55" i="1"/>
  <c r="AQ55" i="1" s="1"/>
  <c r="P64" i="3" l="1"/>
  <c r="I60" i="3"/>
  <c r="L60" i="3" s="1"/>
  <c r="L66" i="3"/>
  <c r="L65" i="3"/>
  <c r="L58" i="3"/>
  <c r="N50" i="3"/>
  <c r="U56" i="2"/>
  <c r="BF55" i="1"/>
  <c r="V48" i="1"/>
  <c r="AF54" i="1" s="1"/>
  <c r="S55" i="2"/>
  <c r="L52" i="7"/>
  <c r="K55" i="2"/>
  <c r="U55" i="2" s="1"/>
  <c r="BD54" i="1"/>
  <c r="AZ54" i="1"/>
  <c r="AK54" i="1"/>
  <c r="AQ54" i="1" s="1"/>
  <c r="AH54" i="1" l="1"/>
  <c r="AH61" i="1"/>
  <c r="M55" i="2"/>
  <c r="BF54" i="1"/>
  <c r="S54" i="2"/>
  <c r="L51" i="7" l="1"/>
  <c r="K54" i="2"/>
  <c r="M54" i="2" s="1"/>
  <c r="BD53" i="1"/>
  <c r="AZ53" i="1"/>
  <c r="AK53" i="1"/>
  <c r="AQ53" i="1" s="1"/>
  <c r="F73" i="7"/>
  <c r="F71" i="7"/>
  <c r="S53" i="2"/>
  <c r="L50" i="7"/>
  <c r="U54" i="2" l="1"/>
  <c r="BF53" i="1"/>
  <c r="K53" i="2"/>
  <c r="M53" i="2" s="1"/>
  <c r="BD52" i="1"/>
  <c r="AZ52" i="1"/>
  <c r="AK52" i="1"/>
  <c r="AQ52" i="1" s="1"/>
  <c r="U53" i="2" l="1"/>
  <c r="BF52" i="1"/>
  <c r="G46" i="2"/>
  <c r="AO93" i="2"/>
  <c r="S52" i="2"/>
  <c r="AD29" i="2" l="1"/>
  <c r="G51" i="2"/>
  <c r="K51" i="2" s="1"/>
  <c r="G50" i="2"/>
  <c r="G49" i="2"/>
  <c r="G48" i="2"/>
  <c r="K48" i="2" s="1"/>
  <c r="G47" i="2"/>
  <c r="G45" i="2"/>
  <c r="G44" i="2"/>
  <c r="G43" i="2"/>
  <c r="G42" i="2"/>
  <c r="G41" i="2"/>
  <c r="G40" i="2"/>
  <c r="K40" i="2" s="1"/>
  <c r="G39" i="2"/>
  <c r="G38" i="2"/>
  <c r="K38" i="2" s="1"/>
  <c r="G37" i="2"/>
  <c r="G36" i="2"/>
  <c r="K36" i="2" s="1"/>
  <c r="G35" i="2"/>
  <c r="G34" i="2"/>
  <c r="G33" i="2"/>
  <c r="G32" i="2"/>
  <c r="K32" i="2" s="1"/>
  <c r="G31" i="2"/>
  <c r="K31" i="2" s="1"/>
  <c r="K52" i="2"/>
  <c r="AF16" i="2" s="1"/>
  <c r="K50" i="2"/>
  <c r="U50" i="2" s="1"/>
  <c r="K49" i="2"/>
  <c r="K47" i="2"/>
  <c r="K46" i="2"/>
  <c r="K45" i="2"/>
  <c r="K44" i="2"/>
  <c r="K43" i="2"/>
  <c r="K42" i="2"/>
  <c r="K41" i="2"/>
  <c r="K39" i="2"/>
  <c r="K37" i="2"/>
  <c r="K35" i="2"/>
  <c r="K34" i="2"/>
  <c r="K33" i="2"/>
  <c r="K30" i="2"/>
  <c r="G30" i="2"/>
  <c r="I24" i="3"/>
  <c r="I26" i="3" s="1"/>
  <c r="BV11" i="1"/>
  <c r="BV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81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BV13" i="1" l="1"/>
  <c r="AW12" i="1"/>
  <c r="AD31" i="2"/>
  <c r="AH30" i="2" s="1"/>
  <c r="AJ30" i="2" s="1"/>
  <c r="M32" i="2"/>
  <c r="M44" i="2"/>
  <c r="M35" i="2"/>
  <c r="M43" i="2"/>
  <c r="AF19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D51" i="1"/>
  <c r="AZ51" i="1"/>
  <c r="AK51" i="1"/>
  <c r="AQ51" i="1" s="1"/>
  <c r="BV14" i="1" l="1"/>
  <c r="AW13" i="1"/>
  <c r="AH29" i="2"/>
  <c r="AJ29" i="2" s="1"/>
  <c r="AH28" i="2"/>
  <c r="AJ28" i="2" s="1"/>
  <c r="AH27" i="2"/>
  <c r="BF51" i="1"/>
  <c r="BD50" i="1"/>
  <c r="AZ50" i="1"/>
  <c r="AK50" i="1"/>
  <c r="AQ50" i="1" s="1"/>
  <c r="BV15" i="1" l="1"/>
  <c r="AW14" i="1"/>
  <c r="AJ27" i="2"/>
  <c r="AH31" i="2"/>
  <c r="BF50" i="1"/>
  <c r="BV16" i="1" l="1"/>
  <c r="AW15" i="1"/>
  <c r="AJ31" i="2"/>
  <c r="AH16" i="2" s="1"/>
  <c r="BD49" i="1"/>
  <c r="AZ49" i="1"/>
  <c r="AK49" i="1"/>
  <c r="AQ49" i="1" s="1"/>
  <c r="BV17" i="1" l="1"/>
  <c r="AW16" i="1"/>
  <c r="BF49" i="1"/>
  <c r="BV18" i="1" l="1"/>
  <c r="AW17" i="1"/>
  <c r="BD48" i="1"/>
  <c r="AZ48" i="1"/>
  <c r="BJ54" i="1" s="1"/>
  <c r="BL54" i="1" s="1"/>
  <c r="AK48" i="1"/>
  <c r="AQ48" i="1" s="1"/>
  <c r="B131" i="1"/>
  <c r="B134" i="1"/>
  <c r="BV19" i="1" l="1"/>
  <c r="AW18" i="1"/>
  <c r="BF48" i="1"/>
  <c r="BD47" i="1"/>
  <c r="AZ47" i="1"/>
  <c r="AK47" i="1"/>
  <c r="AQ47" i="1" s="1"/>
  <c r="BV20" i="1" l="1"/>
  <c r="AW19" i="1"/>
  <c r="BF47" i="1"/>
  <c r="BD46" i="1"/>
  <c r="AZ46" i="1"/>
  <c r="AK46" i="1"/>
  <c r="AQ46" i="1" s="1"/>
  <c r="BV21" i="1" l="1"/>
  <c r="AW20" i="1"/>
  <c r="BF46" i="1"/>
  <c r="BD45" i="1"/>
  <c r="AZ45" i="1"/>
  <c r="AK45" i="1"/>
  <c r="AQ45" i="1" s="1"/>
  <c r="BV22" i="1" l="1"/>
  <c r="AW21" i="1"/>
  <c r="BF45" i="1"/>
  <c r="BV23" i="1" l="1"/>
  <c r="AW22" i="1"/>
  <c r="BD44" i="1"/>
  <c r="AZ44" i="1"/>
  <c r="AK44" i="1"/>
  <c r="AQ44" i="1" s="1"/>
  <c r="BV24" i="1" l="1"/>
  <c r="AW23" i="1"/>
  <c r="BF44" i="1"/>
  <c r="AZ43" i="1"/>
  <c r="AK43" i="1"/>
  <c r="AQ43" i="1" s="1"/>
  <c r="BV25" i="1" l="1"/>
  <c r="AW24" i="1"/>
  <c r="BD43" i="1"/>
  <c r="BF43" i="1" s="1"/>
  <c r="BV26" i="1" l="1"/>
  <c r="AW25" i="1"/>
  <c r="BD42" i="1"/>
  <c r="AZ42" i="1"/>
  <c r="AK42" i="1"/>
  <c r="AQ42" i="1" s="1"/>
  <c r="BV27" i="1" l="1"/>
  <c r="AW26" i="1"/>
  <c r="BF42" i="1"/>
  <c r="BV28" i="1" l="1"/>
  <c r="AW27" i="1"/>
  <c r="BD41" i="1"/>
  <c r="AZ41" i="1"/>
  <c r="BJ47" i="1" s="1"/>
  <c r="BL47" i="1" s="1"/>
  <c r="AK41" i="1"/>
  <c r="AQ41" i="1" s="1"/>
  <c r="BV29" i="1" l="1"/>
  <c r="AW28" i="1"/>
  <c r="BF41" i="1"/>
  <c r="BV30" i="1" l="1"/>
  <c r="AW29" i="1"/>
  <c r="BD40" i="1"/>
  <c r="AZ40" i="1"/>
  <c r="AK40" i="1"/>
  <c r="AQ40" i="1" s="1"/>
  <c r="BD39" i="1"/>
  <c r="AZ39" i="1"/>
  <c r="AK39" i="1"/>
  <c r="AQ39" i="1" s="1"/>
  <c r="BV31" i="1" l="1"/>
  <c r="AW30" i="1"/>
  <c r="BF40" i="1"/>
  <c r="BV32" i="1" l="1"/>
  <c r="AW31" i="1"/>
  <c r="BD38" i="1"/>
  <c r="AZ38" i="1"/>
  <c r="AK38" i="1"/>
  <c r="AQ38" i="1" s="1"/>
  <c r="BV33" i="1" l="1"/>
  <c r="AW32" i="1"/>
  <c r="BD37" i="1"/>
  <c r="AZ37" i="1"/>
  <c r="AK37" i="1"/>
  <c r="AQ37" i="1" s="1"/>
  <c r="BD36" i="1"/>
  <c r="AZ36" i="1"/>
  <c r="AK36" i="1"/>
  <c r="AQ36" i="1" s="1"/>
  <c r="BV34" i="1" l="1"/>
  <c r="AW33" i="1"/>
  <c r="BD35" i="1"/>
  <c r="AZ35" i="1"/>
  <c r="AK35" i="1"/>
  <c r="AQ35" i="1" s="1"/>
  <c r="BV35" i="1" l="1"/>
  <c r="AW34" i="1"/>
  <c r="BD34" i="1"/>
  <c r="AZ34" i="1"/>
  <c r="BJ40" i="1" s="1"/>
  <c r="BL40" i="1" s="1"/>
  <c r="AK34" i="1"/>
  <c r="AQ34" i="1" s="1"/>
  <c r="BV36" i="1" l="1"/>
  <c r="AW35" i="1"/>
  <c r="BD33" i="1"/>
  <c r="AZ33" i="1"/>
  <c r="AK33" i="1"/>
  <c r="AQ33" i="1" s="1"/>
  <c r="BD32" i="1"/>
  <c r="AZ32" i="1"/>
  <c r="AK32" i="1"/>
  <c r="AQ32" i="1" s="1"/>
  <c r="BV37" i="1" l="1"/>
  <c r="AW36" i="1"/>
  <c r="BD31" i="1"/>
  <c r="AZ31" i="1"/>
  <c r="AK31" i="1"/>
  <c r="AQ31" i="1" s="1"/>
  <c r="BV38" i="1" l="1"/>
  <c r="AW37" i="1"/>
  <c r="V29" i="1"/>
  <c r="AF33" i="1" s="1"/>
  <c r="AH40" i="1" l="1"/>
  <c r="BV39" i="1"/>
  <c r="AW38" i="1"/>
  <c r="BD30" i="1"/>
  <c r="AZ30" i="1"/>
  <c r="AK30" i="1"/>
  <c r="AQ30" i="1" s="1"/>
  <c r="AZ29" i="1"/>
  <c r="BD29" i="1"/>
  <c r="AK29" i="1"/>
  <c r="AQ29" i="1" s="1"/>
  <c r="BV40" i="1" l="1"/>
  <c r="BM40" i="1" s="1"/>
  <c r="AW39" i="1"/>
  <c r="BD28" i="1"/>
  <c r="AZ28" i="1"/>
  <c r="AK28" i="1"/>
  <c r="AQ28" i="1" s="1"/>
  <c r="BV41" i="1" l="1"/>
  <c r="BM41" i="1" s="1"/>
  <c r="AW40" i="1"/>
  <c r="BD27" i="1"/>
  <c r="AK27" i="1"/>
  <c r="AQ27" i="1" s="1"/>
  <c r="V25" i="1"/>
  <c r="BD26" i="1"/>
  <c r="AK26" i="1"/>
  <c r="AQ26" i="1" s="1"/>
  <c r="BV42" i="1" l="1"/>
  <c r="BM42" i="1" s="1"/>
  <c r="AW41" i="1"/>
  <c r="V24" i="1"/>
  <c r="V23" i="1"/>
  <c r="V22" i="1"/>
  <c r="V21" i="1"/>
  <c r="V20" i="1"/>
  <c r="AF26" i="1" s="1"/>
  <c r="AH33" i="1" s="1"/>
  <c r="V17" i="1"/>
  <c r="V13" i="1"/>
  <c r="V12" i="1"/>
  <c r="V10" i="1"/>
  <c r="BV43" i="1" l="1"/>
  <c r="BM43" i="1" s="1"/>
  <c r="AW42" i="1"/>
  <c r="BD24" i="1"/>
  <c r="BB24" i="1"/>
  <c r="BV44" i="1" l="1"/>
  <c r="BM44" i="1" s="1"/>
  <c r="AW43" i="1"/>
  <c r="BO24" i="1"/>
  <c r="AK25" i="1"/>
  <c r="AQ25" i="1" s="1"/>
  <c r="BD25" i="1"/>
  <c r="BB25" i="1"/>
  <c r="BB26" i="1" s="1"/>
  <c r="AZ27" i="1" s="1"/>
  <c r="BV45" i="1" l="1"/>
  <c r="BM45" i="1" s="1"/>
  <c r="AW44" i="1"/>
  <c r="BO25" i="1"/>
  <c r="BQ24" i="1"/>
  <c r="AK24" i="1"/>
  <c r="AQ24" i="1" s="1"/>
  <c r="D23" i="1"/>
  <c r="P26" i="1" s="1"/>
  <c r="R33" i="1" s="1"/>
  <c r="AK23" i="1"/>
  <c r="AQ23" i="1" s="1"/>
  <c r="BV46" i="1" l="1"/>
  <c r="BM46" i="1" s="1"/>
  <c r="AW45" i="1"/>
  <c r="BQ25" i="1"/>
  <c r="BO26" i="1"/>
  <c r="BV47" i="1" l="1"/>
  <c r="BM47" i="1" s="1"/>
  <c r="AW46" i="1"/>
  <c r="BQ26" i="1"/>
  <c r="BO27" i="1"/>
  <c r="AK22" i="1"/>
  <c r="AQ22" i="1" s="1"/>
  <c r="BV48" i="1" l="1"/>
  <c r="BM48" i="1" s="1"/>
  <c r="AW47" i="1"/>
  <c r="BQ27" i="1"/>
  <c r="BO28" i="1"/>
  <c r="BV49" i="1" l="1"/>
  <c r="BM49" i="1" s="1"/>
  <c r="AW48" i="1"/>
  <c r="BQ28" i="1"/>
  <c r="BO29" i="1"/>
  <c r="AK21" i="1"/>
  <c r="AQ21" i="1" s="1"/>
  <c r="BV50" i="1" l="1"/>
  <c r="BM50" i="1" s="1"/>
  <c r="AW49" i="1"/>
  <c r="BQ29" i="1"/>
  <c r="BO30" i="1"/>
  <c r="AK20" i="1"/>
  <c r="AQ20" i="1" s="1"/>
  <c r="AK19" i="1"/>
  <c r="AQ19" i="1" s="1"/>
  <c r="AK18" i="1"/>
  <c r="AQ18" i="1" s="1"/>
  <c r="BV51" i="1" l="1"/>
  <c r="BM51" i="1" s="1"/>
  <c r="AW50" i="1"/>
  <c r="BQ30" i="1"/>
  <c r="BO31" i="1"/>
  <c r="AK17" i="1"/>
  <c r="BV52" i="1" l="1"/>
  <c r="BM52" i="1" s="1"/>
  <c r="AW51" i="1"/>
  <c r="BQ31" i="1"/>
  <c r="BO32" i="1"/>
  <c r="AQ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AK16" i="1"/>
  <c r="AQ16" i="1" s="1"/>
  <c r="AK15" i="1"/>
  <c r="AQ15" i="1" s="1"/>
  <c r="AK14" i="1"/>
  <c r="AQ14" i="1" s="1"/>
  <c r="AK13" i="1"/>
  <c r="AQ13" i="1" s="1"/>
  <c r="AK12" i="1"/>
  <c r="AQ12" i="1" s="1"/>
  <c r="AK11" i="1"/>
  <c r="Z9" i="1"/>
  <c r="Z10" i="1" s="1"/>
  <c r="AD10" i="1" s="1"/>
  <c r="H9" i="1"/>
  <c r="BV53" i="1" l="1"/>
  <c r="BM53" i="1" s="1"/>
  <c r="AW52" i="1"/>
  <c r="BQ32" i="1"/>
  <c r="BO33" i="1"/>
  <c r="H10" i="1"/>
  <c r="J10" i="1"/>
  <c r="Z11" i="1"/>
  <c r="AD11" i="1" s="1"/>
  <c r="BV54" i="1" l="1"/>
  <c r="BM54" i="1" s="1"/>
  <c r="AW53" i="1"/>
  <c r="J11" i="1"/>
  <c r="N10" i="1"/>
  <c r="BQ33" i="1"/>
  <c r="BO34" i="1"/>
  <c r="H11" i="1"/>
  <c r="AB10" i="1"/>
  <c r="Z12" i="1"/>
  <c r="AD12" i="1" s="1"/>
  <c r="BV55" i="1" l="1"/>
  <c r="BM55" i="1" s="1"/>
  <c r="AW54" i="1"/>
  <c r="AB11" i="1"/>
  <c r="N11" i="1"/>
  <c r="J12" i="1"/>
  <c r="H12" i="1"/>
  <c r="AB12" i="1" s="1"/>
  <c r="BQ34" i="1"/>
  <c r="BO35" i="1"/>
  <c r="Z13" i="1"/>
  <c r="AD13" i="1" s="1"/>
  <c r="BV56" i="1" l="1"/>
  <c r="BM56" i="1" s="1"/>
  <c r="AW55" i="1"/>
  <c r="AU12" i="1"/>
  <c r="N12" i="1"/>
  <c r="J13" i="1"/>
  <c r="H13" i="1"/>
  <c r="BQ35" i="1"/>
  <c r="BO36" i="1"/>
  <c r="Z14" i="1"/>
  <c r="AD14" i="1" s="1"/>
  <c r="BV57" i="1" l="1"/>
  <c r="BM57" i="1" s="1"/>
  <c r="AW56" i="1"/>
  <c r="AU13" i="1"/>
  <c r="N13" i="1"/>
  <c r="J14" i="1"/>
  <c r="H14" i="1"/>
  <c r="AB13" i="1"/>
  <c r="BQ36" i="1"/>
  <c r="BO37" i="1"/>
  <c r="Z15" i="1"/>
  <c r="AD15" i="1" s="1"/>
  <c r="BV58" i="1" l="1"/>
  <c r="BM58" i="1" s="1"/>
  <c r="AW57" i="1"/>
  <c r="AU14" i="1"/>
  <c r="N14" i="1"/>
  <c r="J15" i="1"/>
  <c r="H15" i="1"/>
  <c r="N15" i="1" s="1"/>
  <c r="AB14" i="1"/>
  <c r="BQ37" i="1"/>
  <c r="BO38" i="1"/>
  <c r="Z16" i="1"/>
  <c r="AD16" i="1" s="1"/>
  <c r="AU15" i="1" l="1"/>
  <c r="BV59" i="1"/>
  <c r="BM59" i="1" s="1"/>
  <c r="AW58" i="1"/>
  <c r="J16" i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N17" i="1" s="1"/>
  <c r="AB15" i="1"/>
  <c r="BQ38" i="1"/>
  <c r="BO39" i="1"/>
  <c r="Z17" i="1"/>
  <c r="AD17" i="1" s="1"/>
  <c r="BV60" i="1" l="1"/>
  <c r="AW59" i="1"/>
  <c r="AB16" i="1"/>
  <c r="AU16" i="1"/>
  <c r="J17" i="1"/>
  <c r="F14" i="7"/>
  <c r="N16" i="1"/>
  <c r="BQ39" i="1"/>
  <c r="BO40" i="1"/>
  <c r="J18" i="1"/>
  <c r="H18" i="1"/>
  <c r="N18" i="1" s="1"/>
  <c r="Z18" i="1"/>
  <c r="AD18" i="1" s="1"/>
  <c r="AB17" i="1"/>
  <c r="AU17" i="1"/>
  <c r="BV61" i="1" l="1"/>
  <c r="BV62" i="1" s="1"/>
  <c r="BM60" i="1"/>
  <c r="AW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Q40" i="1"/>
  <c r="BO41" i="1"/>
  <c r="Z19" i="1"/>
  <c r="AD19" i="1" s="1"/>
  <c r="AB18" i="1"/>
  <c r="AU18" i="1"/>
  <c r="J19" i="1"/>
  <c r="H19" i="1"/>
  <c r="N19" i="1" s="1"/>
  <c r="BV63" i="1" l="1"/>
  <c r="BV64" i="1" s="1"/>
  <c r="BM62" i="1"/>
  <c r="AW62" i="1"/>
  <c r="AW61" i="1"/>
  <c r="BM61" i="1"/>
  <c r="Z20" i="1"/>
  <c r="BQ41" i="1"/>
  <c r="BO42" i="1"/>
  <c r="H20" i="1"/>
  <c r="N20" i="1" s="1"/>
  <c r="J20" i="1"/>
  <c r="AU19" i="1"/>
  <c r="AB19" i="1"/>
  <c r="AW64" i="1" l="1"/>
  <c r="BV65" i="1"/>
  <c r="BM64" i="1"/>
  <c r="AW63" i="1"/>
  <c r="BM63" i="1"/>
  <c r="Z21" i="1"/>
  <c r="AD21" i="1" s="1"/>
  <c r="AD20" i="1"/>
  <c r="BQ42" i="1"/>
  <c r="BO43" i="1"/>
  <c r="AB20" i="1"/>
  <c r="AU20" i="1"/>
  <c r="J21" i="1"/>
  <c r="H21" i="1"/>
  <c r="N21" i="1" s="1"/>
  <c r="BV66" i="1" l="1"/>
  <c r="BV67" i="1" s="1"/>
  <c r="AW65" i="1"/>
  <c r="BM65" i="1"/>
  <c r="Z22" i="1"/>
  <c r="AD22" i="1" s="1"/>
  <c r="AB21" i="1"/>
  <c r="BQ43" i="1"/>
  <c r="BO44" i="1"/>
  <c r="Z23" i="1"/>
  <c r="AD23" i="1" s="1"/>
  <c r="J22" i="1"/>
  <c r="H22" i="1"/>
  <c r="N22" i="1" s="1"/>
  <c r="AU21" i="1"/>
  <c r="BV68" i="1" l="1"/>
  <c r="AW67" i="1"/>
  <c r="BM67" i="1"/>
  <c r="BM66" i="1"/>
  <c r="AW66" i="1"/>
  <c r="AB22" i="1"/>
  <c r="Z24" i="1"/>
  <c r="BQ44" i="1"/>
  <c r="BO45" i="1"/>
  <c r="AU22" i="1"/>
  <c r="J23" i="1"/>
  <c r="H23" i="1"/>
  <c r="N23" i="1" s="1"/>
  <c r="BV69" i="1" l="1"/>
  <c r="BM68" i="1"/>
  <c r="AW68" i="1"/>
  <c r="Z25" i="1"/>
  <c r="AD25" i="1" s="1"/>
  <c r="AD24" i="1"/>
  <c r="H24" i="1"/>
  <c r="N24" i="1" s="1"/>
  <c r="BQ45" i="1"/>
  <c r="BO46" i="1"/>
  <c r="J24" i="1"/>
  <c r="AB23" i="1"/>
  <c r="AU23" i="1"/>
  <c r="BV70" i="1" l="1"/>
  <c r="BV71" i="1" s="1"/>
  <c r="BM69" i="1"/>
  <c r="AW69" i="1"/>
  <c r="Z26" i="1"/>
  <c r="Z27" i="1" s="1"/>
  <c r="AD27" i="1" s="1"/>
  <c r="BQ46" i="1"/>
  <c r="BO47" i="1"/>
  <c r="AU24" i="1"/>
  <c r="J25" i="1"/>
  <c r="H25" i="1"/>
  <c r="N25" i="1" s="1"/>
  <c r="AB24" i="1"/>
  <c r="BV72" i="1" l="1"/>
  <c r="BM71" i="1"/>
  <c r="AW71" i="1"/>
  <c r="AD71" i="1"/>
  <c r="BM70" i="1"/>
  <c r="AW70" i="1"/>
  <c r="AD26" i="1"/>
  <c r="Z28" i="1"/>
  <c r="AD28" i="1" s="1"/>
  <c r="BQ47" i="1"/>
  <c r="BO48" i="1"/>
  <c r="H26" i="1"/>
  <c r="J26" i="1"/>
  <c r="AU25" i="1"/>
  <c r="AB25" i="1"/>
  <c r="BV73" i="1" l="1"/>
  <c r="BM72" i="1"/>
  <c r="AW72" i="1"/>
  <c r="AD72" i="1"/>
  <c r="N26" i="1"/>
  <c r="Z29" i="1"/>
  <c r="AD29" i="1" s="1"/>
  <c r="BQ48" i="1"/>
  <c r="BO49" i="1"/>
  <c r="H27" i="1"/>
  <c r="N27" i="1" s="1"/>
  <c r="J27" i="1"/>
  <c r="AU26" i="1"/>
  <c r="AB26" i="1"/>
  <c r="BV74" i="1" l="1"/>
  <c r="AW73" i="1"/>
  <c r="BM73" i="1"/>
  <c r="AD73" i="1"/>
  <c r="N73" i="1"/>
  <c r="Z30" i="1"/>
  <c r="AD30" i="1" s="1"/>
  <c r="BQ49" i="1"/>
  <c r="BO50" i="1"/>
  <c r="J28" i="1"/>
  <c r="H28" i="1"/>
  <c r="N28" i="1" s="1"/>
  <c r="AU27" i="1"/>
  <c r="AB27" i="1"/>
  <c r="BV75" i="1" l="1"/>
  <c r="AW74" i="1"/>
  <c r="AD74" i="1"/>
  <c r="BM74" i="1"/>
  <c r="N74" i="1"/>
  <c r="Z31" i="1"/>
  <c r="AD31" i="1" s="1"/>
  <c r="BQ50" i="1"/>
  <c r="BO51" i="1"/>
  <c r="H29" i="1"/>
  <c r="N29" i="1" s="1"/>
  <c r="J29" i="1"/>
  <c r="AU28" i="1"/>
  <c r="AB28" i="1"/>
  <c r="AW75" i="1" l="1"/>
  <c r="BM75" i="1"/>
  <c r="AD75" i="1"/>
  <c r="N75" i="1"/>
  <c r="Z32" i="1"/>
  <c r="AD32" i="1" s="1"/>
  <c r="BQ51" i="1"/>
  <c r="BO52" i="1"/>
  <c r="Z33" i="1"/>
  <c r="AD33" i="1" s="1"/>
  <c r="H30" i="1"/>
  <c r="N30" i="1" s="1"/>
  <c r="J30" i="1"/>
  <c r="AU29" i="1"/>
  <c r="AB29" i="1"/>
  <c r="BQ52" i="1" l="1"/>
  <c r="BO53" i="1"/>
  <c r="Z34" i="1"/>
  <c r="AD34" i="1" s="1"/>
  <c r="H31" i="1"/>
  <c r="J31" i="1"/>
  <c r="AU30" i="1"/>
  <c r="AB30" i="1"/>
  <c r="J32" i="1" l="1"/>
  <c r="N31" i="1"/>
  <c r="BQ53" i="1"/>
  <c r="BO54" i="1"/>
  <c r="H32" i="1"/>
  <c r="AB31" i="1"/>
  <c r="AU31" i="1"/>
  <c r="Z35" i="1"/>
  <c r="AD35" i="1" s="1"/>
  <c r="J33" i="1" l="1"/>
  <c r="N32" i="1"/>
  <c r="H33" i="1"/>
  <c r="BQ54" i="1"/>
  <c r="BO55" i="1"/>
  <c r="AU32" i="1"/>
  <c r="AB32" i="1"/>
  <c r="Z36" i="1"/>
  <c r="AD36" i="1" s="1"/>
  <c r="N33" i="1" l="1"/>
  <c r="AB33" i="1"/>
  <c r="AU33" i="1"/>
  <c r="H34" i="1"/>
  <c r="N34" i="1" s="1"/>
  <c r="BQ55" i="1"/>
  <c r="BO56" i="1"/>
  <c r="J34" i="1"/>
  <c r="Z37" i="1"/>
  <c r="AD37" i="1" s="1"/>
  <c r="AB34" i="1" l="1"/>
  <c r="J35" i="1"/>
  <c r="H35" i="1"/>
  <c r="N35" i="1" s="1"/>
  <c r="AU34" i="1"/>
  <c r="BQ56" i="1"/>
  <c r="BO57" i="1"/>
  <c r="Z38" i="1"/>
  <c r="AD38" i="1" s="1"/>
  <c r="J36" i="1"/>
  <c r="H36" i="1" l="1"/>
  <c r="N36" i="1" s="1"/>
  <c r="AB35" i="1"/>
  <c r="AU35" i="1"/>
  <c r="BQ57" i="1"/>
  <c r="BO58" i="1"/>
  <c r="Z39" i="1"/>
  <c r="AD39" i="1" s="1"/>
  <c r="J37" i="1"/>
  <c r="H37" i="1" l="1"/>
  <c r="N37" i="1" s="1"/>
  <c r="AU36" i="1"/>
  <c r="AB36" i="1"/>
  <c r="BQ58" i="1"/>
  <c r="BO59" i="1"/>
  <c r="Z40" i="1"/>
  <c r="AD40" i="1" s="1"/>
  <c r="J38" i="1"/>
  <c r="H38" i="1"/>
  <c r="N38" i="1" s="1"/>
  <c r="AU37" i="1"/>
  <c r="AB37" i="1"/>
  <c r="BQ59" i="1" l="1"/>
  <c r="BO60" i="1"/>
  <c r="Z41" i="1"/>
  <c r="AD41" i="1" s="1"/>
  <c r="AU38" i="1"/>
  <c r="J39" i="1"/>
  <c r="H39" i="1"/>
  <c r="N39" i="1" s="1"/>
  <c r="AB38" i="1"/>
  <c r="BQ60" i="1" l="1"/>
  <c r="BO61" i="1"/>
  <c r="H40" i="1"/>
  <c r="Z42" i="1"/>
  <c r="AD42" i="1" s="1"/>
  <c r="J40" i="1"/>
  <c r="AU39" i="1"/>
  <c r="AB39" i="1"/>
  <c r="N40" i="1" l="1"/>
  <c r="BQ61" i="1"/>
  <c r="BO62" i="1"/>
  <c r="Z43" i="1"/>
  <c r="AD43" i="1" s="1"/>
  <c r="J41" i="1"/>
  <c r="H41" i="1"/>
  <c r="N41" i="1" s="1"/>
  <c r="AU40" i="1"/>
  <c r="AB40" i="1"/>
  <c r="BQ62" i="1" l="1"/>
  <c r="BO63" i="1"/>
  <c r="Z44" i="1"/>
  <c r="AD44" i="1" s="1"/>
  <c r="J42" i="1"/>
  <c r="H42" i="1"/>
  <c r="N42" i="1" s="1"/>
  <c r="AU41" i="1"/>
  <c r="AB41" i="1"/>
  <c r="BO64" i="1" l="1"/>
  <c r="BQ63" i="1"/>
  <c r="Z45" i="1"/>
  <c r="AD45" i="1" s="1"/>
  <c r="J43" i="1"/>
  <c r="H43" i="1"/>
  <c r="N43" i="1" s="1"/>
  <c r="AU42" i="1"/>
  <c r="AB42" i="1"/>
  <c r="BO65" i="1" l="1"/>
  <c r="BQ64" i="1"/>
  <c r="Z46" i="1"/>
  <c r="AD46" i="1" s="1"/>
  <c r="J44" i="1"/>
  <c r="H44" i="1"/>
  <c r="AU43" i="1"/>
  <c r="AB43" i="1"/>
  <c r="BO66" i="1" l="1"/>
  <c r="BQ65" i="1"/>
  <c r="N44" i="1"/>
  <c r="Z47" i="1"/>
  <c r="AD47" i="1" s="1"/>
  <c r="AU44" i="1"/>
  <c r="J45" i="1"/>
  <c r="AB44" i="1"/>
  <c r="H45" i="1"/>
  <c r="N45" i="1" s="1"/>
  <c r="BO67" i="1" l="1"/>
  <c r="BQ66" i="1"/>
  <c r="H46" i="1"/>
  <c r="Z48" i="1"/>
  <c r="AD48" i="1" s="1"/>
  <c r="J46" i="1"/>
  <c r="AU45" i="1"/>
  <c r="AB45" i="1"/>
  <c r="BO68" i="1" l="1"/>
  <c r="BO69" i="1" s="1"/>
  <c r="BQ67" i="1"/>
  <c r="J47" i="1"/>
  <c r="N46" i="1"/>
  <c r="H47" i="1"/>
  <c r="Z49" i="1"/>
  <c r="AD49" i="1" s="1"/>
  <c r="AU46" i="1"/>
  <c r="AB46" i="1"/>
  <c r="BQ69" i="1" l="1"/>
  <c r="BO70" i="1"/>
  <c r="BQ68" i="1"/>
  <c r="AU47" i="1"/>
  <c r="N47" i="1"/>
  <c r="AB47" i="1"/>
  <c r="H48" i="1"/>
  <c r="AU48" i="1" s="1"/>
  <c r="J48" i="1"/>
  <c r="Z50" i="1"/>
  <c r="AD50" i="1" s="1"/>
  <c r="BQ70" i="1" l="1"/>
  <c r="BO71" i="1"/>
  <c r="AB48" i="1"/>
  <c r="J49" i="1"/>
  <c r="N48" i="1"/>
  <c r="H49" i="1"/>
  <c r="H50" i="1" s="1"/>
  <c r="N50" i="1" s="1"/>
  <c r="Z51" i="1"/>
  <c r="AU49" i="1"/>
  <c r="AB49" i="1"/>
  <c r="BQ71" i="1" l="1"/>
  <c r="BO72" i="1"/>
  <c r="N49" i="1"/>
  <c r="J50" i="1"/>
  <c r="Z52" i="1"/>
  <c r="AD51" i="1"/>
  <c r="J51" i="1"/>
  <c r="H51" i="1"/>
  <c r="AU50" i="1"/>
  <c r="AB50" i="1"/>
  <c r="BQ72" i="1" l="1"/>
  <c r="N51" i="1"/>
  <c r="Z53" i="1"/>
  <c r="AD52" i="1"/>
  <c r="H52" i="1"/>
  <c r="N52" i="1" s="1"/>
  <c r="J52" i="1"/>
  <c r="AB51" i="1"/>
  <c r="AU51" i="1"/>
  <c r="Z54" i="1" l="1"/>
  <c r="AD53" i="1"/>
  <c r="AU52" i="1"/>
  <c r="H53" i="1"/>
  <c r="J53" i="1"/>
  <c r="AB52" i="1"/>
  <c r="N53" i="1" l="1"/>
  <c r="AD54" i="1"/>
  <c r="Z55" i="1"/>
  <c r="AU53" i="1"/>
  <c r="H54" i="1"/>
  <c r="J54" i="1"/>
  <c r="AB53" i="1"/>
  <c r="H55" i="1" l="1"/>
  <c r="J55" i="1"/>
  <c r="N54" i="1"/>
  <c r="AD55" i="1"/>
  <c r="Z56" i="1"/>
  <c r="AU54" i="1"/>
  <c r="AB54" i="1"/>
  <c r="N55" i="1" l="1"/>
  <c r="AD56" i="1"/>
  <c r="Z57" i="1"/>
  <c r="J56" i="1"/>
  <c r="H56" i="1"/>
  <c r="AU55" i="1"/>
  <c r="AB55" i="1"/>
  <c r="N56" i="1" l="1"/>
  <c r="H57" i="1"/>
  <c r="J57" i="1"/>
  <c r="AD57" i="1"/>
  <c r="Z58" i="1"/>
  <c r="AB57" i="1"/>
  <c r="AU56" i="1"/>
  <c r="AB56" i="1"/>
  <c r="AD58" i="1" l="1"/>
  <c r="Z59" i="1"/>
  <c r="Z60" i="1" s="1"/>
  <c r="AU57" i="1"/>
  <c r="N57" i="1"/>
  <c r="J58" i="1"/>
  <c r="H58" i="1"/>
  <c r="AB58" i="1" s="1"/>
  <c r="Z61" i="1" l="1"/>
  <c r="AD60" i="1"/>
  <c r="AD59" i="1"/>
  <c r="AU58" i="1"/>
  <c r="J59" i="1"/>
  <c r="H59" i="1"/>
  <c r="N58" i="1"/>
  <c r="Z62" i="1" l="1"/>
  <c r="AD61" i="1"/>
  <c r="J60" i="1"/>
  <c r="H60" i="1"/>
  <c r="AU59" i="1"/>
  <c r="N59" i="1"/>
  <c r="AB59" i="1"/>
  <c r="Y12" i="3"/>
  <c r="Y13" i="3"/>
  <c r="AD62" i="1" l="1"/>
  <c r="Z63" i="1"/>
  <c r="J61" i="1"/>
  <c r="H61" i="1"/>
  <c r="AU60" i="1"/>
  <c r="N60" i="1"/>
  <c r="AB60" i="1"/>
  <c r="Z64" i="1" l="1"/>
  <c r="Z65" i="1" s="1"/>
  <c r="H62" i="1"/>
  <c r="J62" i="1"/>
  <c r="AD63" i="1"/>
  <c r="AU61" i="1"/>
  <c r="N61" i="1"/>
  <c r="AB61" i="1"/>
  <c r="AD65" i="1" l="1"/>
  <c r="Z66" i="1"/>
  <c r="AD64" i="1"/>
  <c r="AU62" i="1"/>
  <c r="H63" i="1"/>
  <c r="J63" i="1"/>
  <c r="N62" i="1"/>
  <c r="AB62" i="1"/>
  <c r="Z67" i="1" l="1"/>
  <c r="AD66" i="1"/>
  <c r="J64" i="1"/>
  <c r="H64" i="1"/>
  <c r="AU63" i="1"/>
  <c r="N63" i="1"/>
  <c r="AB63" i="1"/>
  <c r="Y17" i="3"/>
  <c r="Y18" i="3"/>
  <c r="Y15" i="3"/>
  <c r="Y16" i="3"/>
  <c r="Y14" i="3"/>
  <c r="Z68" i="1" l="1"/>
  <c r="Z69" i="1" s="1"/>
  <c r="AD67" i="1"/>
  <c r="H65" i="1"/>
  <c r="J65" i="1"/>
  <c r="AU64" i="1"/>
  <c r="N64" i="1"/>
  <c r="AB64" i="1"/>
  <c r="Z70" i="1" l="1"/>
  <c r="AD69" i="1"/>
  <c r="AD68" i="1"/>
  <c r="AB65" i="1"/>
  <c r="J66" i="1"/>
  <c r="H66" i="1"/>
  <c r="AU65" i="1"/>
  <c r="N65" i="1"/>
  <c r="AD70" i="1" l="1"/>
  <c r="AJ21" i="2"/>
  <c r="J67" i="1"/>
  <c r="H67" i="1"/>
  <c r="AU66" i="1"/>
  <c r="N66" i="1"/>
  <c r="AB66" i="1"/>
  <c r="Y20" i="3"/>
  <c r="Y19" i="3"/>
  <c r="I23" i="3" l="1"/>
  <c r="I25" i="3" s="1"/>
  <c r="I27" i="3" s="1"/>
  <c r="I35" i="3"/>
  <c r="H68" i="1"/>
  <c r="J68" i="1"/>
  <c r="AU67" i="1"/>
  <c r="N67" i="1"/>
  <c r="AB67" i="1"/>
  <c r="J69" i="1" l="1"/>
  <c r="H69" i="1"/>
  <c r="AU68" i="1"/>
  <c r="N68" i="1"/>
  <c r="AB68" i="1"/>
  <c r="I34" i="3"/>
  <c r="N27" i="3"/>
  <c r="N28" i="3" s="1"/>
  <c r="J70" i="1" l="1"/>
  <c r="H70" i="1"/>
  <c r="AU69" i="1"/>
  <c r="AB69" i="1"/>
  <c r="N69" i="1"/>
  <c r="Y22" i="3"/>
  <c r="Y21" i="3"/>
  <c r="H71" i="1" l="1"/>
  <c r="J71" i="1"/>
  <c r="N70" i="1"/>
  <c r="AU70" i="1"/>
  <c r="AB70" i="1"/>
  <c r="AU71" i="1" l="1"/>
  <c r="H72" i="1"/>
  <c r="D109" i="1" s="1"/>
  <c r="AB71" i="1"/>
  <c r="N71" i="1"/>
  <c r="J72" i="1"/>
  <c r="Y24" i="3"/>
  <c r="Y23" i="3"/>
  <c r="T14" i="7" l="1"/>
  <c r="AU72" i="1"/>
  <c r="AB72" i="1"/>
  <c r="N72" i="1"/>
  <c r="T15" i="7" l="1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P15" i="7"/>
  <c r="AF21" i="2"/>
  <c r="I32" i="3"/>
  <c r="Y26" i="3"/>
  <c r="Y25" i="3"/>
  <c r="P16" i="7" l="1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L32" i="3"/>
  <c r="L35" i="3"/>
  <c r="I36" i="3"/>
  <c r="L34" i="3"/>
  <c r="I28" i="3"/>
  <c r="Y30" i="3" l="1"/>
  <c r="U31" i="3"/>
  <c r="Y31" i="3" s="1"/>
  <c r="Y28" i="3"/>
  <c r="Y29" i="3"/>
  <c r="U46" i="3"/>
  <c r="L36" i="3"/>
  <c r="W31" i="3" s="1"/>
  <c r="Y27" i="3" l="1"/>
  <c r="W12" i="3"/>
</calcChain>
</file>

<file path=xl/sharedStrings.xml><?xml version="1.0" encoding="utf-8"?>
<sst xmlns="http://schemas.openxmlformats.org/spreadsheetml/2006/main" count="243" uniqueCount="135">
  <si>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</si>
  <si>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</si>
  <si>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</si>
  <si>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</si>
  <si>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</si>
  <si>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</si>
  <si>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</si>
  <si>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</si>
  <si>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</si>
  <si>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</si>
  <si>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</si>
  <si>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</si>
  <si>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</si>
  <si>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</si>
  <si>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</si>
  <si>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</si>
  <si>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</si>
  <si>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</si>
  <si>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</si>
  <si>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</si>
  <si>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</si>
  <si>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</si>
  <si>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</si>
  <si>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</si>
  <si>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</si>
  <si>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</si>
  <si>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</si>
  <si>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</si>
  <si>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</si>
  <si>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</si>
  <si>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</si>
  <si>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</si>
  <si>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</si>
  <si>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</si>
  <si>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</si>
  <si>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</si>
  <si>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</si>
  <si>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</si>
  <si>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</si>
  <si>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</si>
  <si>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</si>
  <si>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</si>
  <si>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</si>
  <si>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</si>
  <si>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</si>
  <si>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</si>
  <si>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</si>
  <si>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</si>
  <si>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</si>
  <si>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</si>
  <si>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</si>
  <si>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</si>
  <si>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</si>
  <si>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</si>
  <si>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</si>
  <si>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</si>
  <si>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</si>
  <si>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>NYC Metro Weighted Average (WA)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</si>
  <si>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</si>
  <si>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</si>
  <si>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</si>
  <si>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</si>
  <si>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</si>
  <si>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</si>
  <si>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</si>
  <si>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</si>
  <si>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</si>
  <si>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</si>
  <si>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</si>
  <si>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</si>
  <si>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On 4/14/20 NYC added an additional 3,778 deaths that happened since 3/11/20, the retroactive data effected both cases and deaths.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</si>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</sst>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0.0000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3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5" fontId="10" fillId="7" borderId="26" xfId="2" applyNumberFormat="1" applyFont="1" applyFill="1" applyBorder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4" fillId="5" borderId="1" xfId="0" applyFont="1" applyFill="1" applyBorder="1" applyAlignment="1">
      <alignment horizontal="center"/>
    </xf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0" fontId="0" fillId="5" borderId="1" xfId="0" applyFill="1" applyBorder="1" applyAlignment="1">
      <alignment horizontal="center"/>
    </xf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72" fontId="0" fillId="0" borderId="0" xfId="2" applyNumberFormat="1" applyFont="1"/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Deaths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212292213473316"/>
          <c:y val="0.15321705426356588"/>
          <c:w val="0.84732152230971125"/>
          <c:h val="0.6522160166025758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val>
            <c:numRef>
              <c:f>'Main Table'!$AF$26:$AF$75</c:f>
            </c:numRef>
          </c:val>
          <c:extLst>
            <c:ext xmlns:c16="http://schemas.microsoft.com/office/drawing/2014/chart" uri="{C3380CC4-5D6E-409C-BE32-E72D297353CC}">
              <c16:uniqueId val="{00000000-A9AA-4AF3-B700-FCA54868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20301120"/>
        <c:axId val="107561136"/>
        <c:axId val="0"/>
      </c:bar3DChart>
      <c:catAx>
        <c:axId val="32030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61136"/>
        <c:crosses val="autoZero"/>
        <c:auto val="1"/>
        <c:lblAlgn val="ctr"/>
        <c:lblOffset val="100"/>
        <c:noMultiLvlLbl val="0"/>
      </c:catAx>
      <c:valAx>
        <c:axId val="107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0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381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78958880139982"/>
          <c:y val="0.17171296296296296"/>
          <c:w val="0.84576596675415561"/>
          <c:h val="0.6318563244498284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val>
            <c:numRef>
              <c:f>'Main Table'!$P$26:$P$75</c:f>
            </c:numRef>
          </c:val>
          <c:extLst>
            <c:ext xmlns:c16="http://schemas.microsoft.com/office/drawing/2014/chart" uri="{C3380CC4-5D6E-409C-BE32-E72D297353CC}">
              <c16:uniqueId val="{00000000-4152-4684-B524-877832AA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41305456"/>
        <c:axId val="763134224"/>
        <c:axId val="0"/>
      </c:bar3DChart>
      <c:catAx>
        <c:axId val="24130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134224"/>
        <c:crosses val="autoZero"/>
        <c:auto val="1"/>
        <c:lblAlgn val="ctr"/>
        <c:lblOffset val="100"/>
        <c:noMultiLvlLbl val="0"/>
      </c:catAx>
      <c:valAx>
        <c:axId val="7631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0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381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</a:t>
            </a:r>
            <a:r>
              <a:rPr lang="en-US" baseline="0"/>
              <a:t> U.S. Test Rates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342825896762903"/>
          <c:y val="0.15766601686925058"/>
          <c:w val="0.86601618547681536"/>
          <c:h val="0.6411385052278301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'Main Table'!$BL$40:$BL$75</c:f>
            </c:numRef>
          </c:val>
          <c:extLst>
            <c:ext xmlns:c16="http://schemas.microsoft.com/office/drawing/2014/chart" uri="{C3380CC4-5D6E-409C-BE32-E72D297353CC}">
              <c16:uniqueId val="{00000000-82AE-4CA9-8413-8404A75101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285091552"/>
        <c:axId val="117102864"/>
        <c:axId val="0"/>
      </c:bar3DChart>
      <c:catAx>
        <c:axId val="128509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Days Beginning April 19,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02864"/>
        <c:crosses val="autoZero"/>
        <c:auto val="0"/>
        <c:lblAlgn val="ctr"/>
        <c:lblOffset val="100"/>
        <c:noMultiLvlLbl val="0"/>
      </c:catAx>
      <c:valAx>
        <c:axId val="1171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09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381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90</xdr:col>
      <xdr:colOff>259080</xdr:colOff>
      <xdr:row>4</xdr:row>
      <xdr:rowOff>60960</xdr:rowOff>
    </xdr:from>
    <xdr:to>
      <xdr:col>90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274320</xdr:colOff>
      <xdr:row>5</xdr:row>
      <xdr:rowOff>76200</xdr:rowOff>
    </xdr:from>
    <xdr:to>
      <xdr:col>90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289560</xdr:colOff>
      <xdr:row>7</xdr:row>
      <xdr:rowOff>45720</xdr:rowOff>
    </xdr:from>
    <xdr:to>
      <xdr:col>90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15</xdr:row>
      <xdr:rowOff>0</xdr:rowOff>
    </xdr:from>
    <xdr:to>
      <xdr:col>44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16</xdr:row>
      <xdr:rowOff>0</xdr:rowOff>
    </xdr:from>
    <xdr:to>
      <xdr:col>44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17</xdr:row>
      <xdr:rowOff>0</xdr:rowOff>
    </xdr:from>
    <xdr:to>
      <xdr:col>44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18</xdr:row>
      <xdr:rowOff>0</xdr:rowOff>
    </xdr:from>
    <xdr:to>
      <xdr:col>44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19</xdr:row>
      <xdr:rowOff>0</xdr:rowOff>
    </xdr:from>
    <xdr:to>
      <xdr:col>44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281940</xdr:colOff>
      <xdr:row>5</xdr:row>
      <xdr:rowOff>45720</xdr:rowOff>
    </xdr:from>
    <xdr:to>
      <xdr:col>91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20</xdr:row>
      <xdr:rowOff>0</xdr:rowOff>
    </xdr:from>
    <xdr:to>
      <xdr:col>44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21</xdr:row>
      <xdr:rowOff>0</xdr:rowOff>
    </xdr:from>
    <xdr:to>
      <xdr:col>44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22</xdr:row>
      <xdr:rowOff>0</xdr:rowOff>
    </xdr:from>
    <xdr:to>
      <xdr:col>44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4</xdr:row>
      <xdr:rowOff>22860</xdr:rowOff>
    </xdr:from>
    <xdr:to>
      <xdr:col>91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17</xdr:row>
      <xdr:rowOff>0</xdr:rowOff>
    </xdr:from>
    <xdr:to>
      <xdr:col>38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18</xdr:row>
      <xdr:rowOff>0</xdr:rowOff>
    </xdr:from>
    <xdr:to>
      <xdr:col>38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20</xdr:row>
      <xdr:rowOff>0</xdr:rowOff>
    </xdr:from>
    <xdr:to>
      <xdr:col>38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19</xdr:row>
      <xdr:rowOff>0</xdr:rowOff>
    </xdr:from>
    <xdr:to>
      <xdr:col>38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21</xdr:row>
      <xdr:rowOff>0</xdr:rowOff>
    </xdr:from>
    <xdr:to>
      <xdr:col>38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22</xdr:row>
      <xdr:rowOff>0</xdr:rowOff>
    </xdr:from>
    <xdr:to>
      <xdr:col>38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19</xdr:row>
      <xdr:rowOff>0</xdr:rowOff>
    </xdr:from>
    <xdr:to>
      <xdr:col>23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18</xdr:row>
      <xdr:rowOff>0</xdr:rowOff>
    </xdr:from>
    <xdr:to>
      <xdr:col>23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23</xdr:row>
      <xdr:rowOff>0</xdr:rowOff>
    </xdr:from>
    <xdr:to>
      <xdr:col>44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23</xdr:row>
      <xdr:rowOff>0</xdr:rowOff>
    </xdr:from>
    <xdr:to>
      <xdr:col>38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</xdr:row>
      <xdr:rowOff>0</xdr:rowOff>
    </xdr:from>
    <xdr:to>
      <xdr:col>44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</xdr:row>
      <xdr:rowOff>0</xdr:rowOff>
    </xdr:from>
    <xdr:to>
      <xdr:col>44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14</xdr:row>
      <xdr:rowOff>0</xdr:rowOff>
    </xdr:from>
    <xdr:to>
      <xdr:col>44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</xdr:row>
      <xdr:rowOff>0</xdr:rowOff>
    </xdr:from>
    <xdr:to>
      <xdr:col>38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15</xdr:row>
      <xdr:rowOff>0</xdr:rowOff>
    </xdr:from>
    <xdr:to>
      <xdr:col>38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</xdr:row>
      <xdr:rowOff>0</xdr:rowOff>
    </xdr:from>
    <xdr:to>
      <xdr:col>38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14</xdr:row>
      <xdr:rowOff>0</xdr:rowOff>
    </xdr:from>
    <xdr:to>
      <xdr:col>38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16</xdr:row>
      <xdr:rowOff>0</xdr:rowOff>
    </xdr:from>
    <xdr:to>
      <xdr:col>38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15</xdr:row>
      <xdr:rowOff>0</xdr:rowOff>
    </xdr:from>
    <xdr:to>
      <xdr:col>23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16</xdr:row>
      <xdr:rowOff>0</xdr:rowOff>
    </xdr:from>
    <xdr:to>
      <xdr:col>23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11</xdr:row>
      <xdr:rowOff>0</xdr:rowOff>
    </xdr:from>
    <xdr:to>
      <xdr:col>39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10</xdr:row>
      <xdr:rowOff>0</xdr:rowOff>
    </xdr:from>
    <xdr:to>
      <xdr:col>23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</xdr:row>
      <xdr:rowOff>0</xdr:rowOff>
    </xdr:from>
    <xdr:to>
      <xdr:col>45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24</xdr:row>
      <xdr:rowOff>38100</xdr:rowOff>
    </xdr:from>
    <xdr:to>
      <xdr:col>44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24</xdr:row>
      <xdr:rowOff>30480</xdr:rowOff>
    </xdr:from>
    <xdr:to>
      <xdr:col>38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23</xdr:row>
      <xdr:rowOff>0</xdr:rowOff>
    </xdr:from>
    <xdr:to>
      <xdr:col>70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25</xdr:row>
      <xdr:rowOff>38100</xdr:rowOff>
    </xdr:from>
    <xdr:to>
      <xdr:col>44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25</xdr:row>
      <xdr:rowOff>30480</xdr:rowOff>
    </xdr:from>
    <xdr:to>
      <xdr:col>38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25</xdr:row>
      <xdr:rowOff>30480</xdr:rowOff>
    </xdr:from>
    <xdr:to>
      <xdr:col>23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26</xdr:row>
      <xdr:rowOff>38100</xdr:rowOff>
    </xdr:from>
    <xdr:to>
      <xdr:col>44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26</xdr:row>
      <xdr:rowOff>53340</xdr:rowOff>
    </xdr:from>
    <xdr:to>
      <xdr:col>38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24</xdr:row>
      <xdr:rowOff>0</xdr:rowOff>
    </xdr:from>
    <xdr:to>
      <xdr:col>70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25</xdr:row>
      <xdr:rowOff>0</xdr:rowOff>
    </xdr:from>
    <xdr:to>
      <xdr:col>70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26</xdr:row>
      <xdr:rowOff>0</xdr:rowOff>
    </xdr:from>
    <xdr:to>
      <xdr:col>70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27</xdr:row>
      <xdr:rowOff>38100</xdr:rowOff>
    </xdr:from>
    <xdr:to>
      <xdr:col>44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27</xdr:row>
      <xdr:rowOff>0</xdr:rowOff>
    </xdr:from>
    <xdr:to>
      <xdr:col>70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28</xdr:row>
      <xdr:rowOff>0</xdr:rowOff>
    </xdr:from>
    <xdr:to>
      <xdr:col>70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28</xdr:row>
      <xdr:rowOff>60960</xdr:rowOff>
    </xdr:from>
    <xdr:to>
      <xdr:col>44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29</xdr:row>
      <xdr:rowOff>0</xdr:rowOff>
    </xdr:from>
    <xdr:to>
      <xdr:col>70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28</xdr:row>
      <xdr:rowOff>0</xdr:rowOff>
    </xdr:from>
    <xdr:to>
      <xdr:col>38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27</xdr:row>
      <xdr:rowOff>0</xdr:rowOff>
    </xdr:from>
    <xdr:to>
      <xdr:col>38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7620</xdr:colOff>
      <xdr:row>29</xdr:row>
      <xdr:rowOff>53340</xdr:rowOff>
    </xdr:from>
    <xdr:to>
      <xdr:col>44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30</xdr:row>
      <xdr:rowOff>0</xdr:rowOff>
    </xdr:from>
    <xdr:to>
      <xdr:col>70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37</xdr:col>
      <xdr:colOff>60960</xdr:colOff>
      <xdr:row>30</xdr:row>
      <xdr:rowOff>30480</xdr:rowOff>
    </xdr:from>
    <xdr:to>
      <xdr:col>38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30</xdr:row>
      <xdr:rowOff>53340</xdr:rowOff>
    </xdr:from>
    <xdr:to>
      <xdr:col>44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31</xdr:row>
      <xdr:rowOff>0</xdr:rowOff>
    </xdr:from>
    <xdr:to>
      <xdr:col>70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29</xdr:row>
      <xdr:rowOff>0</xdr:rowOff>
    </xdr:from>
    <xdr:to>
      <xdr:col>38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31</xdr:row>
      <xdr:rowOff>0</xdr:rowOff>
    </xdr:from>
    <xdr:to>
      <xdr:col>38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31</xdr:row>
      <xdr:rowOff>0</xdr:rowOff>
    </xdr:from>
    <xdr:to>
      <xdr:col>44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31</xdr:row>
      <xdr:rowOff>0</xdr:rowOff>
    </xdr:from>
    <xdr:to>
      <xdr:col>23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30</xdr:row>
      <xdr:rowOff>0</xdr:rowOff>
    </xdr:from>
    <xdr:to>
      <xdr:col>23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28</xdr:row>
      <xdr:rowOff>0</xdr:rowOff>
    </xdr:from>
    <xdr:to>
      <xdr:col>23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32</xdr:row>
      <xdr:rowOff>0</xdr:rowOff>
    </xdr:from>
    <xdr:to>
      <xdr:col>70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32</xdr:row>
      <xdr:rowOff>0</xdr:rowOff>
    </xdr:from>
    <xdr:to>
      <xdr:col>38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32</xdr:row>
      <xdr:rowOff>0</xdr:rowOff>
    </xdr:from>
    <xdr:to>
      <xdr:col>44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33</xdr:row>
      <xdr:rowOff>0</xdr:rowOff>
    </xdr:from>
    <xdr:to>
      <xdr:col>70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33</xdr:row>
      <xdr:rowOff>0</xdr:rowOff>
    </xdr:from>
    <xdr:to>
      <xdr:col>44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33</xdr:row>
      <xdr:rowOff>0</xdr:rowOff>
    </xdr:from>
    <xdr:to>
      <xdr:col>38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33</xdr:row>
      <xdr:rowOff>0</xdr:rowOff>
    </xdr:from>
    <xdr:to>
      <xdr:col>23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34</xdr:row>
      <xdr:rowOff>0</xdr:rowOff>
    </xdr:from>
    <xdr:to>
      <xdr:col>70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34</xdr:row>
      <xdr:rowOff>0</xdr:rowOff>
    </xdr:from>
    <xdr:to>
      <xdr:col>44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34</xdr:row>
      <xdr:rowOff>0</xdr:rowOff>
    </xdr:from>
    <xdr:to>
      <xdr:col>23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35</xdr:row>
      <xdr:rowOff>0</xdr:rowOff>
    </xdr:from>
    <xdr:to>
      <xdr:col>70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35</xdr:row>
      <xdr:rowOff>0</xdr:rowOff>
    </xdr:from>
    <xdr:to>
      <xdr:col>44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35</xdr:row>
      <xdr:rowOff>0</xdr:rowOff>
    </xdr:from>
    <xdr:to>
      <xdr:col>38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36</xdr:row>
      <xdr:rowOff>0</xdr:rowOff>
    </xdr:from>
    <xdr:to>
      <xdr:col>70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36</xdr:row>
      <xdr:rowOff>0</xdr:rowOff>
    </xdr:from>
    <xdr:to>
      <xdr:col>44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36</xdr:row>
      <xdr:rowOff>0</xdr:rowOff>
    </xdr:from>
    <xdr:to>
      <xdr:col>38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37</xdr:row>
      <xdr:rowOff>0</xdr:rowOff>
    </xdr:from>
    <xdr:to>
      <xdr:col>70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37</xdr:row>
      <xdr:rowOff>0</xdr:rowOff>
    </xdr:from>
    <xdr:to>
      <xdr:col>23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37</xdr:row>
      <xdr:rowOff>0</xdr:rowOff>
    </xdr:from>
    <xdr:to>
      <xdr:col>38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37</xdr:row>
      <xdr:rowOff>0</xdr:rowOff>
    </xdr:from>
    <xdr:to>
      <xdr:col>44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38</xdr:row>
      <xdr:rowOff>0</xdr:rowOff>
    </xdr:from>
    <xdr:to>
      <xdr:col>70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38</xdr:row>
      <xdr:rowOff>0</xdr:rowOff>
    </xdr:from>
    <xdr:to>
      <xdr:col>38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38</xdr:row>
      <xdr:rowOff>0</xdr:rowOff>
    </xdr:from>
    <xdr:to>
      <xdr:col>44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39</xdr:row>
      <xdr:rowOff>0</xdr:rowOff>
    </xdr:from>
    <xdr:to>
      <xdr:col>23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39</xdr:row>
      <xdr:rowOff>0</xdr:rowOff>
    </xdr:from>
    <xdr:to>
      <xdr:col>44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39</xdr:row>
      <xdr:rowOff>0</xdr:rowOff>
    </xdr:from>
    <xdr:to>
      <xdr:col>38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40</xdr:row>
      <xdr:rowOff>0</xdr:rowOff>
    </xdr:from>
    <xdr:to>
      <xdr:col>38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40</xdr:row>
      <xdr:rowOff>0</xdr:rowOff>
    </xdr:from>
    <xdr:to>
      <xdr:col>44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41</xdr:row>
      <xdr:rowOff>0</xdr:rowOff>
    </xdr:from>
    <xdr:to>
      <xdr:col>23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41</xdr:row>
      <xdr:rowOff>0</xdr:rowOff>
    </xdr:from>
    <xdr:to>
      <xdr:col>38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41</xdr:row>
      <xdr:rowOff>0</xdr:rowOff>
    </xdr:from>
    <xdr:to>
      <xdr:col>44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42</xdr:row>
      <xdr:rowOff>0</xdr:rowOff>
    </xdr:from>
    <xdr:to>
      <xdr:col>38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42</xdr:row>
      <xdr:rowOff>0</xdr:rowOff>
    </xdr:from>
    <xdr:to>
      <xdr:col>44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43</xdr:row>
      <xdr:rowOff>0</xdr:rowOff>
    </xdr:from>
    <xdr:to>
      <xdr:col>23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43</xdr:row>
      <xdr:rowOff>0</xdr:rowOff>
    </xdr:from>
    <xdr:to>
      <xdr:col>38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43</xdr:row>
      <xdr:rowOff>0</xdr:rowOff>
    </xdr:from>
    <xdr:to>
      <xdr:col>70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39</xdr:row>
      <xdr:rowOff>0</xdr:rowOff>
    </xdr:from>
    <xdr:to>
      <xdr:col>70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40</xdr:row>
      <xdr:rowOff>0</xdr:rowOff>
    </xdr:from>
    <xdr:to>
      <xdr:col>70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41</xdr:row>
      <xdr:rowOff>0</xdr:rowOff>
    </xdr:from>
    <xdr:to>
      <xdr:col>70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42</xdr:row>
      <xdr:rowOff>0</xdr:rowOff>
    </xdr:from>
    <xdr:to>
      <xdr:col>70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43</xdr:row>
      <xdr:rowOff>0</xdr:rowOff>
    </xdr:from>
    <xdr:to>
      <xdr:col>44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40</xdr:row>
      <xdr:rowOff>0</xdr:rowOff>
    </xdr:from>
    <xdr:to>
      <xdr:col>59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41</xdr:row>
      <xdr:rowOff>0</xdr:rowOff>
    </xdr:from>
    <xdr:to>
      <xdr:col>59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42</xdr:row>
      <xdr:rowOff>0</xdr:rowOff>
    </xdr:from>
    <xdr:to>
      <xdr:col>59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43</xdr:row>
      <xdr:rowOff>0</xdr:rowOff>
    </xdr:from>
    <xdr:to>
      <xdr:col>59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39</xdr:row>
      <xdr:rowOff>0</xdr:rowOff>
    </xdr:from>
    <xdr:to>
      <xdr:col>59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44</xdr:row>
      <xdr:rowOff>0</xdr:rowOff>
    </xdr:from>
    <xdr:to>
      <xdr:col>38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44</xdr:row>
      <xdr:rowOff>0</xdr:rowOff>
    </xdr:from>
    <xdr:to>
      <xdr:col>44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44</xdr:row>
      <xdr:rowOff>0</xdr:rowOff>
    </xdr:from>
    <xdr:to>
      <xdr:col>59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44</xdr:row>
      <xdr:rowOff>0</xdr:rowOff>
    </xdr:from>
    <xdr:to>
      <xdr:col>70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44</xdr:row>
      <xdr:rowOff>0</xdr:rowOff>
    </xdr:from>
    <xdr:to>
      <xdr:col>23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45</xdr:row>
      <xdr:rowOff>0</xdr:rowOff>
    </xdr:from>
    <xdr:to>
      <xdr:col>44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45</xdr:row>
      <xdr:rowOff>0</xdr:rowOff>
    </xdr:from>
    <xdr:to>
      <xdr:col>23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45</xdr:row>
      <xdr:rowOff>0</xdr:rowOff>
    </xdr:from>
    <xdr:to>
      <xdr:col>59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45</xdr:row>
      <xdr:rowOff>0</xdr:rowOff>
    </xdr:from>
    <xdr:to>
      <xdr:col>70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45</xdr:row>
      <xdr:rowOff>0</xdr:rowOff>
    </xdr:from>
    <xdr:to>
      <xdr:col>38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46</xdr:row>
      <xdr:rowOff>0</xdr:rowOff>
    </xdr:from>
    <xdr:to>
      <xdr:col>70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46</xdr:row>
      <xdr:rowOff>0</xdr:rowOff>
    </xdr:from>
    <xdr:to>
      <xdr:col>23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46</xdr:row>
      <xdr:rowOff>0</xdr:rowOff>
    </xdr:from>
    <xdr:to>
      <xdr:col>59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46</xdr:row>
      <xdr:rowOff>0</xdr:rowOff>
    </xdr:from>
    <xdr:to>
      <xdr:col>44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46</xdr:row>
      <xdr:rowOff>0</xdr:rowOff>
    </xdr:from>
    <xdr:to>
      <xdr:col>38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47</xdr:row>
      <xdr:rowOff>0</xdr:rowOff>
    </xdr:from>
    <xdr:to>
      <xdr:col>38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47</xdr:row>
      <xdr:rowOff>0</xdr:rowOff>
    </xdr:from>
    <xdr:to>
      <xdr:col>44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47</xdr:row>
      <xdr:rowOff>0</xdr:rowOff>
    </xdr:from>
    <xdr:to>
      <xdr:col>59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47</xdr:row>
      <xdr:rowOff>0</xdr:rowOff>
    </xdr:from>
    <xdr:to>
      <xdr:col>70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47</xdr:row>
      <xdr:rowOff>0</xdr:rowOff>
    </xdr:from>
    <xdr:to>
      <xdr:col>23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48</xdr:row>
      <xdr:rowOff>0</xdr:rowOff>
    </xdr:from>
    <xdr:to>
      <xdr:col>23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48</xdr:row>
      <xdr:rowOff>0</xdr:rowOff>
    </xdr:from>
    <xdr:to>
      <xdr:col>38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48</xdr:row>
      <xdr:rowOff>0</xdr:rowOff>
    </xdr:from>
    <xdr:to>
      <xdr:col>70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49</xdr:row>
      <xdr:rowOff>0</xdr:rowOff>
    </xdr:from>
    <xdr:to>
      <xdr:col>59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49</xdr:row>
      <xdr:rowOff>0</xdr:rowOff>
    </xdr:from>
    <xdr:to>
      <xdr:col>23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49</xdr:row>
      <xdr:rowOff>0</xdr:rowOff>
    </xdr:from>
    <xdr:to>
      <xdr:col>70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49</xdr:row>
      <xdr:rowOff>0</xdr:rowOff>
    </xdr:from>
    <xdr:to>
      <xdr:col>44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49</xdr:row>
      <xdr:rowOff>0</xdr:rowOff>
    </xdr:from>
    <xdr:to>
      <xdr:col>38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50</xdr:row>
      <xdr:rowOff>0</xdr:rowOff>
    </xdr:from>
    <xdr:to>
      <xdr:col>23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50</xdr:row>
      <xdr:rowOff>0</xdr:rowOff>
    </xdr:from>
    <xdr:to>
      <xdr:col>44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50</xdr:row>
      <xdr:rowOff>0</xdr:rowOff>
    </xdr:from>
    <xdr:to>
      <xdr:col>70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50</xdr:row>
      <xdr:rowOff>0</xdr:rowOff>
    </xdr:from>
    <xdr:to>
      <xdr:col>59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48</xdr:row>
      <xdr:rowOff>0</xdr:rowOff>
    </xdr:from>
    <xdr:to>
      <xdr:col>59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50</xdr:row>
      <xdr:rowOff>0</xdr:rowOff>
    </xdr:from>
    <xdr:to>
      <xdr:col>38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51</xdr:row>
      <xdr:rowOff>0</xdr:rowOff>
    </xdr:from>
    <xdr:to>
      <xdr:col>23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51</xdr:row>
      <xdr:rowOff>0</xdr:rowOff>
    </xdr:from>
    <xdr:to>
      <xdr:col>44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51</xdr:row>
      <xdr:rowOff>0</xdr:rowOff>
    </xdr:from>
    <xdr:to>
      <xdr:col>38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51</xdr:row>
      <xdr:rowOff>0</xdr:rowOff>
    </xdr:from>
    <xdr:to>
      <xdr:col>59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51</xdr:row>
      <xdr:rowOff>0</xdr:rowOff>
    </xdr:from>
    <xdr:to>
      <xdr:col>70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52</xdr:row>
      <xdr:rowOff>0</xdr:rowOff>
    </xdr:from>
    <xdr:to>
      <xdr:col>44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52</xdr:row>
      <xdr:rowOff>0</xdr:rowOff>
    </xdr:from>
    <xdr:to>
      <xdr:col>38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52</xdr:row>
      <xdr:rowOff>0</xdr:rowOff>
    </xdr:from>
    <xdr:to>
      <xdr:col>59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52</xdr:row>
      <xdr:rowOff>0</xdr:rowOff>
    </xdr:from>
    <xdr:to>
      <xdr:col>70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52</xdr:row>
      <xdr:rowOff>0</xdr:rowOff>
    </xdr:from>
    <xdr:to>
      <xdr:col>23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53</xdr:row>
      <xdr:rowOff>0</xdr:rowOff>
    </xdr:from>
    <xdr:to>
      <xdr:col>44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53</xdr:row>
      <xdr:rowOff>0</xdr:rowOff>
    </xdr:from>
    <xdr:to>
      <xdr:col>23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53</xdr:row>
      <xdr:rowOff>0</xdr:rowOff>
    </xdr:from>
    <xdr:to>
      <xdr:col>70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53</xdr:row>
      <xdr:rowOff>0</xdr:rowOff>
    </xdr:from>
    <xdr:to>
      <xdr:col>59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53</xdr:row>
      <xdr:rowOff>0</xdr:rowOff>
    </xdr:from>
    <xdr:to>
      <xdr:col>38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54</xdr:row>
      <xdr:rowOff>0</xdr:rowOff>
    </xdr:from>
    <xdr:to>
      <xdr:col>44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54</xdr:row>
      <xdr:rowOff>0</xdr:rowOff>
    </xdr:from>
    <xdr:to>
      <xdr:col>70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54</xdr:row>
      <xdr:rowOff>0</xdr:rowOff>
    </xdr:from>
    <xdr:to>
      <xdr:col>59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54</xdr:row>
      <xdr:rowOff>0</xdr:rowOff>
    </xdr:from>
    <xdr:to>
      <xdr:col>38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54</xdr:row>
      <xdr:rowOff>0</xdr:rowOff>
    </xdr:from>
    <xdr:to>
      <xdr:col>23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55</xdr:row>
      <xdr:rowOff>0</xdr:rowOff>
    </xdr:from>
    <xdr:to>
      <xdr:col>44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55</xdr:row>
      <xdr:rowOff>0</xdr:rowOff>
    </xdr:from>
    <xdr:to>
      <xdr:col>70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55</xdr:row>
      <xdr:rowOff>0</xdr:rowOff>
    </xdr:from>
    <xdr:to>
      <xdr:col>38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55</xdr:row>
      <xdr:rowOff>0</xdr:rowOff>
    </xdr:from>
    <xdr:to>
      <xdr:col>23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55</xdr:row>
      <xdr:rowOff>0</xdr:rowOff>
    </xdr:from>
    <xdr:to>
      <xdr:col>59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56</xdr:row>
      <xdr:rowOff>0</xdr:rowOff>
    </xdr:from>
    <xdr:to>
      <xdr:col>44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56</xdr:row>
      <xdr:rowOff>0</xdr:rowOff>
    </xdr:from>
    <xdr:to>
      <xdr:col>70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56</xdr:row>
      <xdr:rowOff>0</xdr:rowOff>
    </xdr:from>
    <xdr:to>
      <xdr:col>23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56</xdr:row>
      <xdr:rowOff>0</xdr:rowOff>
    </xdr:from>
    <xdr:to>
      <xdr:col>38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56</xdr:row>
      <xdr:rowOff>0</xdr:rowOff>
    </xdr:from>
    <xdr:to>
      <xdr:col>59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57</xdr:row>
      <xdr:rowOff>0</xdr:rowOff>
    </xdr:from>
    <xdr:to>
      <xdr:col>44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57</xdr:row>
      <xdr:rowOff>0</xdr:rowOff>
    </xdr:from>
    <xdr:to>
      <xdr:col>38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57</xdr:row>
      <xdr:rowOff>0</xdr:rowOff>
    </xdr:from>
    <xdr:to>
      <xdr:col>59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57</xdr:row>
      <xdr:rowOff>0</xdr:rowOff>
    </xdr:from>
    <xdr:to>
      <xdr:col>70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57</xdr:row>
      <xdr:rowOff>0</xdr:rowOff>
    </xdr:from>
    <xdr:to>
      <xdr:col>23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58</xdr:row>
      <xdr:rowOff>0</xdr:rowOff>
    </xdr:from>
    <xdr:to>
      <xdr:col>44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58</xdr:row>
      <xdr:rowOff>0</xdr:rowOff>
    </xdr:from>
    <xdr:to>
      <xdr:col>38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58</xdr:row>
      <xdr:rowOff>0</xdr:rowOff>
    </xdr:from>
    <xdr:to>
      <xdr:col>59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58</xdr:row>
      <xdr:rowOff>0</xdr:rowOff>
    </xdr:from>
    <xdr:to>
      <xdr:col>70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58</xdr:row>
      <xdr:rowOff>0</xdr:rowOff>
    </xdr:from>
    <xdr:to>
      <xdr:col>23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59</xdr:row>
      <xdr:rowOff>0</xdr:rowOff>
    </xdr:from>
    <xdr:to>
      <xdr:col>44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59</xdr:row>
      <xdr:rowOff>0</xdr:rowOff>
    </xdr:from>
    <xdr:to>
      <xdr:col>38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59</xdr:row>
      <xdr:rowOff>0</xdr:rowOff>
    </xdr:from>
    <xdr:to>
      <xdr:col>70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59</xdr:row>
      <xdr:rowOff>0</xdr:rowOff>
    </xdr:from>
    <xdr:to>
      <xdr:col>23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59</xdr:row>
      <xdr:rowOff>0</xdr:rowOff>
    </xdr:from>
    <xdr:to>
      <xdr:col>59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60</xdr:row>
      <xdr:rowOff>0</xdr:rowOff>
    </xdr:from>
    <xdr:to>
      <xdr:col>44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60</xdr:row>
      <xdr:rowOff>0</xdr:rowOff>
    </xdr:from>
    <xdr:to>
      <xdr:col>38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60</xdr:row>
      <xdr:rowOff>0</xdr:rowOff>
    </xdr:from>
    <xdr:to>
      <xdr:col>70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60</xdr:row>
      <xdr:rowOff>0</xdr:rowOff>
    </xdr:from>
    <xdr:to>
      <xdr:col>23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53</xdr:col>
      <xdr:colOff>0</xdr:colOff>
      <xdr:row>85</xdr:row>
      <xdr:rowOff>0</xdr:rowOff>
    </xdr:from>
    <xdr:to>
      <xdr:col>53</xdr:col>
      <xdr:colOff>160020</xdr:colOff>
      <xdr:row>85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53</xdr:col>
      <xdr:colOff>0</xdr:colOff>
      <xdr:row>86</xdr:row>
      <xdr:rowOff>0</xdr:rowOff>
    </xdr:from>
    <xdr:to>
      <xdr:col>53</xdr:col>
      <xdr:colOff>160020</xdr:colOff>
      <xdr:row>86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60</xdr:row>
      <xdr:rowOff>0</xdr:rowOff>
    </xdr:from>
    <xdr:to>
      <xdr:col>59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61</xdr:row>
      <xdr:rowOff>0</xdr:rowOff>
    </xdr:from>
    <xdr:to>
      <xdr:col>44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61</xdr:row>
      <xdr:rowOff>0</xdr:rowOff>
    </xdr:from>
    <xdr:to>
      <xdr:col>38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61</xdr:row>
      <xdr:rowOff>0</xdr:rowOff>
    </xdr:from>
    <xdr:to>
      <xdr:col>59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61</xdr:row>
      <xdr:rowOff>0</xdr:rowOff>
    </xdr:from>
    <xdr:to>
      <xdr:col>70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62</xdr:row>
      <xdr:rowOff>0</xdr:rowOff>
    </xdr:from>
    <xdr:to>
      <xdr:col>44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62</xdr:row>
      <xdr:rowOff>0</xdr:rowOff>
    </xdr:from>
    <xdr:to>
      <xdr:col>38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62</xdr:row>
      <xdr:rowOff>0</xdr:rowOff>
    </xdr:from>
    <xdr:to>
      <xdr:col>59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62</xdr:row>
      <xdr:rowOff>0</xdr:rowOff>
    </xdr:from>
    <xdr:to>
      <xdr:col>70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63</xdr:row>
      <xdr:rowOff>0</xdr:rowOff>
    </xdr:from>
    <xdr:to>
      <xdr:col>44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63</xdr:row>
      <xdr:rowOff>0</xdr:rowOff>
    </xdr:from>
    <xdr:to>
      <xdr:col>38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63</xdr:row>
      <xdr:rowOff>0</xdr:rowOff>
    </xdr:from>
    <xdr:to>
      <xdr:col>59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63</xdr:row>
      <xdr:rowOff>0</xdr:rowOff>
    </xdr:from>
    <xdr:to>
      <xdr:col>70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64</xdr:row>
      <xdr:rowOff>0</xdr:rowOff>
    </xdr:from>
    <xdr:to>
      <xdr:col>44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64</xdr:row>
      <xdr:rowOff>0</xdr:rowOff>
    </xdr:from>
    <xdr:to>
      <xdr:col>70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64</xdr:row>
      <xdr:rowOff>0</xdr:rowOff>
    </xdr:from>
    <xdr:to>
      <xdr:col>59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64</xdr:row>
      <xdr:rowOff>0</xdr:rowOff>
    </xdr:from>
    <xdr:to>
      <xdr:col>38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65</xdr:row>
      <xdr:rowOff>0</xdr:rowOff>
    </xdr:from>
    <xdr:to>
      <xdr:col>44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65</xdr:row>
      <xdr:rowOff>0</xdr:rowOff>
    </xdr:from>
    <xdr:to>
      <xdr:col>70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65</xdr:row>
      <xdr:rowOff>0</xdr:rowOff>
    </xdr:from>
    <xdr:to>
      <xdr:col>38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65</xdr:row>
      <xdr:rowOff>0</xdr:rowOff>
    </xdr:from>
    <xdr:to>
      <xdr:col>59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66</xdr:row>
      <xdr:rowOff>0</xdr:rowOff>
    </xdr:from>
    <xdr:to>
      <xdr:col>44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66</xdr:row>
      <xdr:rowOff>0</xdr:rowOff>
    </xdr:from>
    <xdr:to>
      <xdr:col>70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66</xdr:row>
      <xdr:rowOff>0</xdr:rowOff>
    </xdr:from>
    <xdr:to>
      <xdr:col>23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66</xdr:row>
      <xdr:rowOff>0</xdr:rowOff>
    </xdr:from>
    <xdr:to>
      <xdr:col>38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66</xdr:row>
      <xdr:rowOff>0</xdr:rowOff>
    </xdr:from>
    <xdr:to>
      <xdr:col>59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48</xdr:row>
      <xdr:rowOff>0</xdr:rowOff>
    </xdr:from>
    <xdr:to>
      <xdr:col>44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67</xdr:row>
      <xdr:rowOff>0</xdr:rowOff>
    </xdr:from>
    <xdr:to>
      <xdr:col>44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67</xdr:row>
      <xdr:rowOff>0</xdr:rowOff>
    </xdr:from>
    <xdr:to>
      <xdr:col>70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21</xdr:col>
      <xdr:colOff>137160</xdr:colOff>
      <xdr:row>95</xdr:row>
      <xdr:rowOff>99060</xdr:rowOff>
    </xdr:from>
    <xdr:to>
      <xdr:col>21</xdr:col>
      <xdr:colOff>274320</xdr:colOff>
      <xdr:row>96</xdr:row>
      <xdr:rowOff>68580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6507480" y="16108680"/>
          <a:ext cx="137160" cy="15240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525780</xdr:colOff>
      <xdr:row>95</xdr:row>
      <xdr:rowOff>129540</xdr:rowOff>
    </xdr:from>
    <xdr:to>
      <xdr:col>22</xdr:col>
      <xdr:colOff>38100</xdr:colOff>
      <xdr:row>96</xdr:row>
      <xdr:rowOff>68580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6896100" y="16139160"/>
          <a:ext cx="121920" cy="12192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67</xdr:row>
      <xdr:rowOff>0</xdr:rowOff>
    </xdr:from>
    <xdr:to>
      <xdr:col>38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67</xdr:row>
      <xdr:rowOff>0</xdr:rowOff>
    </xdr:from>
    <xdr:to>
      <xdr:col>59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68</xdr:row>
      <xdr:rowOff>0</xdr:rowOff>
    </xdr:from>
    <xdr:to>
      <xdr:col>44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68</xdr:row>
      <xdr:rowOff>0</xdr:rowOff>
    </xdr:from>
    <xdr:to>
      <xdr:col>70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68</xdr:row>
      <xdr:rowOff>0</xdr:rowOff>
    </xdr:from>
    <xdr:to>
      <xdr:col>38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68</xdr:row>
      <xdr:rowOff>0</xdr:rowOff>
    </xdr:from>
    <xdr:to>
      <xdr:col>59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69</xdr:row>
      <xdr:rowOff>0</xdr:rowOff>
    </xdr:from>
    <xdr:to>
      <xdr:col>70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69</xdr:row>
      <xdr:rowOff>0</xdr:rowOff>
    </xdr:from>
    <xdr:to>
      <xdr:col>38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69</xdr:row>
      <xdr:rowOff>0</xdr:rowOff>
    </xdr:from>
    <xdr:to>
      <xdr:col>59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69</xdr:row>
      <xdr:rowOff>0</xdr:rowOff>
    </xdr:from>
    <xdr:to>
      <xdr:col>45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70</xdr:row>
      <xdr:rowOff>0</xdr:rowOff>
    </xdr:from>
    <xdr:to>
      <xdr:col>70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70</xdr:row>
      <xdr:rowOff>0</xdr:rowOff>
    </xdr:from>
    <xdr:to>
      <xdr:col>38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70</xdr:row>
      <xdr:rowOff>0</xdr:rowOff>
    </xdr:from>
    <xdr:to>
      <xdr:col>44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70</xdr:row>
      <xdr:rowOff>0</xdr:rowOff>
    </xdr:from>
    <xdr:to>
      <xdr:col>59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71</xdr:row>
      <xdr:rowOff>0</xdr:rowOff>
    </xdr:from>
    <xdr:to>
      <xdr:col>70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71</xdr:row>
      <xdr:rowOff>0</xdr:rowOff>
    </xdr:from>
    <xdr:to>
      <xdr:col>38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71</xdr:row>
      <xdr:rowOff>0</xdr:rowOff>
    </xdr:from>
    <xdr:to>
      <xdr:col>44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71</xdr:row>
      <xdr:rowOff>0</xdr:rowOff>
    </xdr:from>
    <xdr:to>
      <xdr:col>59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72</xdr:row>
      <xdr:rowOff>0</xdr:rowOff>
    </xdr:from>
    <xdr:to>
      <xdr:col>70</xdr:col>
      <xdr:colOff>83820</xdr:colOff>
      <xdr:row>72</xdr:row>
      <xdr:rowOff>114300</xdr:rowOff>
    </xdr:to>
    <xdr:sp macro="" textlink="">
      <xdr:nvSpPr>
        <xdr:cNvPr id="474" name="Arrow: Down 473">
          <a:extLst>
            <a:ext uri="{FF2B5EF4-FFF2-40B4-BE49-F238E27FC236}">
              <a16:creationId xmlns:a16="http://schemas.microsoft.com/office/drawing/2014/main" id="{6B189826-EB1D-42CE-AB44-3A925F8A3C1A}"/>
            </a:ext>
          </a:extLst>
        </xdr:cNvPr>
        <xdr:cNvSpPr/>
      </xdr:nvSpPr>
      <xdr:spPr>
        <a:xfrm>
          <a:off x="168859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72</xdr:row>
      <xdr:rowOff>0</xdr:rowOff>
    </xdr:from>
    <xdr:to>
      <xdr:col>38</xdr:col>
      <xdr:colOff>83820</xdr:colOff>
      <xdr:row>72</xdr:row>
      <xdr:rowOff>114300</xdr:rowOff>
    </xdr:to>
    <xdr:sp macro="" textlink="">
      <xdr:nvSpPr>
        <xdr:cNvPr id="477" name="Arrow: Down 476">
          <a:extLst>
            <a:ext uri="{FF2B5EF4-FFF2-40B4-BE49-F238E27FC236}">
              <a16:creationId xmlns:a16="http://schemas.microsoft.com/office/drawing/2014/main" id="{9E5B158C-3814-4386-BA21-2DE8F21CBB67}"/>
            </a:ext>
          </a:extLst>
        </xdr:cNvPr>
        <xdr:cNvSpPr/>
      </xdr:nvSpPr>
      <xdr:spPr>
        <a:xfrm rot="10800000">
          <a:off x="844296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72</xdr:row>
      <xdr:rowOff>0</xdr:rowOff>
    </xdr:from>
    <xdr:to>
      <xdr:col>44</xdr:col>
      <xdr:colOff>83820</xdr:colOff>
      <xdr:row>72</xdr:row>
      <xdr:rowOff>114300</xdr:rowOff>
    </xdr:to>
    <xdr:sp macro="" textlink="">
      <xdr:nvSpPr>
        <xdr:cNvPr id="480" name="Arrow: Down 479">
          <a:extLst>
            <a:ext uri="{FF2B5EF4-FFF2-40B4-BE49-F238E27FC236}">
              <a16:creationId xmlns:a16="http://schemas.microsoft.com/office/drawing/2014/main" id="{4EF32D32-86B1-4F9A-BAF3-3FF3ED5ECFE5}"/>
            </a:ext>
          </a:extLst>
        </xdr:cNvPr>
        <xdr:cNvSpPr/>
      </xdr:nvSpPr>
      <xdr:spPr>
        <a:xfrm rot="10800000">
          <a:off x="99517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72</xdr:row>
      <xdr:rowOff>0</xdr:rowOff>
    </xdr:from>
    <xdr:to>
      <xdr:col>59</xdr:col>
      <xdr:colOff>83820</xdr:colOff>
      <xdr:row>72</xdr:row>
      <xdr:rowOff>114300</xdr:rowOff>
    </xdr:to>
    <xdr:sp macro="" textlink="">
      <xdr:nvSpPr>
        <xdr:cNvPr id="482" name="Arrow: Down 481">
          <a:extLst>
            <a:ext uri="{FF2B5EF4-FFF2-40B4-BE49-F238E27FC236}">
              <a16:creationId xmlns:a16="http://schemas.microsoft.com/office/drawing/2014/main" id="{58DDC545-59B2-4343-BBBF-918D236481F9}"/>
            </a:ext>
          </a:extLst>
        </xdr:cNvPr>
        <xdr:cNvSpPr/>
      </xdr:nvSpPr>
      <xdr:spPr>
        <a:xfrm>
          <a:off x="1456944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72</xdr:row>
      <xdr:rowOff>0</xdr:rowOff>
    </xdr:from>
    <xdr:to>
      <xdr:col>23</xdr:col>
      <xdr:colOff>83820</xdr:colOff>
      <xdr:row>72</xdr:row>
      <xdr:rowOff>114300</xdr:rowOff>
    </xdr:to>
    <xdr:sp macro="" textlink="">
      <xdr:nvSpPr>
        <xdr:cNvPr id="491" name="Arrow: Down 490">
          <a:extLst>
            <a:ext uri="{FF2B5EF4-FFF2-40B4-BE49-F238E27FC236}">
              <a16:creationId xmlns:a16="http://schemas.microsoft.com/office/drawing/2014/main" id="{E48DDD60-D186-4E53-9E9F-B1E4504A3531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83820</xdr:colOff>
      <xdr:row>72</xdr:row>
      <xdr:rowOff>114300</xdr:rowOff>
    </xdr:to>
    <xdr:sp macro="" textlink="">
      <xdr:nvSpPr>
        <xdr:cNvPr id="497" name="Arrow: Down 496">
          <a:extLst>
            <a:ext uri="{FF2B5EF4-FFF2-40B4-BE49-F238E27FC236}">
              <a16:creationId xmlns:a16="http://schemas.microsoft.com/office/drawing/2014/main" id="{0DFDE999-B868-4AAF-A578-2911E192D0C9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11</xdr:col>
      <xdr:colOff>83820</xdr:colOff>
      <xdr:row>72</xdr:row>
      <xdr:rowOff>114300</xdr:rowOff>
    </xdr:to>
    <xdr:sp macro="" textlink="">
      <xdr:nvSpPr>
        <xdr:cNvPr id="500" name="Arrow: Down 499">
          <a:extLst>
            <a:ext uri="{FF2B5EF4-FFF2-40B4-BE49-F238E27FC236}">
              <a16:creationId xmlns:a16="http://schemas.microsoft.com/office/drawing/2014/main" id="{2ABA6FFC-9934-475F-BCC0-DF48A4338BB6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73</xdr:row>
      <xdr:rowOff>0</xdr:rowOff>
    </xdr:from>
    <xdr:to>
      <xdr:col>70</xdr:col>
      <xdr:colOff>83820</xdr:colOff>
      <xdr:row>73</xdr:row>
      <xdr:rowOff>114300</xdr:rowOff>
    </xdr:to>
    <xdr:sp macro="" textlink="">
      <xdr:nvSpPr>
        <xdr:cNvPr id="484" name="Arrow: Down 483">
          <a:extLst>
            <a:ext uri="{FF2B5EF4-FFF2-40B4-BE49-F238E27FC236}">
              <a16:creationId xmlns:a16="http://schemas.microsoft.com/office/drawing/2014/main" id="{32E638A4-B3EB-4627-ACE1-F25AED5D7411}"/>
            </a:ext>
          </a:extLst>
        </xdr:cNvPr>
        <xdr:cNvSpPr/>
      </xdr:nvSpPr>
      <xdr:spPr>
        <a:xfrm>
          <a:off x="168859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73</xdr:row>
      <xdr:rowOff>0</xdr:rowOff>
    </xdr:from>
    <xdr:to>
      <xdr:col>44</xdr:col>
      <xdr:colOff>83820</xdr:colOff>
      <xdr:row>73</xdr:row>
      <xdr:rowOff>114300</xdr:rowOff>
    </xdr:to>
    <xdr:sp macro="" textlink="">
      <xdr:nvSpPr>
        <xdr:cNvPr id="487" name="Arrow: Down 486">
          <a:extLst>
            <a:ext uri="{FF2B5EF4-FFF2-40B4-BE49-F238E27FC236}">
              <a16:creationId xmlns:a16="http://schemas.microsoft.com/office/drawing/2014/main" id="{7AD0A002-AC1A-4895-A739-2D6731C71C76}"/>
            </a:ext>
          </a:extLst>
        </xdr:cNvPr>
        <xdr:cNvSpPr/>
      </xdr:nvSpPr>
      <xdr:spPr>
        <a:xfrm rot="10800000">
          <a:off x="99517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73</xdr:row>
      <xdr:rowOff>0</xdr:rowOff>
    </xdr:from>
    <xdr:to>
      <xdr:col>59</xdr:col>
      <xdr:colOff>83820</xdr:colOff>
      <xdr:row>73</xdr:row>
      <xdr:rowOff>114300</xdr:rowOff>
    </xdr:to>
    <xdr:sp macro="" textlink="">
      <xdr:nvSpPr>
        <xdr:cNvPr id="488" name="Arrow: Down 487">
          <a:extLst>
            <a:ext uri="{FF2B5EF4-FFF2-40B4-BE49-F238E27FC236}">
              <a16:creationId xmlns:a16="http://schemas.microsoft.com/office/drawing/2014/main" id="{1CB59807-C487-4296-B1C1-A80944CBE0D7}"/>
            </a:ext>
          </a:extLst>
        </xdr:cNvPr>
        <xdr:cNvSpPr/>
      </xdr:nvSpPr>
      <xdr:spPr>
        <a:xfrm>
          <a:off x="1456944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83820</xdr:colOff>
      <xdr:row>73</xdr:row>
      <xdr:rowOff>114300</xdr:rowOff>
    </xdr:to>
    <xdr:sp macro="" textlink="">
      <xdr:nvSpPr>
        <xdr:cNvPr id="489" name="Arrow: Down 488">
          <a:extLst>
            <a:ext uri="{FF2B5EF4-FFF2-40B4-BE49-F238E27FC236}">
              <a16:creationId xmlns:a16="http://schemas.microsoft.com/office/drawing/2014/main" id="{4F84B8D5-0440-4DBE-A7D5-93D973BFF9D2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83820</xdr:colOff>
      <xdr:row>73</xdr:row>
      <xdr:rowOff>114300</xdr:rowOff>
    </xdr:to>
    <xdr:sp macro="" textlink="">
      <xdr:nvSpPr>
        <xdr:cNvPr id="499" name="Arrow: Down 498">
          <a:extLst>
            <a:ext uri="{FF2B5EF4-FFF2-40B4-BE49-F238E27FC236}">
              <a16:creationId xmlns:a16="http://schemas.microsoft.com/office/drawing/2014/main" id="{6B533E18-1604-4EBC-9B1A-A1DF4C23ACD3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11</xdr:col>
      <xdr:colOff>83820</xdr:colOff>
      <xdr:row>73</xdr:row>
      <xdr:rowOff>114300</xdr:rowOff>
    </xdr:to>
    <xdr:sp macro="" textlink="">
      <xdr:nvSpPr>
        <xdr:cNvPr id="501" name="Arrow: Down 500">
          <a:extLst>
            <a:ext uri="{FF2B5EF4-FFF2-40B4-BE49-F238E27FC236}">
              <a16:creationId xmlns:a16="http://schemas.microsoft.com/office/drawing/2014/main" id="{A17543A9-3EC4-4638-9070-87884605E9F9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73</xdr:row>
      <xdr:rowOff>0</xdr:rowOff>
    </xdr:from>
    <xdr:to>
      <xdr:col>38</xdr:col>
      <xdr:colOff>83820</xdr:colOff>
      <xdr:row>73</xdr:row>
      <xdr:rowOff>114300</xdr:rowOff>
    </xdr:to>
    <xdr:sp macro="" textlink="">
      <xdr:nvSpPr>
        <xdr:cNvPr id="503" name="Arrow: Down 502">
          <a:extLst>
            <a:ext uri="{FF2B5EF4-FFF2-40B4-BE49-F238E27FC236}">
              <a16:creationId xmlns:a16="http://schemas.microsoft.com/office/drawing/2014/main" id="{C5B73AE7-4517-460F-8946-2D59249A4870}"/>
            </a:ext>
          </a:extLst>
        </xdr:cNvPr>
        <xdr:cNvSpPr/>
      </xdr:nvSpPr>
      <xdr:spPr>
        <a:xfrm>
          <a:off x="844296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74</xdr:row>
      <xdr:rowOff>0</xdr:rowOff>
    </xdr:from>
    <xdr:to>
      <xdr:col>70</xdr:col>
      <xdr:colOff>83820</xdr:colOff>
      <xdr:row>74</xdr:row>
      <xdr:rowOff>114300</xdr:rowOff>
    </xdr:to>
    <xdr:sp macro="" textlink="">
      <xdr:nvSpPr>
        <xdr:cNvPr id="455" name="Arrow: Down 454">
          <a:extLst>
            <a:ext uri="{FF2B5EF4-FFF2-40B4-BE49-F238E27FC236}">
              <a16:creationId xmlns:a16="http://schemas.microsoft.com/office/drawing/2014/main" id="{C137B2F5-63C8-474B-B7DE-ECA69C2A2B40}"/>
            </a:ext>
          </a:extLst>
        </xdr:cNvPr>
        <xdr:cNvSpPr/>
      </xdr:nvSpPr>
      <xdr:spPr>
        <a:xfrm>
          <a:off x="1854708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83820</xdr:colOff>
      <xdr:row>74</xdr:row>
      <xdr:rowOff>114300</xdr:rowOff>
    </xdr:to>
    <xdr:sp macro="" textlink="">
      <xdr:nvSpPr>
        <xdr:cNvPr id="468" name="Arrow: Down 467">
          <a:extLst>
            <a:ext uri="{FF2B5EF4-FFF2-40B4-BE49-F238E27FC236}">
              <a16:creationId xmlns:a16="http://schemas.microsoft.com/office/drawing/2014/main" id="{39772F6C-8A3B-49FA-8C3A-91103C9A7A8F}"/>
            </a:ext>
          </a:extLst>
        </xdr:cNvPr>
        <xdr:cNvSpPr/>
      </xdr:nvSpPr>
      <xdr:spPr>
        <a:xfrm>
          <a:off x="710184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83820</xdr:colOff>
      <xdr:row>74</xdr:row>
      <xdr:rowOff>114300</xdr:rowOff>
    </xdr:to>
    <xdr:sp macro="" textlink="">
      <xdr:nvSpPr>
        <xdr:cNvPr id="470" name="Arrow: Down 469">
          <a:extLst>
            <a:ext uri="{FF2B5EF4-FFF2-40B4-BE49-F238E27FC236}">
              <a16:creationId xmlns:a16="http://schemas.microsoft.com/office/drawing/2014/main" id="{893DEECC-9481-4F80-BB3C-B2A9950D43B5}"/>
            </a:ext>
          </a:extLst>
        </xdr:cNvPr>
        <xdr:cNvSpPr/>
      </xdr:nvSpPr>
      <xdr:spPr>
        <a:xfrm>
          <a:off x="192786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83820</xdr:colOff>
      <xdr:row>74</xdr:row>
      <xdr:rowOff>114300</xdr:rowOff>
    </xdr:to>
    <xdr:sp macro="" textlink="">
      <xdr:nvSpPr>
        <xdr:cNvPr id="471" name="Arrow: Down 470">
          <a:extLst>
            <a:ext uri="{FF2B5EF4-FFF2-40B4-BE49-F238E27FC236}">
              <a16:creationId xmlns:a16="http://schemas.microsoft.com/office/drawing/2014/main" id="{919CBD04-F94A-4BD1-905E-97A401C04988}"/>
            </a:ext>
          </a:extLst>
        </xdr:cNvPr>
        <xdr:cNvSpPr/>
      </xdr:nvSpPr>
      <xdr:spPr>
        <a:xfrm>
          <a:off x="3619500" y="134493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74</xdr:row>
      <xdr:rowOff>0</xdr:rowOff>
    </xdr:from>
    <xdr:to>
      <xdr:col>38</xdr:col>
      <xdr:colOff>83820</xdr:colOff>
      <xdr:row>74</xdr:row>
      <xdr:rowOff>114300</xdr:rowOff>
    </xdr:to>
    <xdr:sp macro="" textlink="">
      <xdr:nvSpPr>
        <xdr:cNvPr id="473" name="Arrow: Down 472">
          <a:extLst>
            <a:ext uri="{FF2B5EF4-FFF2-40B4-BE49-F238E27FC236}">
              <a16:creationId xmlns:a16="http://schemas.microsoft.com/office/drawing/2014/main" id="{23F2599F-E7C5-4B25-AD7A-577EFC19E012}"/>
            </a:ext>
          </a:extLst>
        </xdr:cNvPr>
        <xdr:cNvSpPr/>
      </xdr:nvSpPr>
      <xdr:spPr>
        <a:xfrm>
          <a:off x="1010412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96</xdr:col>
      <xdr:colOff>487680</xdr:colOff>
      <xdr:row>21</xdr:row>
      <xdr:rowOff>38100</xdr:rowOff>
    </xdr:from>
    <xdr:to>
      <xdr:col>102</xdr:col>
      <xdr:colOff>91440</xdr:colOff>
      <xdr:row>39</xdr:row>
      <xdr:rowOff>22860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4AEB37-4356-482D-8011-BAFDAAD90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104</xdr:col>
      <xdr:colOff>281940</xdr:colOff>
      <xdr:row>1</xdr:row>
      <xdr:rowOff>182880</xdr:rowOff>
    </xdr:from>
    <xdr:to>
      <xdr:col>109</xdr:col>
      <xdr:colOff>541020</xdr:colOff>
      <xdr:row>18</xdr:row>
      <xdr:rowOff>160020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E80E16-783A-47AF-8FC2-D755C3AD5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95</xdr:col>
      <xdr:colOff>533400</xdr:colOff>
      <xdr:row>1</xdr:row>
      <xdr:rowOff>38100</xdr:rowOff>
    </xdr:from>
    <xdr:to>
      <xdr:col>103</xdr:col>
      <xdr:colOff>228600</xdr:colOff>
      <xdr:row>18</xdr:row>
      <xdr:rowOff>99060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9C9EA0-B665-4656-B9C2-9B038BCCD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44</xdr:col>
      <xdr:colOff>0</xdr:colOff>
      <xdr:row>74</xdr:row>
      <xdr:rowOff>0</xdr:rowOff>
    </xdr:from>
    <xdr:to>
      <xdr:col>44</xdr:col>
      <xdr:colOff>83820</xdr:colOff>
      <xdr:row>74</xdr:row>
      <xdr:rowOff>114300</xdr:rowOff>
    </xdr:to>
    <xdr:sp macro="" textlink="">
      <xdr:nvSpPr>
        <xdr:cNvPr id="486" name="Arrow: Down 485">
          <a:extLst>
            <a:ext uri="{FF2B5EF4-FFF2-40B4-BE49-F238E27FC236}">
              <a16:creationId xmlns:a16="http://schemas.microsoft.com/office/drawing/2014/main" id="{9056D1D5-D10C-45DD-8E65-963C8E8ABAEE}"/>
            </a:ext>
          </a:extLst>
        </xdr:cNvPr>
        <xdr:cNvSpPr/>
      </xdr:nvSpPr>
      <xdr:spPr>
        <a:xfrm>
          <a:off x="1292352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74</xdr:row>
      <xdr:rowOff>0</xdr:rowOff>
    </xdr:from>
    <xdr:to>
      <xdr:col>59</xdr:col>
      <xdr:colOff>83820</xdr:colOff>
      <xdr:row>74</xdr:row>
      <xdr:rowOff>114300</xdr:rowOff>
    </xdr:to>
    <xdr:sp macro="" textlink="">
      <xdr:nvSpPr>
        <xdr:cNvPr id="502" name="Arrow: Down 501">
          <a:extLst>
            <a:ext uri="{FF2B5EF4-FFF2-40B4-BE49-F238E27FC236}">
              <a16:creationId xmlns:a16="http://schemas.microsoft.com/office/drawing/2014/main" id="{411C7F3B-AE8B-4337-990B-B161DCF6E4B1}"/>
            </a:ext>
          </a:extLst>
        </xdr:cNvPr>
        <xdr:cNvSpPr/>
      </xdr:nvSpPr>
      <xdr:spPr>
        <a:xfrm rot="10800000">
          <a:off x="1754124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75</xdr:row>
      <xdr:rowOff>0</xdr:rowOff>
    </xdr:from>
    <xdr:to>
      <xdr:col>70</xdr:col>
      <xdr:colOff>83820</xdr:colOff>
      <xdr:row>75</xdr:row>
      <xdr:rowOff>114300</xdr:rowOff>
    </xdr:to>
    <xdr:sp macro="" textlink="">
      <xdr:nvSpPr>
        <xdr:cNvPr id="459" name="Arrow: Down 458">
          <a:extLst>
            <a:ext uri="{FF2B5EF4-FFF2-40B4-BE49-F238E27FC236}">
              <a16:creationId xmlns:a16="http://schemas.microsoft.com/office/drawing/2014/main" id="{E43C89D8-1001-481E-957F-CECA89FD3AD8}"/>
            </a:ext>
          </a:extLst>
        </xdr:cNvPr>
        <xdr:cNvSpPr/>
      </xdr:nvSpPr>
      <xdr:spPr>
        <a:xfrm>
          <a:off x="1688592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83820</xdr:colOff>
      <xdr:row>75</xdr:row>
      <xdr:rowOff>114300</xdr:rowOff>
    </xdr:to>
    <xdr:sp macro="" textlink="">
      <xdr:nvSpPr>
        <xdr:cNvPr id="464" name="Arrow: Down 463">
          <a:extLst>
            <a:ext uri="{FF2B5EF4-FFF2-40B4-BE49-F238E27FC236}">
              <a16:creationId xmlns:a16="http://schemas.microsoft.com/office/drawing/2014/main" id="{2CB2A946-35F2-478F-91BA-7D10D5C051EE}"/>
            </a:ext>
          </a:extLst>
        </xdr:cNvPr>
        <xdr:cNvSpPr/>
      </xdr:nvSpPr>
      <xdr:spPr>
        <a:xfrm>
          <a:off x="544068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83820</xdr:colOff>
      <xdr:row>75</xdr:row>
      <xdr:rowOff>114300</xdr:rowOff>
    </xdr:to>
    <xdr:sp macro="" textlink="">
      <xdr:nvSpPr>
        <xdr:cNvPr id="509" name="Arrow: Down 508">
          <a:extLst>
            <a:ext uri="{FF2B5EF4-FFF2-40B4-BE49-F238E27FC236}">
              <a16:creationId xmlns:a16="http://schemas.microsoft.com/office/drawing/2014/main" id="{599AD875-26BA-4493-80A4-B4B5AC3F9C23}"/>
            </a:ext>
          </a:extLst>
        </xdr:cNvPr>
        <xdr:cNvSpPr/>
      </xdr:nvSpPr>
      <xdr:spPr>
        <a:xfrm rot="10800000">
          <a:off x="1927860" y="1381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75</xdr:row>
      <xdr:rowOff>0</xdr:rowOff>
    </xdr:from>
    <xdr:to>
      <xdr:col>38</xdr:col>
      <xdr:colOff>83820</xdr:colOff>
      <xdr:row>75</xdr:row>
      <xdr:rowOff>114300</xdr:rowOff>
    </xdr:to>
    <xdr:sp macro="" textlink="">
      <xdr:nvSpPr>
        <xdr:cNvPr id="510" name="Arrow: Down 509">
          <a:extLst>
            <a:ext uri="{FF2B5EF4-FFF2-40B4-BE49-F238E27FC236}">
              <a16:creationId xmlns:a16="http://schemas.microsoft.com/office/drawing/2014/main" id="{01B7A094-5976-48CD-A0A3-BA15895D1B0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75</xdr:row>
      <xdr:rowOff>0</xdr:rowOff>
    </xdr:from>
    <xdr:to>
      <xdr:col>44</xdr:col>
      <xdr:colOff>83820</xdr:colOff>
      <xdr:row>75</xdr:row>
      <xdr:rowOff>114300</xdr:rowOff>
    </xdr:to>
    <xdr:sp macro="" textlink="">
      <xdr:nvSpPr>
        <xdr:cNvPr id="512" name="Arrow: Down 511">
          <a:extLst>
            <a:ext uri="{FF2B5EF4-FFF2-40B4-BE49-F238E27FC236}">
              <a16:creationId xmlns:a16="http://schemas.microsoft.com/office/drawing/2014/main" id="{690D45F8-2438-4DD0-9C29-5098D1D7923B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75</xdr:row>
      <xdr:rowOff>0</xdr:rowOff>
    </xdr:from>
    <xdr:to>
      <xdr:col>11</xdr:col>
      <xdr:colOff>160020</xdr:colOff>
      <xdr:row>75</xdr:row>
      <xdr:rowOff>99060</xdr:rowOff>
    </xdr:to>
    <xdr:sp macro="" textlink="">
      <xdr:nvSpPr>
        <xdr:cNvPr id="515" name="Minus Sign 514">
          <a:extLst>
            <a:ext uri="{FF2B5EF4-FFF2-40B4-BE49-F238E27FC236}">
              <a16:creationId xmlns:a16="http://schemas.microsoft.com/office/drawing/2014/main" id="{148AAB89-5F8E-43F6-991A-11ACA16ABA0E}"/>
            </a:ext>
          </a:extLst>
        </xdr:cNvPr>
        <xdr:cNvSpPr/>
      </xdr:nvSpPr>
      <xdr:spPr>
        <a:xfrm>
          <a:off x="3619500" y="138150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75</xdr:row>
      <xdr:rowOff>0</xdr:rowOff>
    </xdr:from>
    <xdr:to>
      <xdr:col>59</xdr:col>
      <xdr:colOff>83820</xdr:colOff>
      <xdr:row>75</xdr:row>
      <xdr:rowOff>114300</xdr:rowOff>
    </xdr:to>
    <xdr:sp macro="" textlink="">
      <xdr:nvSpPr>
        <xdr:cNvPr id="516" name="Arrow: Down 515">
          <a:extLst>
            <a:ext uri="{FF2B5EF4-FFF2-40B4-BE49-F238E27FC236}">
              <a16:creationId xmlns:a16="http://schemas.microsoft.com/office/drawing/2014/main" id="{9BEA6317-4A0A-4323-B84E-9C914E8DF7FB}"/>
            </a:ext>
          </a:extLst>
        </xdr:cNvPr>
        <xdr:cNvSpPr/>
      </xdr:nvSpPr>
      <xdr:spPr>
        <a:xfrm>
          <a:off x="1456944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160020</xdr:colOff>
      <xdr:row>73</xdr:row>
      <xdr:rowOff>99060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E72BD40E-7465-4A80-975A-01813230B197}"/>
            </a:ext>
          </a:extLst>
        </xdr:cNvPr>
        <xdr:cNvSpPr/>
      </xdr:nvSpPr>
      <xdr:spPr>
        <a:xfrm>
          <a:off x="5082540" y="135483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83820</xdr:colOff>
      <xdr:row>74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492DE6-98F2-496A-AFC8-5BA216A28394}"/>
            </a:ext>
          </a:extLst>
        </xdr:cNvPr>
        <xdr:cNvSpPr/>
      </xdr:nvSpPr>
      <xdr:spPr>
        <a:xfrm>
          <a:off x="5082540" y="13731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83820</xdr:colOff>
      <xdr:row>75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3FC724EE-FCB6-44F4-948F-A6AAD484196B}"/>
            </a:ext>
          </a:extLst>
        </xdr:cNvPr>
        <xdr:cNvSpPr/>
      </xdr:nvSpPr>
      <xdr:spPr>
        <a:xfrm rot="10800000">
          <a:off x="5082540" y="1391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83820</xdr:colOff>
      <xdr:row>76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FAC249DF-B675-42AA-A69C-1F5A5FE7F45B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27</xdr:row>
      <xdr:rowOff>22860</xdr:rowOff>
    </xdr:from>
    <xdr:to>
      <xdr:col>12</xdr:col>
      <xdr:colOff>106680</xdr:colOff>
      <xdr:row>27</xdr:row>
      <xdr:rowOff>137160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61FC5C6E-0D1C-4E34-A2B2-2356FD2499BA}"/>
            </a:ext>
          </a:extLst>
        </xdr:cNvPr>
        <xdr:cNvSpPr/>
      </xdr:nvSpPr>
      <xdr:spPr>
        <a:xfrm rot="10800000">
          <a:off x="9631680" y="1440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32</xdr:col>
      <xdr:colOff>0</xdr:colOff>
      <xdr:row>7</xdr:row>
      <xdr:rowOff>0</xdr:rowOff>
    </xdr:from>
    <xdr:to>
      <xdr:col>32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7</xdr:row>
      <xdr:rowOff>0</xdr:rowOff>
    </xdr:from>
    <xdr:to>
      <xdr:col>26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26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9</xdr:row>
      <xdr:rowOff>0</xdr:rowOff>
    </xdr:from>
    <xdr:to>
      <xdr:col>26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10</xdr:row>
      <xdr:rowOff>0</xdr:rowOff>
    </xdr:from>
    <xdr:to>
      <xdr:col>26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11</xdr:row>
      <xdr:rowOff>0</xdr:rowOff>
    </xdr:from>
    <xdr:to>
      <xdr:col>26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12</xdr:row>
      <xdr:rowOff>0</xdr:rowOff>
    </xdr:from>
    <xdr:to>
      <xdr:col>26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13</xdr:row>
      <xdr:rowOff>0</xdr:rowOff>
    </xdr:from>
    <xdr:to>
      <xdr:col>26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14</xdr:row>
      <xdr:rowOff>0</xdr:rowOff>
    </xdr:from>
    <xdr:to>
      <xdr:col>26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15</xdr:row>
      <xdr:rowOff>0</xdr:rowOff>
    </xdr:from>
    <xdr:to>
      <xdr:col>26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16</xdr:row>
      <xdr:rowOff>0</xdr:rowOff>
    </xdr:from>
    <xdr:to>
      <xdr:col>26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17</xdr:row>
      <xdr:rowOff>0</xdr:rowOff>
    </xdr:from>
    <xdr:to>
      <xdr:col>26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18</xdr:row>
      <xdr:rowOff>0</xdr:rowOff>
    </xdr:from>
    <xdr:to>
      <xdr:col>26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20</xdr:row>
      <xdr:rowOff>0</xdr:rowOff>
    </xdr:from>
    <xdr:to>
      <xdr:col>26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21</xdr:row>
      <xdr:rowOff>0</xdr:rowOff>
    </xdr:from>
    <xdr:to>
      <xdr:col>26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22</xdr:row>
      <xdr:rowOff>0</xdr:rowOff>
    </xdr:from>
    <xdr:to>
      <xdr:col>26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23</xdr:row>
      <xdr:rowOff>0</xdr:rowOff>
    </xdr:from>
    <xdr:to>
      <xdr:col>26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24</xdr:row>
      <xdr:rowOff>0</xdr:rowOff>
    </xdr:from>
    <xdr:to>
      <xdr:col>26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25</xdr:row>
      <xdr:rowOff>0</xdr:rowOff>
    </xdr:from>
    <xdr:to>
      <xdr:col>26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26</xdr:row>
      <xdr:rowOff>0</xdr:rowOff>
    </xdr:from>
    <xdr:to>
      <xdr:col>26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27</xdr:row>
      <xdr:rowOff>0</xdr:rowOff>
    </xdr:from>
    <xdr:to>
      <xdr:col>26</xdr:col>
      <xdr:colOff>83820</xdr:colOff>
      <xdr:row>27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FE1FAE1E-6BAE-490A-83F5-B755D3345EE3}"/>
            </a:ext>
          </a:extLst>
        </xdr:cNvPr>
        <xdr:cNvSpPr/>
      </xdr:nvSpPr>
      <xdr:spPr>
        <a:xfrm>
          <a:off x="10355580" y="500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83820</xdr:colOff>
      <xdr:row>28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603C9D4C-844E-4E3B-9CB3-F766EF3611D6}"/>
            </a:ext>
          </a:extLst>
        </xdr:cNvPr>
        <xdr:cNvSpPr/>
      </xdr:nvSpPr>
      <xdr:spPr>
        <a:xfrm>
          <a:off x="10355580" y="519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29</xdr:row>
      <xdr:rowOff>0</xdr:rowOff>
    </xdr:from>
    <xdr:to>
      <xdr:col>26</xdr:col>
      <xdr:colOff>83820</xdr:colOff>
      <xdr:row>29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F14D1C4D-A1BC-44C6-8BC6-C708E6A23B94}"/>
            </a:ext>
          </a:extLst>
        </xdr:cNvPr>
        <xdr:cNvSpPr/>
      </xdr:nvSpPr>
      <xdr:spPr>
        <a:xfrm>
          <a:off x="10355580" y="5394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30</xdr:row>
      <xdr:rowOff>0</xdr:rowOff>
    </xdr:from>
    <xdr:to>
      <xdr:col>26</xdr:col>
      <xdr:colOff>83820</xdr:colOff>
      <xdr:row>30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47B24F3D-8B27-48FF-B432-46660CC335C0}"/>
            </a:ext>
          </a:extLst>
        </xdr:cNvPr>
        <xdr:cNvSpPr/>
      </xdr:nvSpPr>
      <xdr:spPr>
        <a:xfrm rot="10800000">
          <a:off x="10355580" y="5783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CK151"/>
  <sheetViews>
    <sheetView tabSelected="1" zoomScaleNormal="100" workbookViewId="0">
      <selection activeCell="D87" sqref="D87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" customWidth="1"/>
    <col min="14" max="14" width="8.109375" customWidth="1"/>
    <col min="15" max="15" width="1.21875" customWidth="1"/>
    <col min="16" max="16" width="10" hidden="1" customWidth="1" outlineLevel="1"/>
    <col min="17" max="17" width="1.21875" hidden="1" customWidth="1" outlineLevel="1"/>
    <col min="18" max="18" width="10.5546875" hidden="1" customWidth="1" outlineLevel="1"/>
    <col min="19" max="20" width="1.21875" hidden="1" customWidth="1" outlineLevel="1"/>
    <col min="21" max="21" width="3" customWidth="1" collapsed="1"/>
    <col min="22" max="22" width="8.88671875" customWidth="1"/>
    <col min="23" max="23" width="1.77734375" customWidth="1"/>
    <col min="24" max="24" width="2.5546875" customWidth="1"/>
    <col min="25" max="25" width="1.6640625" customWidth="1"/>
    <col min="26" max="26" width="8" customWidth="1"/>
    <col min="27" max="27" width="2.33203125" customWidth="1"/>
    <col min="28" max="28" width="5.6640625" customWidth="1"/>
    <col min="29" max="29" width="1" customWidth="1"/>
    <col min="30" max="30" width="8.109375" customWidth="1"/>
    <col min="31" max="31" width="1.6640625" customWidth="1"/>
    <col min="32" max="32" width="8.109375" hidden="1" customWidth="1" outlineLevel="1"/>
    <col min="33" max="33" width="1.5546875" hidden="1" customWidth="1" outlineLevel="1"/>
    <col min="34" max="34" width="8.109375" hidden="1" customWidth="1" outlineLevel="1"/>
    <col min="35" max="35" width="1.33203125" hidden="1" customWidth="1" outlineLevel="1"/>
    <col min="36" max="36" width="3.5546875" customWidth="1" collapsed="1"/>
    <col min="37" max="37" width="8.21875" customWidth="1"/>
    <col min="38" max="38" width="1" customWidth="1"/>
    <col min="39" max="39" width="1.44140625" customWidth="1"/>
    <col min="40" max="40" width="1.21875" customWidth="1"/>
    <col min="41" max="41" width="9.44140625" customWidth="1"/>
    <col min="42" max="42" width="1.33203125" customWidth="1"/>
    <col min="43" max="43" width="7" customWidth="1"/>
    <col min="44" max="44" width="1.5546875" customWidth="1"/>
    <col min="45" max="45" width="2.21875" customWidth="1"/>
    <col min="46" max="46" width="1.33203125" customWidth="1"/>
    <col min="47" max="47" width="7.44140625" customWidth="1"/>
    <col min="48" max="48" width="1" customWidth="1"/>
    <col min="49" max="49" width="9.21875" customWidth="1"/>
    <col min="50" max="50" width="0.88671875" customWidth="1"/>
    <col min="51" max="51" width="4" customWidth="1"/>
    <col min="52" max="52" width="10.6640625" customWidth="1"/>
    <col min="53" max="53" width="1.109375" customWidth="1"/>
    <col min="54" max="54" width="11.109375" customWidth="1"/>
    <col min="55" max="55" width="0.6640625" customWidth="1"/>
    <col min="56" max="56" width="8.77734375" customWidth="1"/>
    <col min="57" max="57" width="1.109375" customWidth="1"/>
    <col min="58" max="58" width="6.6640625" customWidth="1"/>
    <col min="59" max="59" width="1.109375" customWidth="1"/>
    <col min="60" max="60" width="3.88671875" customWidth="1"/>
    <col min="61" max="61" width="1.44140625" hidden="1" customWidth="1" outlineLevel="1"/>
    <col min="62" max="62" width="10.33203125" hidden="1" customWidth="1" outlineLevel="1"/>
    <col min="63" max="63" width="0.88671875" hidden="1" customWidth="1" outlineLevel="1"/>
    <col min="64" max="64" width="6.88671875" hidden="1" customWidth="1" outlineLevel="1"/>
    <col min="65" max="65" width="9.5546875" customWidth="1" collapsed="1"/>
    <col min="66" max="66" width="0.88671875" customWidth="1"/>
    <col min="67" max="67" width="10.44140625" customWidth="1"/>
    <col min="68" max="68" width="1" customWidth="1"/>
    <col min="69" max="69" width="6.88671875" customWidth="1"/>
    <col min="70" max="70" width="1.109375" customWidth="1"/>
    <col min="71" max="71" width="3.44140625" customWidth="1"/>
    <col min="72" max="72" width="0.77734375" customWidth="1"/>
    <col min="73" max="73" width="1.88671875" customWidth="1"/>
    <col min="74" max="74" width="6.6640625" customWidth="1"/>
    <col min="75" max="75" width="1.77734375" customWidth="1"/>
    <col min="76" max="76" width="10.109375" bestFit="1" customWidth="1"/>
    <col min="77" max="77" width="2.109375" customWidth="1"/>
    <col min="78" max="78" width="9.77734375" customWidth="1"/>
    <col min="79" max="79" width="1.33203125" customWidth="1"/>
    <col min="80" max="80" width="9" bestFit="1" customWidth="1"/>
    <col min="81" max="81" width="1.109375" customWidth="1"/>
    <col min="82" max="82" width="3.21875" customWidth="1"/>
    <col min="83" max="83" width="1.44140625" customWidth="1"/>
    <col min="84" max="84" width="7.77734375" customWidth="1"/>
    <col min="85" max="85" width="1" customWidth="1"/>
    <col min="86" max="86" width="7.21875" customWidth="1"/>
    <col min="87" max="87" width="1.44140625" customWidth="1"/>
    <col min="88" max="88" width="4.77734375" customWidth="1"/>
    <col min="89" max="89" width="12.21875" customWidth="1"/>
  </cols>
  <sheetData>
    <row r="1" spans="2:89" ht="15.6" x14ac:dyDescent="0.3">
      <c r="B1" s="473" t="s">
        <v>5</v>
      </c>
      <c r="C1" s="473"/>
      <c r="D1" s="473"/>
    </row>
    <row r="2" spans="2:89" ht="15.6" x14ac:dyDescent="0.3">
      <c r="B2" s="473" t="s">
        <v>6</v>
      </c>
      <c r="C2" s="473"/>
      <c r="D2" s="473"/>
      <c r="E2" s="9"/>
      <c r="F2" s="9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</row>
    <row r="3" spans="2:89" ht="16.2" thickBot="1" x14ac:dyDescent="0.35">
      <c r="B3" s="478" t="s">
        <v>13</v>
      </c>
      <c r="C3" s="478"/>
      <c r="D3" s="168"/>
      <c r="E3" s="168"/>
      <c r="F3" s="168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</row>
    <row r="4" spans="2:89" ht="16.2" thickBot="1" x14ac:dyDescent="0.35">
      <c r="E4" s="9"/>
      <c r="F4" s="9"/>
      <c r="J4" s="474" t="s">
        <v>11</v>
      </c>
      <c r="K4" s="475"/>
      <c r="L4" s="475"/>
      <c r="M4" s="475"/>
      <c r="N4" s="475"/>
      <c r="O4" s="475"/>
      <c r="P4" s="475"/>
      <c r="Q4" s="475"/>
      <c r="R4" s="475"/>
      <c r="S4" s="475"/>
      <c r="T4" s="475"/>
      <c r="U4" s="475"/>
      <c r="V4" s="475"/>
      <c r="W4" s="475"/>
      <c r="X4" s="475"/>
      <c r="Y4" s="475"/>
      <c r="Z4" s="475"/>
      <c r="AA4" s="475"/>
      <c r="AB4" s="475"/>
      <c r="AC4" s="11"/>
      <c r="AD4" s="328"/>
      <c r="AE4" s="451"/>
      <c r="AF4" s="451"/>
      <c r="AG4" s="451"/>
      <c r="AH4" s="451"/>
      <c r="AI4" s="12"/>
      <c r="AK4" s="489" t="s">
        <v>14</v>
      </c>
      <c r="AL4" s="490"/>
      <c r="AM4" s="490"/>
      <c r="AN4" s="490"/>
      <c r="AO4" s="490"/>
      <c r="AP4" s="490"/>
      <c r="AQ4" s="490"/>
      <c r="AR4" s="490"/>
      <c r="AS4" s="490"/>
      <c r="AT4" s="490"/>
      <c r="AU4" s="490"/>
      <c r="AV4" s="490"/>
      <c r="AW4" s="490"/>
      <c r="AX4" s="490"/>
      <c r="AY4" s="490"/>
      <c r="AZ4" s="490"/>
      <c r="BA4" s="490"/>
      <c r="BB4" s="490"/>
      <c r="BC4" s="490"/>
      <c r="BD4" s="490"/>
      <c r="BE4" s="490"/>
      <c r="BF4" s="490"/>
      <c r="BG4" s="490"/>
      <c r="BH4" s="490"/>
      <c r="BI4" s="490"/>
      <c r="BJ4" s="490"/>
      <c r="BK4" s="490"/>
      <c r="BL4" s="490"/>
      <c r="BM4" s="490"/>
      <c r="BN4" s="490"/>
      <c r="BO4" s="490"/>
      <c r="BP4" s="490"/>
      <c r="BQ4" s="490"/>
      <c r="BR4" s="490"/>
      <c r="BS4" s="490"/>
      <c r="BT4" s="491"/>
      <c r="BU4" s="182"/>
      <c r="BV4" s="182"/>
      <c r="BW4" s="182"/>
      <c r="BX4" s="182"/>
      <c r="BY4" s="182"/>
      <c r="BZ4" s="182"/>
      <c r="CA4" s="182"/>
      <c r="CB4" s="182"/>
      <c r="CC4" s="182"/>
      <c r="CD4" s="182"/>
      <c r="CE4" s="182"/>
      <c r="CF4" s="182"/>
      <c r="CG4" s="182"/>
      <c r="CH4" s="182"/>
      <c r="CI4" s="61"/>
      <c r="CJ4" s="61"/>
    </row>
    <row r="5" spans="2:89" x14ac:dyDescent="0.3"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</row>
    <row r="6" spans="2:89" x14ac:dyDescent="0.3">
      <c r="D6" s="336" t="s">
        <v>7</v>
      </c>
      <c r="E6" s="337"/>
      <c r="F6" s="479" t="s">
        <v>12</v>
      </c>
      <c r="G6" s="479"/>
      <c r="H6" s="479"/>
      <c r="I6" s="479"/>
      <c r="J6" s="479"/>
      <c r="K6" s="479"/>
      <c r="L6" s="479"/>
      <c r="M6" s="338"/>
      <c r="N6" s="338"/>
      <c r="O6" s="339"/>
      <c r="P6" s="485" t="s">
        <v>126</v>
      </c>
      <c r="Q6" s="479"/>
      <c r="R6" s="479"/>
      <c r="S6" s="479"/>
      <c r="T6" s="486"/>
      <c r="U6" s="3"/>
      <c r="V6" s="8" t="s">
        <v>7</v>
      </c>
      <c r="W6" s="30"/>
      <c r="X6" s="480">
        <v>1.2500000000000001E-2</v>
      </c>
      <c r="Y6" s="480"/>
      <c r="Z6" s="480"/>
      <c r="AA6" s="480"/>
      <c r="AB6" s="480"/>
      <c r="AC6" s="480"/>
      <c r="AD6" s="480"/>
      <c r="AE6" s="480"/>
      <c r="AF6" s="480"/>
      <c r="AG6" s="480"/>
      <c r="AH6" s="480"/>
      <c r="AI6" s="481"/>
      <c r="AJ6" s="3"/>
      <c r="AK6" s="496" t="s">
        <v>27</v>
      </c>
      <c r="AL6" s="497"/>
      <c r="AM6" s="497"/>
      <c r="AN6" s="497"/>
      <c r="AO6" s="497"/>
      <c r="AP6" s="497"/>
      <c r="AQ6" s="497"/>
      <c r="AR6" s="497"/>
      <c r="AS6" s="497"/>
      <c r="AT6" s="497"/>
      <c r="AU6" s="497"/>
      <c r="AV6" s="497"/>
      <c r="AW6" s="497"/>
      <c r="AX6" s="498"/>
      <c r="AY6" s="3"/>
      <c r="AZ6" s="499" t="s">
        <v>7</v>
      </c>
      <c r="BA6" s="493"/>
      <c r="BB6" s="493"/>
      <c r="BC6" s="97"/>
      <c r="BD6" s="492" t="s">
        <v>26</v>
      </c>
      <c r="BE6" s="492"/>
      <c r="BF6" s="492"/>
      <c r="BG6" s="492"/>
      <c r="BH6" s="492"/>
      <c r="BI6" s="492"/>
      <c r="BJ6" s="492"/>
      <c r="BK6" s="492"/>
      <c r="BL6" s="492"/>
      <c r="BM6" s="492"/>
      <c r="BN6" s="492"/>
      <c r="BO6" s="492"/>
      <c r="BP6" s="492"/>
      <c r="BQ6" s="493"/>
      <c r="BR6" s="493"/>
      <c r="BS6" s="493"/>
      <c r="BT6" s="494"/>
      <c r="BU6" s="3"/>
    </row>
    <row r="7" spans="2:89" ht="16.2" x14ac:dyDescent="0.3">
      <c r="D7" s="476" t="s">
        <v>20</v>
      </c>
      <c r="E7" s="477"/>
      <c r="F7" s="477"/>
      <c r="G7" s="477"/>
      <c r="H7" s="477"/>
      <c r="I7" s="477"/>
      <c r="J7" s="477"/>
      <c r="K7" s="469"/>
      <c r="L7" s="469"/>
      <c r="M7" s="469"/>
      <c r="N7" s="469"/>
      <c r="O7" s="470"/>
      <c r="P7" s="452"/>
      <c r="Q7" s="453"/>
      <c r="R7" s="453"/>
      <c r="S7" s="453"/>
      <c r="T7" s="340"/>
      <c r="U7" s="3"/>
      <c r="V7" s="482" t="s">
        <v>35</v>
      </c>
      <c r="W7" s="483"/>
      <c r="X7" s="483"/>
      <c r="Y7" s="483"/>
      <c r="Z7" s="483"/>
      <c r="AA7" s="483"/>
      <c r="AB7" s="483"/>
      <c r="AC7" s="483"/>
      <c r="AD7" s="483"/>
      <c r="AE7" s="483"/>
      <c r="AF7" s="483"/>
      <c r="AG7" s="483"/>
      <c r="AH7" s="483"/>
      <c r="AI7" s="484"/>
      <c r="AJ7" s="3"/>
      <c r="AK7" s="476" t="s">
        <v>78</v>
      </c>
      <c r="AL7" s="477"/>
      <c r="AM7" s="477"/>
      <c r="AN7" s="477"/>
      <c r="AO7" s="477"/>
      <c r="AP7" s="477"/>
      <c r="AQ7" s="477"/>
      <c r="AR7" s="477"/>
      <c r="AS7" s="477"/>
      <c r="AT7" s="477"/>
      <c r="AU7" s="477"/>
      <c r="AV7" s="477"/>
      <c r="AW7" s="477"/>
      <c r="AX7" s="495"/>
      <c r="AZ7" s="476" t="s">
        <v>25</v>
      </c>
      <c r="BA7" s="477"/>
      <c r="BB7" s="477"/>
      <c r="BC7" s="477"/>
      <c r="BD7" s="477"/>
      <c r="BE7" s="477"/>
      <c r="BF7" s="477"/>
      <c r="BG7" s="477"/>
      <c r="BH7" s="477"/>
      <c r="BI7" s="477"/>
      <c r="BJ7" s="477"/>
      <c r="BK7" s="477"/>
      <c r="BL7" s="477"/>
      <c r="BM7" s="477"/>
      <c r="BN7" s="477"/>
      <c r="BO7" s="477"/>
      <c r="BP7" s="477"/>
      <c r="BQ7" s="477"/>
      <c r="BR7" s="477"/>
      <c r="BS7" s="477"/>
      <c r="BT7" s="495"/>
      <c r="BV7" s="176" t="s">
        <v>18</v>
      </c>
    </row>
    <row r="8" spans="2:89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31"/>
      <c r="N8" s="334" t="s">
        <v>117</v>
      </c>
      <c r="O8" s="341"/>
      <c r="P8" s="456" t="s">
        <v>1</v>
      </c>
      <c r="Q8" s="331"/>
      <c r="R8" s="53" t="s">
        <v>81</v>
      </c>
      <c r="S8" s="331"/>
      <c r="T8" s="341"/>
      <c r="V8" s="459" t="s">
        <v>1</v>
      </c>
      <c r="W8" s="460"/>
      <c r="X8" s="461" t="s">
        <v>15</v>
      </c>
      <c r="Y8" s="460"/>
      <c r="Z8" s="462" t="s">
        <v>2</v>
      </c>
      <c r="AA8" s="460"/>
      <c r="AB8" s="463" t="s">
        <v>3</v>
      </c>
      <c r="AC8" s="460"/>
      <c r="AD8" s="464" t="s">
        <v>117</v>
      </c>
      <c r="AE8" s="465"/>
      <c r="AF8" s="459" t="s">
        <v>1</v>
      </c>
      <c r="AG8" s="458"/>
      <c r="AH8" s="464" t="s">
        <v>127</v>
      </c>
      <c r="AI8" s="48"/>
      <c r="AK8" s="20" t="s">
        <v>1</v>
      </c>
      <c r="AL8" s="329"/>
      <c r="AM8" s="347" t="s">
        <v>15</v>
      </c>
      <c r="AN8" s="329"/>
      <c r="AO8" s="73" t="s">
        <v>2</v>
      </c>
      <c r="AP8" s="329"/>
      <c r="AQ8" s="330" t="s">
        <v>3</v>
      </c>
      <c r="AR8" s="329"/>
      <c r="AS8" s="347" t="s">
        <v>15</v>
      </c>
      <c r="AT8" s="329"/>
      <c r="AU8" s="348" t="s">
        <v>16</v>
      </c>
      <c r="AV8" s="345"/>
      <c r="AW8" s="349" t="s">
        <v>117</v>
      </c>
      <c r="AX8" s="350"/>
      <c r="AZ8" s="487" t="s">
        <v>1</v>
      </c>
      <c r="BA8" s="488"/>
      <c r="BB8" s="488"/>
      <c r="BC8" s="64"/>
      <c r="BD8" s="488" t="s">
        <v>24</v>
      </c>
      <c r="BE8" s="488"/>
      <c r="BF8" s="488"/>
      <c r="BG8" s="488"/>
      <c r="BH8" s="500"/>
      <c r="BI8" s="501" t="s">
        <v>126</v>
      </c>
      <c r="BJ8" s="502"/>
      <c r="BK8" s="502"/>
      <c r="BL8" s="503"/>
      <c r="BM8" s="487" t="s">
        <v>24</v>
      </c>
      <c r="BN8" s="488"/>
      <c r="BO8" s="488"/>
      <c r="BP8" s="64"/>
      <c r="BQ8" s="105"/>
      <c r="BR8" s="468"/>
      <c r="BS8" s="106"/>
      <c r="BT8" s="183"/>
    </row>
    <row r="9" spans="2:89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40"/>
      <c r="P9" s="14"/>
      <c r="Q9" s="15"/>
      <c r="R9" s="15"/>
      <c r="S9" s="15"/>
      <c r="T9" s="40"/>
      <c r="V9" s="31"/>
      <c r="W9" s="32"/>
      <c r="X9" s="32"/>
      <c r="Y9" s="32"/>
      <c r="Z9" s="33">
        <f>1295-1092</f>
        <v>203</v>
      </c>
      <c r="AA9" s="32"/>
      <c r="AB9" s="45"/>
      <c r="AC9" s="32"/>
      <c r="AD9" s="32"/>
      <c r="AE9" s="48"/>
      <c r="AF9" s="32"/>
      <c r="AG9" s="32"/>
      <c r="AH9" s="32"/>
      <c r="AI9" s="48"/>
      <c r="AK9" s="21"/>
      <c r="AL9" s="22"/>
      <c r="AM9" s="22"/>
      <c r="AN9" s="22"/>
      <c r="AO9" s="22"/>
      <c r="AP9" s="22"/>
      <c r="AQ9" s="22"/>
      <c r="AR9" s="22"/>
      <c r="AS9" s="22"/>
      <c r="AT9" s="22"/>
      <c r="AU9" s="140"/>
      <c r="AV9" s="140"/>
      <c r="AW9" s="22"/>
      <c r="AX9" s="351"/>
      <c r="AZ9" s="454" t="s">
        <v>36</v>
      </c>
      <c r="BA9" s="64"/>
      <c r="BB9" s="98" t="s">
        <v>2</v>
      </c>
      <c r="BC9" s="65"/>
      <c r="BD9" s="455" t="s">
        <v>36</v>
      </c>
      <c r="BE9" s="64"/>
      <c r="BF9" s="63" t="s">
        <v>10</v>
      </c>
      <c r="BG9" s="156"/>
      <c r="BH9" s="466" t="s">
        <v>15</v>
      </c>
      <c r="BI9" s="64"/>
      <c r="BJ9" s="455" t="s">
        <v>128</v>
      </c>
      <c r="BK9" s="64"/>
      <c r="BL9" s="63" t="s">
        <v>10</v>
      </c>
      <c r="BM9" s="467" t="s">
        <v>117</v>
      </c>
      <c r="BN9" s="64"/>
      <c r="BO9" s="104" t="s">
        <v>2</v>
      </c>
      <c r="BP9" s="355"/>
      <c r="BQ9" s="105" t="s">
        <v>22</v>
      </c>
      <c r="BR9" s="64"/>
      <c r="BS9" s="106" t="s">
        <v>15</v>
      </c>
      <c r="BT9" s="184"/>
    </row>
    <row r="10" spans="2:89" x14ac:dyDescent="0.3">
      <c r="B10" s="172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>
        <f t="shared" ref="N10:N41" si="2">+H10/BV10</f>
        <v>19436</v>
      </c>
      <c r="O10" s="41"/>
      <c r="P10" s="17"/>
      <c r="Q10" s="16"/>
      <c r="R10" s="16"/>
      <c r="S10" s="16"/>
      <c r="T10" s="41"/>
      <c r="U10" s="1"/>
      <c r="V10" s="34">
        <f>49+3</f>
        <v>52</v>
      </c>
      <c r="W10" s="33"/>
      <c r="X10" s="33"/>
      <c r="Y10" s="33"/>
      <c r="Z10" s="33">
        <f t="shared" ref="Z10:Z23" si="3">+Z9+V10</f>
        <v>255</v>
      </c>
      <c r="AA10" s="33"/>
      <c r="AB10" s="46">
        <f t="shared" ref="AB10:AB41" si="4">+Z10/H10</f>
        <v>1.3119983535706935E-2</v>
      </c>
      <c r="AC10" s="233"/>
      <c r="AD10" s="33">
        <f t="shared" ref="AD10:AD41" si="5">+Z10/BV10</f>
        <v>255</v>
      </c>
      <c r="AE10" s="50"/>
      <c r="AF10" s="33"/>
      <c r="AG10" s="33"/>
      <c r="AH10" s="33"/>
      <c r="AI10" s="49"/>
      <c r="AJ10" s="1"/>
      <c r="AK10" s="23"/>
      <c r="AL10" s="24"/>
      <c r="AM10" s="24"/>
      <c r="AN10" s="24"/>
      <c r="AO10" s="24">
        <v>176</v>
      </c>
      <c r="AP10" s="24"/>
      <c r="AQ10" s="24"/>
      <c r="AR10" s="24"/>
      <c r="AS10" s="24"/>
      <c r="AT10" s="24"/>
      <c r="AU10" s="140"/>
      <c r="AV10" s="140"/>
      <c r="AW10" s="22"/>
      <c r="AX10" s="351"/>
      <c r="AY10" s="1"/>
      <c r="AZ10" s="66"/>
      <c r="BA10" s="67"/>
      <c r="BB10" s="67"/>
      <c r="BC10" s="67"/>
      <c r="BD10" s="67"/>
      <c r="BE10" s="67"/>
      <c r="BF10" s="67"/>
      <c r="BG10" s="67"/>
      <c r="BH10" s="185"/>
      <c r="BI10" s="67"/>
      <c r="BJ10" s="67"/>
      <c r="BK10" s="67"/>
      <c r="BL10" s="67"/>
      <c r="BM10" s="66"/>
      <c r="BN10" s="67"/>
      <c r="BO10" s="67"/>
      <c r="BP10" s="67"/>
      <c r="BQ10" s="70"/>
      <c r="BR10" s="67"/>
      <c r="BS10" s="67"/>
      <c r="BT10" s="185"/>
      <c r="BU10" s="1"/>
      <c r="BV10">
        <v>1</v>
      </c>
    </row>
    <row r="11" spans="2:89" x14ac:dyDescent="0.3">
      <c r="B11" s="172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16">
        <f t="shared" si="2"/>
        <v>12130</v>
      </c>
      <c r="O11" s="42"/>
      <c r="P11" s="457"/>
      <c r="Q11" s="60"/>
      <c r="R11" s="60"/>
      <c r="S11" s="60"/>
      <c r="T11" s="42"/>
      <c r="U11" s="1"/>
      <c r="V11" s="34">
        <v>46</v>
      </c>
      <c r="W11" s="33"/>
      <c r="X11" s="33"/>
      <c r="Y11" s="33"/>
      <c r="Z11" s="33">
        <f t="shared" si="3"/>
        <v>301</v>
      </c>
      <c r="AA11" s="33"/>
      <c r="AB11" s="46">
        <f t="shared" si="4"/>
        <v>1.2407254740313274E-2</v>
      </c>
      <c r="AC11" s="233"/>
      <c r="AD11" s="33">
        <f t="shared" si="5"/>
        <v>150.5</v>
      </c>
      <c r="AE11" s="50"/>
      <c r="AF11" s="33"/>
      <c r="AG11" s="33"/>
      <c r="AH11" s="33"/>
      <c r="AI11" s="49"/>
      <c r="AJ11" s="1"/>
      <c r="AK11" s="23">
        <f t="shared" ref="AK11:AK51" si="7">+AO11-AO10</f>
        <v>0</v>
      </c>
      <c r="AL11" s="24"/>
      <c r="AM11" s="24"/>
      <c r="AN11" s="24"/>
      <c r="AO11" s="24">
        <v>176</v>
      </c>
      <c r="AP11" s="24"/>
      <c r="AQ11" s="24"/>
      <c r="AR11" s="24"/>
      <c r="AS11" s="24"/>
      <c r="AT11" s="24"/>
      <c r="AU11" s="140"/>
      <c r="AV11" s="140"/>
      <c r="AW11" s="22"/>
      <c r="AX11" s="351"/>
      <c r="AY11" s="1"/>
      <c r="AZ11" s="66"/>
      <c r="BA11" s="67"/>
      <c r="BB11" s="67"/>
      <c r="BC11" s="67"/>
      <c r="BD11" s="67"/>
      <c r="BE11" s="67"/>
      <c r="BF11" s="67"/>
      <c r="BG11" s="67"/>
      <c r="BH11" s="185"/>
      <c r="BI11" s="67"/>
      <c r="BJ11" s="67"/>
      <c r="BK11" s="67"/>
      <c r="BL11" s="67"/>
      <c r="BM11" s="66"/>
      <c r="BN11" s="67"/>
      <c r="BO11" s="67"/>
      <c r="BP11" s="67"/>
      <c r="BQ11" s="70"/>
      <c r="BR11" s="67"/>
      <c r="BS11" s="67"/>
      <c r="BT11" s="185"/>
      <c r="BU11" s="1"/>
      <c r="BV11">
        <f>+BV10+1</f>
        <v>2</v>
      </c>
    </row>
    <row r="12" spans="2:89" x14ac:dyDescent="0.3">
      <c r="B12" s="172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16">
        <f t="shared" si="2"/>
        <v>11199.666666666666</v>
      </c>
      <c r="O12" s="42"/>
      <c r="P12" s="457"/>
      <c r="Q12" s="60"/>
      <c r="R12" s="60"/>
      <c r="S12" s="60"/>
      <c r="T12" s="42"/>
      <c r="U12" s="1"/>
      <c r="V12" s="34">
        <f>117-4</f>
        <v>113</v>
      </c>
      <c r="W12" s="33"/>
      <c r="X12" s="33"/>
      <c r="Y12" s="33"/>
      <c r="Z12" s="33">
        <f t="shared" si="3"/>
        <v>414</v>
      </c>
      <c r="AA12" s="33"/>
      <c r="AB12" s="46">
        <f t="shared" si="4"/>
        <v>1.2321795291526534E-2</v>
      </c>
      <c r="AC12" s="233"/>
      <c r="AD12" s="33">
        <f t="shared" si="5"/>
        <v>138</v>
      </c>
      <c r="AE12" s="50"/>
      <c r="AF12" s="33"/>
      <c r="AG12" s="33"/>
      <c r="AH12" s="33"/>
      <c r="AI12" s="49"/>
      <c r="AJ12" s="1"/>
      <c r="AK12" s="23">
        <f t="shared" si="7"/>
        <v>2</v>
      </c>
      <c r="AL12" s="24"/>
      <c r="AM12" s="24"/>
      <c r="AN12" s="24"/>
      <c r="AO12" s="24">
        <v>178</v>
      </c>
      <c r="AP12" s="24"/>
      <c r="AQ12" s="25">
        <f t="shared" ref="AQ12:AQ51" si="8">+AK12/AO11</f>
        <v>1.1363636363636364E-2</v>
      </c>
      <c r="AR12" s="25"/>
      <c r="AS12" s="25"/>
      <c r="AT12" s="24"/>
      <c r="AU12" s="344">
        <f t="shared" ref="AU12:AU43" si="9">+AO12/H12</f>
        <v>5.2977767195452243E-3</v>
      </c>
      <c r="AV12" s="344"/>
      <c r="AW12" s="24">
        <f t="shared" ref="AW12:AW43" si="10">+AO12/BV12</f>
        <v>59.333333333333336</v>
      </c>
      <c r="AX12" s="352"/>
      <c r="AY12" s="1"/>
      <c r="AZ12" s="66"/>
      <c r="BA12" s="67"/>
      <c r="BB12" s="67"/>
      <c r="BC12" s="67"/>
      <c r="BD12" s="67"/>
      <c r="BE12" s="67"/>
      <c r="BF12" s="67"/>
      <c r="BG12" s="67"/>
      <c r="BH12" s="185"/>
      <c r="BI12" s="67"/>
      <c r="BJ12" s="67"/>
      <c r="BK12" s="67"/>
      <c r="BL12" s="67"/>
      <c r="BM12" s="66"/>
      <c r="BN12" s="67"/>
      <c r="BO12" s="67"/>
      <c r="BP12" s="67"/>
      <c r="BQ12" s="70"/>
      <c r="BR12" s="67"/>
      <c r="BS12" s="67"/>
      <c r="BT12" s="185"/>
      <c r="BU12" s="1"/>
      <c r="BV12">
        <f t="shared" ref="BV12:BV76" si="11">+BV11+1</f>
        <v>3</v>
      </c>
    </row>
    <row r="13" spans="2:89" x14ac:dyDescent="0.3">
      <c r="B13" s="172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16">
        <f t="shared" si="2"/>
        <v>10941.75</v>
      </c>
      <c r="O13" s="42"/>
      <c r="P13" s="457"/>
      <c r="Q13" s="60"/>
      <c r="R13" s="60"/>
      <c r="S13" s="60"/>
      <c r="T13" s="42"/>
      <c r="U13" s="1"/>
      <c r="V13" s="34">
        <f>140+1</f>
        <v>141</v>
      </c>
      <c r="W13" s="33"/>
      <c r="X13" s="33"/>
      <c r="Y13" s="33"/>
      <c r="Z13" s="33">
        <f t="shared" si="3"/>
        <v>555</v>
      </c>
      <c r="AA13" s="33"/>
      <c r="AB13" s="46">
        <f t="shared" si="4"/>
        <v>1.2680786894235383E-2</v>
      </c>
      <c r="AC13" s="233"/>
      <c r="AD13" s="33">
        <f t="shared" si="5"/>
        <v>138.75</v>
      </c>
      <c r="AE13" s="50"/>
      <c r="AF13" s="33"/>
      <c r="AG13" s="33"/>
      <c r="AH13" s="33"/>
      <c r="AI13" s="49"/>
      <c r="AJ13" s="1"/>
      <c r="AK13" s="23">
        <f t="shared" si="7"/>
        <v>117</v>
      </c>
      <c r="AL13" s="24"/>
      <c r="AM13" s="24"/>
      <c r="AN13" s="24"/>
      <c r="AO13" s="24">
        <v>295</v>
      </c>
      <c r="AP13" s="24"/>
      <c r="AQ13" s="25">
        <f t="shared" si="8"/>
        <v>0.65730337078651691</v>
      </c>
      <c r="AR13" s="25"/>
      <c r="AS13" s="25"/>
      <c r="AT13" s="24"/>
      <c r="AU13" s="344">
        <f t="shared" si="9"/>
        <v>6.740238078917906E-3</v>
      </c>
      <c r="AV13" s="344"/>
      <c r="AW13" s="24">
        <f t="shared" si="10"/>
        <v>73.75</v>
      </c>
      <c r="AX13" s="354"/>
      <c r="AY13" s="1"/>
      <c r="AZ13" s="66"/>
      <c r="BA13" s="67"/>
      <c r="BB13" s="67"/>
      <c r="BC13" s="67"/>
      <c r="BD13" s="67"/>
      <c r="BE13" s="67"/>
      <c r="BF13" s="67"/>
      <c r="BG13" s="67"/>
      <c r="BH13" s="185"/>
      <c r="BI13" s="67"/>
      <c r="BJ13" s="67"/>
      <c r="BK13" s="67"/>
      <c r="BL13" s="67"/>
      <c r="BM13" s="66"/>
      <c r="BN13" s="67"/>
      <c r="BO13" s="67"/>
      <c r="BP13" s="67"/>
      <c r="BQ13" s="70"/>
      <c r="BR13" s="67"/>
      <c r="BS13" s="67"/>
      <c r="BT13" s="185"/>
      <c r="BU13" s="1"/>
      <c r="BV13">
        <f t="shared" si="11"/>
        <v>4</v>
      </c>
    </row>
    <row r="14" spans="2:89" x14ac:dyDescent="0.3">
      <c r="B14" s="172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16">
        <f t="shared" si="2"/>
        <v>10971.2</v>
      </c>
      <c r="O14" s="42"/>
      <c r="P14" s="457"/>
      <c r="Q14" s="60"/>
      <c r="R14" s="60"/>
      <c r="S14" s="60"/>
      <c r="T14" s="42"/>
      <c r="U14" s="1"/>
      <c r="V14" s="34">
        <v>225</v>
      </c>
      <c r="W14" s="33"/>
      <c r="X14" s="33"/>
      <c r="Y14" s="33"/>
      <c r="Z14" s="33">
        <f t="shared" si="3"/>
        <v>780</v>
      </c>
      <c r="AA14" s="33"/>
      <c r="AB14" s="46">
        <f t="shared" si="4"/>
        <v>1.4219046230129795E-2</v>
      </c>
      <c r="AC14" s="233"/>
      <c r="AD14" s="33">
        <f t="shared" si="5"/>
        <v>156</v>
      </c>
      <c r="AE14" s="50"/>
      <c r="AF14" s="33"/>
      <c r="AG14" s="33"/>
      <c r="AH14" s="33"/>
      <c r="AI14" s="49"/>
      <c r="AJ14" s="1"/>
      <c r="AK14" s="23">
        <f t="shared" si="7"/>
        <v>83</v>
      </c>
      <c r="AL14" s="24"/>
      <c r="AM14" s="24"/>
      <c r="AN14" s="24"/>
      <c r="AO14" s="24">
        <v>378</v>
      </c>
      <c r="AP14" s="24"/>
      <c r="AQ14" s="25">
        <f t="shared" si="8"/>
        <v>0.28135593220338984</v>
      </c>
      <c r="AR14" s="25"/>
      <c r="AS14" s="25"/>
      <c r="AT14" s="24"/>
      <c r="AU14" s="344">
        <f t="shared" si="9"/>
        <v>6.8907685576782849E-3</v>
      </c>
      <c r="AV14" s="344"/>
      <c r="AW14" s="24">
        <f t="shared" si="10"/>
        <v>75.599999999999994</v>
      </c>
      <c r="AX14" s="354"/>
      <c r="AY14" s="1"/>
      <c r="AZ14" s="66"/>
      <c r="BA14" s="67"/>
      <c r="BB14" s="67"/>
      <c r="BC14" s="67"/>
      <c r="BD14" s="67"/>
      <c r="BE14" s="67"/>
      <c r="BF14" s="67"/>
      <c r="BG14" s="67"/>
      <c r="BH14" s="185"/>
      <c r="BI14" s="67"/>
      <c r="BJ14" s="67"/>
      <c r="BK14" s="67"/>
      <c r="BL14" s="67"/>
      <c r="BM14" s="66"/>
      <c r="BN14" s="67"/>
      <c r="BO14" s="67"/>
      <c r="BP14" s="67"/>
      <c r="BQ14" s="70"/>
      <c r="BR14" s="67"/>
      <c r="BS14" s="67"/>
      <c r="BT14" s="185"/>
      <c r="BU14" s="1"/>
      <c r="BV14">
        <f t="shared" si="11"/>
        <v>5</v>
      </c>
      <c r="CK14" s="56"/>
    </row>
    <row r="15" spans="2:89" x14ac:dyDescent="0.3">
      <c r="B15" s="172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16">
        <f t="shared" si="2"/>
        <v>11368.5</v>
      </c>
      <c r="O15" s="42"/>
      <c r="P15" s="457"/>
      <c r="Q15" s="60"/>
      <c r="R15" s="60"/>
      <c r="S15" s="60"/>
      <c r="T15" s="42"/>
      <c r="U15" s="1"/>
      <c r="V15" s="34">
        <v>247</v>
      </c>
      <c r="W15" s="33"/>
      <c r="X15" s="33"/>
      <c r="Y15" s="33"/>
      <c r="Z15" s="33">
        <f t="shared" si="3"/>
        <v>1027</v>
      </c>
      <c r="AA15" s="33"/>
      <c r="AB15" s="46">
        <f t="shared" si="4"/>
        <v>1.5056222603392415E-2</v>
      </c>
      <c r="AC15" s="233"/>
      <c r="AD15" s="33">
        <f t="shared" si="5"/>
        <v>171.16666666666666</v>
      </c>
      <c r="AE15" s="50"/>
      <c r="AF15" s="33"/>
      <c r="AG15" s="33"/>
      <c r="AH15" s="33"/>
      <c r="AI15" s="49"/>
      <c r="AJ15" s="1"/>
      <c r="AK15" s="23">
        <f t="shared" si="7"/>
        <v>16</v>
      </c>
      <c r="AL15" s="24"/>
      <c r="AM15" s="24"/>
      <c r="AN15" s="24"/>
      <c r="AO15" s="24">
        <v>394</v>
      </c>
      <c r="AP15" s="24"/>
      <c r="AQ15" s="25">
        <f t="shared" si="8"/>
        <v>4.2328042328042326E-2</v>
      </c>
      <c r="AR15" s="25"/>
      <c r="AS15" s="25"/>
      <c r="AT15" s="24"/>
      <c r="AU15" s="344">
        <f t="shared" si="9"/>
        <v>5.7761944554397381E-3</v>
      </c>
      <c r="AV15" s="344"/>
      <c r="AW15" s="24">
        <f t="shared" si="10"/>
        <v>65.666666666666671</v>
      </c>
      <c r="AX15" s="354"/>
      <c r="AY15" s="1"/>
      <c r="AZ15" s="66"/>
      <c r="BA15" s="67"/>
      <c r="BB15" s="67"/>
      <c r="BC15" s="67"/>
      <c r="BD15" s="67"/>
      <c r="BE15" s="67"/>
      <c r="BF15" s="67"/>
      <c r="BG15" s="67"/>
      <c r="BH15" s="185"/>
      <c r="BI15" s="67"/>
      <c r="BJ15" s="67"/>
      <c r="BK15" s="67"/>
      <c r="BL15" s="67"/>
      <c r="BM15" s="66"/>
      <c r="BN15" s="67"/>
      <c r="BO15" s="67"/>
      <c r="BP15" s="67"/>
      <c r="BQ15" s="70"/>
      <c r="BR15" s="67"/>
      <c r="BS15" s="67"/>
      <c r="BT15" s="185"/>
      <c r="BU15" s="1"/>
      <c r="BV15">
        <f t="shared" si="11"/>
        <v>6</v>
      </c>
      <c r="CK15" s="56"/>
    </row>
    <row r="16" spans="2:89" x14ac:dyDescent="0.3">
      <c r="B16" s="172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16">
        <f t="shared" si="2"/>
        <v>12205</v>
      </c>
      <c r="O16" s="42"/>
      <c r="P16" s="457"/>
      <c r="Q16" s="60"/>
      <c r="R16" s="60"/>
      <c r="S16" s="60"/>
      <c r="T16" s="42"/>
      <c r="U16" s="1"/>
      <c r="V16" s="34">
        <v>268</v>
      </c>
      <c r="W16" s="33"/>
      <c r="X16" s="33"/>
      <c r="Y16" s="33"/>
      <c r="Z16" s="33">
        <f t="shared" si="3"/>
        <v>1295</v>
      </c>
      <c r="AA16" s="33"/>
      <c r="AB16" s="46">
        <f t="shared" si="4"/>
        <v>1.5157722244981565E-2</v>
      </c>
      <c r="AC16" s="233"/>
      <c r="AD16" s="33">
        <f t="shared" si="5"/>
        <v>185</v>
      </c>
      <c r="AE16" s="50"/>
      <c r="AF16" s="33"/>
      <c r="AG16" s="33"/>
      <c r="AH16" s="33"/>
      <c r="AI16" s="49"/>
      <c r="AJ16" s="1"/>
      <c r="AK16" s="23">
        <f t="shared" si="7"/>
        <v>1474</v>
      </c>
      <c r="AL16" s="24"/>
      <c r="AM16" s="24"/>
      <c r="AN16" s="24"/>
      <c r="AO16" s="24">
        <v>1868</v>
      </c>
      <c r="AP16" s="24"/>
      <c r="AQ16" s="25">
        <f t="shared" si="8"/>
        <v>3.7411167512690353</v>
      </c>
      <c r="AR16" s="25"/>
      <c r="AS16" s="25"/>
      <c r="AT16" s="24"/>
      <c r="AU16" s="344">
        <f t="shared" si="9"/>
        <v>2.1864575408205068E-2</v>
      </c>
      <c r="AV16" s="344"/>
      <c r="AW16" s="24">
        <f t="shared" si="10"/>
        <v>266.85714285714283</v>
      </c>
      <c r="AX16" s="354"/>
      <c r="AY16" s="1"/>
      <c r="AZ16" s="66"/>
      <c r="BA16" s="67"/>
      <c r="BB16" s="67"/>
      <c r="BC16" s="67"/>
      <c r="BD16" s="67"/>
      <c r="BE16" s="67"/>
      <c r="BF16" s="67"/>
      <c r="BG16" s="67"/>
      <c r="BH16" s="185"/>
      <c r="BI16" s="67"/>
      <c r="BJ16" s="67"/>
      <c r="BK16" s="67"/>
      <c r="BL16" s="67"/>
      <c r="BM16" s="66"/>
      <c r="BN16" s="67"/>
      <c r="BO16" s="67"/>
      <c r="BP16" s="67"/>
      <c r="BQ16" s="70"/>
      <c r="BR16" s="67"/>
      <c r="BS16" s="67"/>
      <c r="BT16" s="185"/>
      <c r="BU16" s="1"/>
      <c r="BV16">
        <f t="shared" si="11"/>
        <v>7</v>
      </c>
      <c r="CK16" s="56"/>
    </row>
    <row r="17" spans="2:89" x14ac:dyDescent="0.3">
      <c r="B17" s="172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16">
        <f t="shared" si="2"/>
        <v>13015.75</v>
      </c>
      <c r="O17" s="42"/>
      <c r="P17" s="457"/>
      <c r="Q17" s="60"/>
      <c r="R17" s="60"/>
      <c r="S17" s="60"/>
      <c r="T17" s="42"/>
      <c r="U17" s="1"/>
      <c r="V17" s="34">
        <f>401-1</f>
        <v>400</v>
      </c>
      <c r="W17" s="33"/>
      <c r="X17" s="33"/>
      <c r="Y17" s="33"/>
      <c r="Z17" s="33">
        <f t="shared" si="3"/>
        <v>1695</v>
      </c>
      <c r="AA17" s="33"/>
      <c r="AB17" s="46">
        <f t="shared" si="4"/>
        <v>1.6278355069819256E-2</v>
      </c>
      <c r="AC17" s="233"/>
      <c r="AD17" s="33">
        <f t="shared" si="5"/>
        <v>211.875</v>
      </c>
      <c r="AE17" s="50"/>
      <c r="AF17" s="33"/>
      <c r="AG17" s="33"/>
      <c r="AH17" s="33"/>
      <c r="AI17" s="49"/>
      <c r="AJ17" s="1"/>
      <c r="AK17" s="23">
        <f t="shared" si="7"/>
        <v>654</v>
      </c>
      <c r="AL17" s="24"/>
      <c r="AM17" s="24"/>
      <c r="AN17" s="24"/>
      <c r="AO17" s="24">
        <v>2522</v>
      </c>
      <c r="AP17" s="24"/>
      <c r="AQ17" s="25">
        <f t="shared" si="8"/>
        <v>0.3501070663811563</v>
      </c>
      <c r="AR17" s="25"/>
      <c r="AS17" s="25"/>
      <c r="AT17" s="24"/>
      <c r="AU17" s="344">
        <f t="shared" si="9"/>
        <v>2.4220655744002458E-2</v>
      </c>
      <c r="AV17" s="344"/>
      <c r="AW17" s="24">
        <f t="shared" si="10"/>
        <v>315.25</v>
      </c>
      <c r="AX17" s="354"/>
      <c r="AY17" s="1"/>
      <c r="AZ17" s="66"/>
      <c r="BA17" s="67"/>
      <c r="BB17" s="67"/>
      <c r="BC17" s="67"/>
      <c r="BD17" s="67"/>
      <c r="BE17" s="67"/>
      <c r="BF17" s="67"/>
      <c r="BG17" s="67"/>
      <c r="BH17" s="185"/>
      <c r="BI17" s="67"/>
      <c r="BJ17" s="67"/>
      <c r="BK17" s="67"/>
      <c r="BL17" s="67"/>
      <c r="BM17" s="66"/>
      <c r="BN17" s="67"/>
      <c r="BO17" s="67"/>
      <c r="BP17" s="67"/>
      <c r="BQ17" s="70"/>
      <c r="BR17" s="67"/>
      <c r="BS17" s="67"/>
      <c r="BT17" s="185"/>
      <c r="BU17" s="1"/>
      <c r="BV17">
        <f t="shared" si="11"/>
        <v>8</v>
      </c>
      <c r="CK17" s="56"/>
    </row>
    <row r="18" spans="2:89" x14ac:dyDescent="0.3">
      <c r="B18" s="172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16">
        <f t="shared" si="2"/>
        <v>13730.888888888889</v>
      </c>
      <c r="O18" s="42"/>
      <c r="P18" s="457"/>
      <c r="Q18" s="60"/>
      <c r="R18" s="60"/>
      <c r="S18" s="60"/>
      <c r="T18" s="42"/>
      <c r="U18" s="1"/>
      <c r="V18" s="34">
        <v>525</v>
      </c>
      <c r="W18" s="33"/>
      <c r="X18" s="33"/>
      <c r="Y18" s="33"/>
      <c r="Z18" s="33">
        <f t="shared" si="3"/>
        <v>2220</v>
      </c>
      <c r="AA18" s="33"/>
      <c r="AB18" s="46">
        <f t="shared" si="4"/>
        <v>1.7964362588810307E-2</v>
      </c>
      <c r="AC18" s="233"/>
      <c r="AD18" s="33">
        <f t="shared" si="5"/>
        <v>246.66666666666666</v>
      </c>
      <c r="AE18" s="50"/>
      <c r="AF18" s="33"/>
      <c r="AG18" s="33"/>
      <c r="AH18" s="33"/>
      <c r="AI18" s="49"/>
      <c r="AJ18" s="1"/>
      <c r="AK18" s="23">
        <f t="shared" si="7"/>
        <v>709</v>
      </c>
      <c r="AL18" s="24"/>
      <c r="AM18" s="24"/>
      <c r="AN18" s="24"/>
      <c r="AO18" s="24">
        <v>3231</v>
      </c>
      <c r="AP18" s="24"/>
      <c r="AQ18" s="25">
        <f t="shared" si="8"/>
        <v>0.28112609040444092</v>
      </c>
      <c r="AR18" s="25"/>
      <c r="AS18" s="25"/>
      <c r="AT18" s="24"/>
      <c r="AU18" s="344">
        <f t="shared" si="9"/>
        <v>2.6145430416417162E-2</v>
      </c>
      <c r="AV18" s="344"/>
      <c r="AW18" s="24">
        <f t="shared" si="10"/>
        <v>359</v>
      </c>
      <c r="AX18" s="354"/>
      <c r="AY18" s="1"/>
      <c r="AZ18" s="66"/>
      <c r="BA18" s="67"/>
      <c r="BB18" s="67"/>
      <c r="BC18" s="67"/>
      <c r="BD18" s="67"/>
      <c r="BE18" s="67"/>
      <c r="BF18" s="67"/>
      <c r="BG18" s="67"/>
      <c r="BH18" s="185"/>
      <c r="BI18" s="67"/>
      <c r="BJ18" s="67"/>
      <c r="BK18" s="67"/>
      <c r="BL18" s="67"/>
      <c r="BM18" s="66"/>
      <c r="BN18" s="67"/>
      <c r="BO18" s="67"/>
      <c r="BP18" s="67"/>
      <c r="BQ18" s="70"/>
      <c r="BR18" s="67"/>
      <c r="BS18" s="67"/>
      <c r="BT18" s="185"/>
      <c r="BU18" s="1"/>
      <c r="BV18">
        <f t="shared" si="11"/>
        <v>9</v>
      </c>
      <c r="CK18" s="56"/>
    </row>
    <row r="19" spans="2:89" x14ac:dyDescent="0.3">
      <c r="B19" s="173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16">
        <f t="shared" si="2"/>
        <v>14349.1</v>
      </c>
      <c r="O19" s="42"/>
      <c r="P19" s="457"/>
      <c r="Q19" s="60"/>
      <c r="R19" s="60"/>
      <c r="S19" s="60"/>
      <c r="T19" s="42"/>
      <c r="U19" s="394"/>
      <c r="V19" s="34">
        <v>363</v>
      </c>
      <c r="W19" s="33"/>
      <c r="X19" s="33"/>
      <c r="Y19" s="33"/>
      <c r="Z19" s="33">
        <f t="shared" si="3"/>
        <v>2583</v>
      </c>
      <c r="AA19" s="33"/>
      <c r="AB19" s="46">
        <f t="shared" si="4"/>
        <v>1.8001128990668403E-2</v>
      </c>
      <c r="AC19" s="233"/>
      <c r="AD19" s="33">
        <f t="shared" si="5"/>
        <v>258.3</v>
      </c>
      <c r="AE19" s="50"/>
      <c r="AF19" s="33"/>
      <c r="AG19" s="33"/>
      <c r="AH19" s="33"/>
      <c r="AI19" s="49"/>
      <c r="AJ19" s="394"/>
      <c r="AK19" s="23">
        <f t="shared" si="7"/>
        <v>1328</v>
      </c>
      <c r="AL19" s="24"/>
      <c r="AM19" s="24"/>
      <c r="AN19" s="24"/>
      <c r="AO19" s="24">
        <v>4559</v>
      </c>
      <c r="AP19" s="24"/>
      <c r="AQ19" s="25">
        <f t="shared" si="8"/>
        <v>0.41101826060043328</v>
      </c>
      <c r="AR19" s="25"/>
      <c r="AS19" s="25"/>
      <c r="AT19" s="24"/>
      <c r="AU19" s="344">
        <f t="shared" si="9"/>
        <v>3.1772027513920734E-2</v>
      </c>
      <c r="AV19" s="344"/>
      <c r="AW19" s="24">
        <f t="shared" si="10"/>
        <v>455.9</v>
      </c>
      <c r="AX19" s="354"/>
      <c r="AY19" s="394"/>
      <c r="AZ19" s="66"/>
      <c r="BA19" s="67"/>
      <c r="BB19" s="67"/>
      <c r="BC19" s="67"/>
      <c r="BD19" s="67"/>
      <c r="BE19" s="67"/>
      <c r="BF19" s="67"/>
      <c r="BG19" s="67"/>
      <c r="BH19" s="185"/>
      <c r="BI19" s="67"/>
      <c r="BJ19" s="67"/>
      <c r="BK19" s="67"/>
      <c r="BL19" s="67"/>
      <c r="BM19" s="66"/>
      <c r="BN19" s="67"/>
      <c r="BO19" s="67"/>
      <c r="BP19" s="67"/>
      <c r="BQ19" s="70"/>
      <c r="BR19" s="67"/>
      <c r="BS19" s="67"/>
      <c r="BT19" s="185"/>
      <c r="BU19" s="1"/>
      <c r="BV19">
        <f t="shared" si="11"/>
        <v>10</v>
      </c>
      <c r="CK19" s="56"/>
    </row>
    <row r="20" spans="2:89" x14ac:dyDescent="0.3">
      <c r="B20" s="173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16">
        <f t="shared" si="2"/>
        <v>14894.90909090909</v>
      </c>
      <c r="O20" s="42"/>
      <c r="P20" s="457"/>
      <c r="Q20" s="60"/>
      <c r="R20" s="60"/>
      <c r="S20" s="60"/>
      <c r="T20" s="42"/>
      <c r="U20" s="10"/>
      <c r="V20" s="34">
        <f>573-15</f>
        <v>558</v>
      </c>
      <c r="W20" s="33"/>
      <c r="X20" s="33"/>
      <c r="Y20" s="33"/>
      <c r="Z20" s="33">
        <f t="shared" si="3"/>
        <v>3141</v>
      </c>
      <c r="AA20" s="33"/>
      <c r="AB20" s="46">
        <f t="shared" si="4"/>
        <v>1.9170674544078514E-2</v>
      </c>
      <c r="AC20" s="233"/>
      <c r="AD20" s="33">
        <f t="shared" si="5"/>
        <v>285.54545454545456</v>
      </c>
      <c r="AE20" s="50"/>
      <c r="AF20" s="33"/>
      <c r="AG20" s="33"/>
      <c r="AH20" s="33"/>
      <c r="AI20" s="49"/>
      <c r="AJ20" s="10"/>
      <c r="AK20" s="23">
        <f t="shared" si="7"/>
        <v>947</v>
      </c>
      <c r="AL20" s="24"/>
      <c r="AM20" s="24"/>
      <c r="AN20" s="24"/>
      <c r="AO20" s="24">
        <v>5506</v>
      </c>
      <c r="AP20" s="24"/>
      <c r="AQ20" s="25">
        <f t="shared" si="8"/>
        <v>0.20772099144549244</v>
      </c>
      <c r="AR20" s="25"/>
      <c r="AS20" s="25"/>
      <c r="AT20" s="24"/>
      <c r="AU20" s="344">
        <f t="shared" si="9"/>
        <v>3.3605136593344888E-2</v>
      </c>
      <c r="AV20" s="344"/>
      <c r="AW20" s="24">
        <f t="shared" si="10"/>
        <v>500.54545454545456</v>
      </c>
      <c r="AX20" s="354"/>
      <c r="AY20" s="10"/>
      <c r="AZ20" s="66"/>
      <c r="BA20" s="67"/>
      <c r="BB20" s="67"/>
      <c r="BC20" s="67"/>
      <c r="BD20" s="67"/>
      <c r="BE20" s="67"/>
      <c r="BF20" s="67"/>
      <c r="BG20" s="67"/>
      <c r="BH20" s="185"/>
      <c r="BI20" s="67"/>
      <c r="BJ20" s="67"/>
      <c r="BK20" s="67"/>
      <c r="BL20" s="67"/>
      <c r="BM20" s="66"/>
      <c r="BN20" s="67"/>
      <c r="BO20" s="67"/>
      <c r="BP20" s="67"/>
      <c r="BQ20" s="70"/>
      <c r="BR20" s="67"/>
      <c r="BS20" s="67"/>
      <c r="BT20" s="185"/>
      <c r="BU20" s="1"/>
      <c r="BV20">
        <f t="shared" si="11"/>
        <v>11</v>
      </c>
      <c r="CK20" s="56"/>
    </row>
    <row r="21" spans="2:89" x14ac:dyDescent="0.3">
      <c r="B21" s="173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16">
        <f t="shared" si="2"/>
        <v>15715.5</v>
      </c>
      <c r="O21" s="42"/>
      <c r="P21" s="457"/>
      <c r="Q21" s="60"/>
      <c r="R21" s="60"/>
      <c r="S21" s="60"/>
      <c r="T21" s="42"/>
      <c r="U21" s="1"/>
      <c r="V21" s="34">
        <f>748+164</f>
        <v>912</v>
      </c>
      <c r="W21" s="33"/>
      <c r="X21" s="33"/>
      <c r="Y21" s="33"/>
      <c r="Z21" s="33">
        <f t="shared" si="3"/>
        <v>4053</v>
      </c>
      <c r="AA21" s="33"/>
      <c r="AB21" s="46">
        <f t="shared" si="4"/>
        <v>2.1491521109732431E-2</v>
      </c>
      <c r="AC21" s="33"/>
      <c r="AD21" s="33">
        <f t="shared" si="5"/>
        <v>337.75</v>
      </c>
      <c r="AE21" s="50"/>
      <c r="AF21" s="33"/>
      <c r="AG21" s="33"/>
      <c r="AH21" s="33"/>
      <c r="AI21" s="50"/>
      <c r="AJ21" s="1"/>
      <c r="AK21" s="23">
        <f t="shared" si="7"/>
        <v>1745</v>
      </c>
      <c r="AL21" s="24"/>
      <c r="AM21" s="24"/>
      <c r="AN21" s="24"/>
      <c r="AO21" s="24">
        <v>7251</v>
      </c>
      <c r="AP21" s="24"/>
      <c r="AQ21" s="25">
        <f t="shared" si="8"/>
        <v>0.31692698873955683</v>
      </c>
      <c r="AR21" s="25"/>
      <c r="AS21" s="25"/>
      <c r="AT21" s="24"/>
      <c r="AU21" s="344">
        <f t="shared" si="9"/>
        <v>3.8449301644872896E-2</v>
      </c>
      <c r="AV21" s="344"/>
      <c r="AW21" s="24">
        <f t="shared" si="10"/>
        <v>604.25</v>
      </c>
      <c r="AX21" s="354"/>
      <c r="AY21" s="1"/>
      <c r="AZ21" s="66"/>
      <c r="BA21" s="67"/>
      <c r="BB21" s="67"/>
      <c r="BC21" s="67"/>
      <c r="BD21" s="67"/>
      <c r="BE21" s="67"/>
      <c r="BF21" s="67"/>
      <c r="BG21" s="67"/>
      <c r="BH21" s="185"/>
      <c r="BI21" s="67"/>
      <c r="BJ21" s="67"/>
      <c r="BK21" s="67"/>
      <c r="BL21" s="67"/>
      <c r="BM21" s="66"/>
      <c r="BN21" s="67"/>
      <c r="BO21" s="67"/>
      <c r="BP21" s="67"/>
      <c r="BQ21" s="70"/>
      <c r="BR21" s="67"/>
      <c r="BS21" s="67"/>
      <c r="BT21" s="185"/>
      <c r="BU21" s="1"/>
      <c r="BV21">
        <f t="shared" si="11"/>
        <v>12</v>
      </c>
      <c r="CK21" s="56"/>
    </row>
    <row r="22" spans="2:89" x14ac:dyDescent="0.3">
      <c r="B22" s="173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16">
        <f t="shared" si="2"/>
        <v>16543</v>
      </c>
      <c r="O22" s="42"/>
      <c r="P22" s="457"/>
      <c r="Q22" s="60"/>
      <c r="R22" s="60"/>
      <c r="S22" s="60"/>
      <c r="T22" s="42"/>
      <c r="U22" s="1"/>
      <c r="V22" s="34">
        <f>1046+3</f>
        <v>1049</v>
      </c>
      <c r="W22" s="33"/>
      <c r="X22" s="33"/>
      <c r="Y22" s="33"/>
      <c r="Z22" s="33">
        <f t="shared" si="3"/>
        <v>5102</v>
      </c>
      <c r="AA22" s="33"/>
      <c r="AB22" s="46">
        <f t="shared" si="4"/>
        <v>2.3723722327361328E-2</v>
      </c>
      <c r="AC22" s="33"/>
      <c r="AD22" s="33">
        <f t="shared" si="5"/>
        <v>392.46153846153845</v>
      </c>
      <c r="AE22" s="50"/>
      <c r="AF22" s="33"/>
      <c r="AG22" s="33"/>
      <c r="AH22" s="33"/>
      <c r="AI22" s="50"/>
      <c r="AJ22" s="1"/>
      <c r="AK22" s="23">
        <f t="shared" si="7"/>
        <v>1627</v>
      </c>
      <c r="AL22" s="24"/>
      <c r="AM22" s="24"/>
      <c r="AN22" s="24"/>
      <c r="AO22" s="24">
        <v>8878</v>
      </c>
      <c r="AP22" s="24"/>
      <c r="AQ22" s="25">
        <f t="shared" si="8"/>
        <v>0.22438284374569026</v>
      </c>
      <c r="AR22" s="25"/>
      <c r="AS22" s="25"/>
      <c r="AT22" s="24"/>
      <c r="AU22" s="344">
        <f t="shared" si="9"/>
        <v>4.1281694790731849E-2</v>
      </c>
      <c r="AV22" s="344"/>
      <c r="AW22" s="24">
        <f t="shared" si="10"/>
        <v>682.92307692307691</v>
      </c>
      <c r="AX22" s="354"/>
      <c r="AY22" s="1"/>
      <c r="AZ22" s="66"/>
      <c r="BA22" s="67"/>
      <c r="BB22" s="67"/>
      <c r="BC22" s="67"/>
      <c r="BD22" s="67"/>
      <c r="BE22" s="67"/>
      <c r="BF22" s="67"/>
      <c r="BG22" s="67"/>
      <c r="BH22" s="185"/>
      <c r="BI22" s="67"/>
      <c r="BJ22" s="67"/>
      <c r="BK22" s="67"/>
      <c r="BL22" s="67"/>
      <c r="BM22" s="66"/>
      <c r="BN22" s="67"/>
      <c r="BO22" s="67"/>
      <c r="BP22" s="67"/>
      <c r="BQ22" s="70"/>
      <c r="BR22" s="67"/>
      <c r="BS22" s="67"/>
      <c r="BT22" s="185"/>
      <c r="BU22" s="1"/>
      <c r="BV22">
        <f t="shared" si="11"/>
        <v>13</v>
      </c>
    </row>
    <row r="23" spans="2:89" x14ac:dyDescent="0.3">
      <c r="B23" s="173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16">
        <f t="shared" si="2"/>
        <v>17491.214285714286</v>
      </c>
      <c r="O23" s="42"/>
      <c r="P23" s="457"/>
      <c r="Q23" s="60"/>
      <c r="R23" s="60"/>
      <c r="S23" s="60"/>
      <c r="T23" s="42"/>
      <c r="U23" s="1"/>
      <c r="V23" s="34">
        <f>968+6</f>
        <v>974</v>
      </c>
      <c r="W23" s="33"/>
      <c r="X23" s="33"/>
      <c r="Y23" s="33"/>
      <c r="Z23" s="33">
        <f t="shared" si="3"/>
        <v>6076</v>
      </c>
      <c r="AA23" s="33"/>
      <c r="AB23" s="46">
        <f t="shared" si="4"/>
        <v>2.4812456866100122E-2</v>
      </c>
      <c r="AC23" s="33"/>
      <c r="AD23" s="33">
        <f t="shared" si="5"/>
        <v>434</v>
      </c>
      <c r="AE23" s="50"/>
      <c r="AF23" s="33"/>
      <c r="AG23" s="33"/>
      <c r="AH23" s="33"/>
      <c r="AI23" s="50"/>
      <c r="AJ23" s="1"/>
      <c r="AK23" s="23">
        <f t="shared" si="7"/>
        <v>1525</v>
      </c>
      <c r="AL23" s="24"/>
      <c r="AM23" s="24"/>
      <c r="AN23" s="24"/>
      <c r="AO23" s="24">
        <v>10403</v>
      </c>
      <c r="AP23" s="24"/>
      <c r="AQ23" s="25">
        <f t="shared" si="8"/>
        <v>0.17177292182924081</v>
      </c>
      <c r="AR23" s="25"/>
      <c r="AS23" s="25"/>
      <c r="AT23" s="24"/>
      <c r="AU23" s="344">
        <f t="shared" si="9"/>
        <v>4.2482552465115141E-2</v>
      </c>
      <c r="AV23" s="344"/>
      <c r="AW23" s="24">
        <f t="shared" si="10"/>
        <v>743.07142857142856</v>
      </c>
      <c r="AX23" s="354"/>
      <c r="AY23" s="1"/>
      <c r="AZ23" s="66"/>
      <c r="BA23" s="67"/>
      <c r="BB23" s="67"/>
      <c r="BC23" s="67"/>
      <c r="BD23" s="67"/>
      <c r="BE23" s="67"/>
      <c r="BF23" s="67"/>
      <c r="BG23" s="67"/>
      <c r="BH23" s="185"/>
      <c r="BI23" s="67"/>
      <c r="BJ23" s="67"/>
      <c r="BK23" s="67"/>
      <c r="BL23" s="67"/>
      <c r="BM23" s="66"/>
      <c r="BN23" s="67"/>
      <c r="BO23" s="67"/>
      <c r="BP23" s="67"/>
      <c r="BQ23" s="70"/>
      <c r="BR23" s="67"/>
      <c r="BS23" s="67"/>
      <c r="BT23" s="185"/>
      <c r="BU23" s="1"/>
      <c r="BV23">
        <f t="shared" si="11"/>
        <v>14</v>
      </c>
    </row>
    <row r="24" spans="2:89" x14ac:dyDescent="0.3">
      <c r="B24" s="173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32" t="s">
        <v>47</v>
      </c>
      <c r="J24" s="38">
        <f t="shared" si="1"/>
        <v>0.13183761643600664</v>
      </c>
      <c r="K24" s="60"/>
      <c r="L24" s="60"/>
      <c r="M24" s="60"/>
      <c r="N24" s="16">
        <f t="shared" si="2"/>
        <v>18631.400000000001</v>
      </c>
      <c r="O24" s="42"/>
      <c r="P24" s="457"/>
      <c r="Q24" s="60"/>
      <c r="R24" s="60"/>
      <c r="S24" s="60"/>
      <c r="T24" s="42"/>
      <c r="U24" s="1"/>
      <c r="V24" s="34">
        <f>7121-6076</f>
        <v>1045</v>
      </c>
      <c r="W24" s="33"/>
      <c r="X24" s="33"/>
      <c r="Y24" s="33"/>
      <c r="Z24" s="33">
        <f>+Z23+V24+21</f>
        <v>7142</v>
      </c>
      <c r="AA24" s="342" t="s">
        <v>47</v>
      </c>
      <c r="AB24" s="46">
        <f t="shared" si="4"/>
        <v>2.5555424355299835E-2</v>
      </c>
      <c r="AC24" s="33"/>
      <c r="AD24" s="33">
        <f t="shared" si="5"/>
        <v>476.13333333333333</v>
      </c>
      <c r="AE24" s="50"/>
      <c r="AF24" s="33"/>
      <c r="AG24" s="33"/>
      <c r="AH24" s="33"/>
      <c r="AI24" s="50"/>
      <c r="AJ24" s="1"/>
      <c r="AK24" s="23">
        <f t="shared" si="7"/>
        <v>1835</v>
      </c>
      <c r="AL24" s="24"/>
      <c r="AM24" s="24"/>
      <c r="AN24" s="24"/>
      <c r="AO24" s="24">
        <v>12238</v>
      </c>
      <c r="AP24" s="24"/>
      <c r="AQ24" s="25">
        <f t="shared" si="8"/>
        <v>0.17639142555032203</v>
      </c>
      <c r="AR24" s="25"/>
      <c r="AS24" s="25"/>
      <c r="AT24" s="24"/>
      <c r="AU24" s="344">
        <f t="shared" si="9"/>
        <v>4.3789874441355278E-2</v>
      </c>
      <c r="AV24" s="344"/>
      <c r="AW24" s="24">
        <f t="shared" si="10"/>
        <v>815.86666666666667</v>
      </c>
      <c r="AX24" s="354"/>
      <c r="AY24" s="1"/>
      <c r="AZ24" s="66">
        <v>698344</v>
      </c>
      <c r="BA24" s="67"/>
      <c r="BB24" s="67">
        <f>+AZ24</f>
        <v>698344</v>
      </c>
      <c r="BC24" s="67"/>
      <c r="BD24" s="67">
        <f t="shared" ref="BD24:BD68" si="12">+D24</f>
        <v>32284</v>
      </c>
      <c r="BE24" s="67"/>
      <c r="BF24" s="67"/>
      <c r="BG24" s="67"/>
      <c r="BH24" s="185"/>
      <c r="BI24" s="67"/>
      <c r="BJ24" s="67"/>
      <c r="BK24" s="67"/>
      <c r="BL24" s="67"/>
      <c r="BM24" s="66"/>
      <c r="BN24" s="67"/>
      <c r="BO24" s="67">
        <f>+BD24</f>
        <v>32284</v>
      </c>
      <c r="BP24" s="67"/>
      <c r="BQ24" s="74">
        <f t="shared" ref="BQ24:BQ68" si="13">+BO24/BB24</f>
        <v>4.6229365470312624E-2</v>
      </c>
      <c r="BR24" s="67"/>
      <c r="BS24" s="67"/>
      <c r="BT24" s="185"/>
      <c r="BU24" s="1"/>
      <c r="BV24">
        <f t="shared" si="11"/>
        <v>15</v>
      </c>
    </row>
    <row r="25" spans="2:89" x14ac:dyDescent="0.3">
      <c r="B25" s="173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>
        <f t="shared" si="2"/>
        <v>19604.1875</v>
      </c>
      <c r="O25" s="41"/>
      <c r="P25" s="17"/>
      <c r="Q25" s="16"/>
      <c r="R25" s="16"/>
      <c r="S25" s="16"/>
      <c r="T25" s="41"/>
      <c r="U25" s="1"/>
      <c r="V25" s="34">
        <f>1331-1</f>
        <v>1330</v>
      </c>
      <c r="W25" s="33"/>
      <c r="X25" s="33"/>
      <c r="Y25" s="33"/>
      <c r="Z25" s="33">
        <f t="shared" ref="Z25:Z34" si="15">+Z24+V25</f>
        <v>8472</v>
      </c>
      <c r="AA25" s="33"/>
      <c r="AB25" s="46">
        <f t="shared" si="4"/>
        <v>2.7009535590291615E-2</v>
      </c>
      <c r="AC25" s="33"/>
      <c r="AD25" s="33">
        <f t="shared" si="5"/>
        <v>529.5</v>
      </c>
      <c r="AE25" s="50"/>
      <c r="AF25" s="33"/>
      <c r="AG25" s="33"/>
      <c r="AH25" s="33"/>
      <c r="AI25" s="50"/>
      <c r="AJ25" s="1"/>
      <c r="AK25" s="23">
        <f t="shared" si="7"/>
        <v>2587</v>
      </c>
      <c r="AL25" s="24"/>
      <c r="AM25" s="24"/>
      <c r="AN25" s="24"/>
      <c r="AO25" s="24">
        <v>14825</v>
      </c>
      <c r="AP25" s="24"/>
      <c r="AQ25" s="25">
        <f t="shared" si="8"/>
        <v>0.21139075012256905</v>
      </c>
      <c r="AR25" s="25"/>
      <c r="AS25" s="25"/>
      <c r="AT25" s="24"/>
      <c r="AU25" s="344">
        <f t="shared" si="9"/>
        <v>4.726349918862998E-2</v>
      </c>
      <c r="AV25" s="344"/>
      <c r="AW25" s="24">
        <f t="shared" si="10"/>
        <v>926.5625</v>
      </c>
      <c r="AX25" s="354"/>
      <c r="AY25" s="1"/>
      <c r="AZ25" s="66">
        <v>934611</v>
      </c>
      <c r="BA25" s="67"/>
      <c r="BB25" s="67">
        <f>+BB24+AZ25</f>
        <v>1632955</v>
      </c>
      <c r="BC25" s="67"/>
      <c r="BD25" s="67">
        <f t="shared" si="12"/>
        <v>34196</v>
      </c>
      <c r="BE25" s="67"/>
      <c r="BF25" s="67"/>
      <c r="BG25" s="67"/>
      <c r="BH25" s="185"/>
      <c r="BI25" s="67"/>
      <c r="BJ25" s="67"/>
      <c r="BK25" s="67"/>
      <c r="BL25" s="67"/>
      <c r="BM25" s="66"/>
      <c r="BN25" s="67"/>
      <c r="BO25" s="67">
        <f t="shared" ref="BO25:BO68" si="16">+BO24+BD25</f>
        <v>66480</v>
      </c>
      <c r="BP25" s="67"/>
      <c r="BQ25" s="74">
        <f t="shared" si="13"/>
        <v>4.0711470922346296E-2</v>
      </c>
      <c r="BR25" s="67"/>
      <c r="BS25" s="86"/>
      <c r="BT25" s="185"/>
      <c r="BU25" s="1"/>
      <c r="BV25">
        <f t="shared" si="11"/>
        <v>16</v>
      </c>
    </row>
    <row r="26" spans="2:89" x14ac:dyDescent="0.3">
      <c r="B26" s="393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>
        <f t="shared" si="2"/>
        <v>19940.176470588234</v>
      </c>
      <c r="O26" s="41"/>
      <c r="P26" s="17">
        <f>SUM(D20:D26)</f>
        <v>193182</v>
      </c>
      <c r="Q26" s="16"/>
      <c r="R26" s="16"/>
      <c r="S26" s="16"/>
      <c r="T26" s="41"/>
      <c r="U26" s="394"/>
      <c r="V26" s="34">
        <v>1165</v>
      </c>
      <c r="W26" s="33"/>
      <c r="X26" s="33"/>
      <c r="Y26" s="33"/>
      <c r="Z26" s="33">
        <f t="shared" si="15"/>
        <v>9637</v>
      </c>
      <c r="AA26" s="33"/>
      <c r="AB26" s="46">
        <f t="shared" si="4"/>
        <v>2.842915426437314E-2</v>
      </c>
      <c r="AC26" s="33"/>
      <c r="AD26" s="33">
        <f t="shared" si="5"/>
        <v>566.88235294117646</v>
      </c>
      <c r="AE26" s="50"/>
      <c r="AF26" s="33">
        <f>SUM(V20:V26)</f>
        <v>7033</v>
      </c>
      <c r="AG26" s="33"/>
      <c r="AH26" s="33"/>
      <c r="AI26" s="50"/>
      <c r="AJ26" s="394"/>
      <c r="AK26" s="23">
        <f t="shared" si="7"/>
        <v>3152</v>
      </c>
      <c r="AL26" s="24"/>
      <c r="AM26" s="24"/>
      <c r="AN26" s="24"/>
      <c r="AO26" s="24">
        <v>17977</v>
      </c>
      <c r="AP26" s="24"/>
      <c r="AQ26" s="25">
        <f t="shared" si="8"/>
        <v>0.21261382799325465</v>
      </c>
      <c r="AR26" s="25"/>
      <c r="AS26" s="25"/>
      <c r="AT26" s="24"/>
      <c r="AU26" s="344">
        <f t="shared" si="9"/>
        <v>5.3032157954823696E-2</v>
      </c>
      <c r="AV26" s="344"/>
      <c r="AW26" s="24">
        <f t="shared" si="10"/>
        <v>1057.4705882352941</v>
      </c>
      <c r="AX26" s="354"/>
      <c r="AY26" s="394"/>
      <c r="AZ26" s="66">
        <v>139414</v>
      </c>
      <c r="BA26" s="67"/>
      <c r="BB26" s="67">
        <f>+BB25+AZ26</f>
        <v>1772369</v>
      </c>
      <c r="BC26" s="67"/>
      <c r="BD26" s="67">
        <f t="shared" si="12"/>
        <v>25316</v>
      </c>
      <c r="BE26" s="67"/>
      <c r="BF26" s="67"/>
      <c r="BG26" s="67"/>
      <c r="BH26" s="185"/>
      <c r="BI26" s="67"/>
      <c r="BJ26" s="67"/>
      <c r="BK26" s="67"/>
      <c r="BL26" s="67"/>
      <c r="BM26" s="66"/>
      <c r="BN26" s="67"/>
      <c r="BO26" s="67">
        <f t="shared" si="16"/>
        <v>91796</v>
      </c>
      <c r="BP26" s="67"/>
      <c r="BQ26" s="74">
        <f t="shared" si="13"/>
        <v>5.1792826437384087E-2</v>
      </c>
      <c r="BR26" s="67"/>
      <c r="BS26" s="86"/>
      <c r="BT26" s="185"/>
      <c r="BU26" s="1"/>
      <c r="BV26">
        <f t="shared" si="11"/>
        <v>17</v>
      </c>
    </row>
    <row r="27" spans="2:89" x14ac:dyDescent="0.3">
      <c r="B27" s="173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>
        <f t="shared" si="2"/>
        <v>20566.277777777777</v>
      </c>
      <c r="O27" s="41"/>
      <c r="P27" s="17"/>
      <c r="Q27" s="16"/>
      <c r="R27" s="16"/>
      <c r="S27" s="16"/>
      <c r="T27" s="41"/>
      <c r="U27" s="10"/>
      <c r="V27" s="34">
        <v>1255</v>
      </c>
      <c r="W27" s="33"/>
      <c r="X27" s="33"/>
      <c r="Y27" s="33"/>
      <c r="Z27" s="33">
        <f t="shared" si="15"/>
        <v>10892</v>
      </c>
      <c r="AA27" s="33"/>
      <c r="AB27" s="46">
        <f t="shared" si="4"/>
        <v>2.9422490430667247E-2</v>
      </c>
      <c r="AC27" s="33"/>
      <c r="AD27" s="33">
        <f t="shared" si="5"/>
        <v>605.11111111111109</v>
      </c>
      <c r="AE27" s="50"/>
      <c r="AF27" s="33"/>
      <c r="AG27" s="33"/>
      <c r="AH27" s="33"/>
      <c r="AI27" s="50"/>
      <c r="AJ27" s="10"/>
      <c r="AK27" s="23">
        <f t="shared" si="7"/>
        <v>1694</v>
      </c>
      <c r="AL27" s="24"/>
      <c r="AM27" s="24"/>
      <c r="AN27" s="24"/>
      <c r="AO27" s="24">
        <v>19671</v>
      </c>
      <c r="AP27" s="24"/>
      <c r="AQ27" s="25">
        <f t="shared" si="8"/>
        <v>9.4231518050842747E-2</v>
      </c>
      <c r="AR27" s="25"/>
      <c r="AS27" s="25"/>
      <c r="AT27" s="24"/>
      <c r="AU27" s="344">
        <f t="shared" si="9"/>
        <v>5.3137147379880227E-2</v>
      </c>
      <c r="AV27" s="344"/>
      <c r="AW27" s="24">
        <f t="shared" si="10"/>
        <v>1092.8333333333333</v>
      </c>
      <c r="AX27" s="354"/>
      <c r="AY27" s="10"/>
      <c r="AZ27" s="66">
        <f t="shared" ref="AZ27:AZ51" si="17">+BB27-BB26</f>
        <v>142171</v>
      </c>
      <c r="BA27" s="67"/>
      <c r="BB27" s="67">
        <v>1914540</v>
      </c>
      <c r="BC27" s="67"/>
      <c r="BD27" s="67">
        <f t="shared" si="12"/>
        <v>31210</v>
      </c>
      <c r="BE27" s="67"/>
      <c r="BF27" s="67"/>
      <c r="BG27" s="67"/>
      <c r="BH27" s="185"/>
      <c r="BI27" s="67"/>
      <c r="BJ27" s="67"/>
      <c r="BK27" s="67"/>
      <c r="BL27" s="67"/>
      <c r="BM27" s="66"/>
      <c r="BN27" s="67"/>
      <c r="BO27" s="67">
        <f t="shared" si="16"/>
        <v>123006</v>
      </c>
      <c r="BP27" s="67"/>
      <c r="BQ27" s="74">
        <f t="shared" si="13"/>
        <v>6.4248331191826755E-2</v>
      </c>
      <c r="BR27" s="67"/>
      <c r="BS27" s="86"/>
      <c r="BT27" s="185"/>
      <c r="BU27" s="1"/>
      <c r="BV27">
        <f t="shared" si="11"/>
        <v>18</v>
      </c>
    </row>
    <row r="28" spans="2:89" x14ac:dyDescent="0.3">
      <c r="B28" s="173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>
        <f t="shared" si="2"/>
        <v>21244.894736842107</v>
      </c>
      <c r="O28" s="41"/>
      <c r="P28" s="17"/>
      <c r="Q28" s="16"/>
      <c r="R28" s="16"/>
      <c r="S28" s="16"/>
      <c r="T28" s="41"/>
      <c r="U28" s="1"/>
      <c r="V28" s="34">
        <v>1970</v>
      </c>
      <c r="W28" s="33"/>
      <c r="X28" s="33"/>
      <c r="Y28" s="33"/>
      <c r="Z28" s="33">
        <f t="shared" si="15"/>
        <v>12862</v>
      </c>
      <c r="AA28" s="33"/>
      <c r="AB28" s="46">
        <f t="shared" si="4"/>
        <v>3.1864002001719301E-2</v>
      </c>
      <c r="AC28" s="33"/>
      <c r="AD28" s="33">
        <f t="shared" si="5"/>
        <v>676.9473684210526</v>
      </c>
      <c r="AE28" s="50"/>
      <c r="AF28" s="33"/>
      <c r="AG28" s="33"/>
      <c r="AH28" s="33"/>
      <c r="AI28" s="50"/>
      <c r="AJ28" s="1"/>
      <c r="AK28" s="23">
        <f t="shared" si="7"/>
        <v>2003</v>
      </c>
      <c r="AL28" s="24"/>
      <c r="AM28" s="24"/>
      <c r="AN28" s="24"/>
      <c r="AO28" s="24">
        <v>21674</v>
      </c>
      <c r="AP28" s="24"/>
      <c r="AQ28" s="25">
        <f t="shared" si="8"/>
        <v>0.10182502160540897</v>
      </c>
      <c r="AR28" s="25"/>
      <c r="AS28" s="25"/>
      <c r="AT28" s="24"/>
      <c r="AU28" s="344">
        <f t="shared" si="9"/>
        <v>5.3694633757212257E-2</v>
      </c>
      <c r="AV28" s="344"/>
      <c r="AW28" s="24">
        <f t="shared" si="10"/>
        <v>1140.7368421052631</v>
      </c>
      <c r="AX28" s="354"/>
      <c r="AY28" s="1"/>
      <c r="AZ28" s="66">
        <f t="shared" si="17"/>
        <v>161199</v>
      </c>
      <c r="BA28" s="67"/>
      <c r="BB28" s="67">
        <v>2075739</v>
      </c>
      <c r="BC28" s="67"/>
      <c r="BD28" s="67">
        <f t="shared" si="12"/>
        <v>33460</v>
      </c>
      <c r="BE28" s="67"/>
      <c r="BF28" s="67"/>
      <c r="BG28" s="67"/>
      <c r="BH28" s="185"/>
      <c r="BI28" s="67"/>
      <c r="BJ28" s="67"/>
      <c r="BK28" s="67"/>
      <c r="BL28" s="67"/>
      <c r="BM28" s="66"/>
      <c r="BN28" s="67"/>
      <c r="BO28" s="67">
        <f t="shared" si="16"/>
        <v>156466</v>
      </c>
      <c r="BP28" s="67"/>
      <c r="BQ28" s="74">
        <f t="shared" si="13"/>
        <v>7.5378455576544059E-2</v>
      </c>
      <c r="BR28" s="67"/>
      <c r="BS28" s="86"/>
      <c r="BT28" s="185"/>
      <c r="BU28" s="1"/>
      <c r="BV28">
        <f t="shared" si="11"/>
        <v>19</v>
      </c>
    </row>
    <row r="29" spans="2:89" x14ac:dyDescent="0.3">
      <c r="B29" s="173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>
        <f t="shared" si="2"/>
        <v>21779.4</v>
      </c>
      <c r="O29" s="41"/>
      <c r="P29" s="17"/>
      <c r="Q29" s="16"/>
      <c r="R29" s="16"/>
      <c r="S29" s="16"/>
      <c r="T29" s="41"/>
      <c r="U29" s="1"/>
      <c r="V29" s="34">
        <f>1940+10</f>
        <v>1950</v>
      </c>
      <c r="W29" s="33"/>
      <c r="X29" s="33"/>
      <c r="Y29" s="33"/>
      <c r="Z29" s="33">
        <f t="shared" si="15"/>
        <v>14812</v>
      </c>
      <c r="AA29" s="33"/>
      <c r="AB29" s="46">
        <f t="shared" si="4"/>
        <v>3.4004609860694049E-2</v>
      </c>
      <c r="AC29" s="33"/>
      <c r="AD29" s="33">
        <f t="shared" si="5"/>
        <v>740.6</v>
      </c>
      <c r="AE29" s="50"/>
      <c r="AF29" s="33"/>
      <c r="AG29" s="33"/>
      <c r="AH29" s="33"/>
      <c r="AI29" s="50"/>
      <c r="AJ29" s="1"/>
      <c r="AK29" s="23">
        <f t="shared" si="7"/>
        <v>1217</v>
      </c>
      <c r="AL29" s="24"/>
      <c r="AM29" s="24"/>
      <c r="AN29" s="24"/>
      <c r="AO29" s="24">
        <v>22891</v>
      </c>
      <c r="AP29" s="24"/>
      <c r="AQ29" s="25">
        <f t="shared" si="8"/>
        <v>5.6150226077327677E-2</v>
      </c>
      <c r="AR29" s="25"/>
      <c r="AS29" s="25"/>
      <c r="AT29" s="24"/>
      <c r="AU29" s="344">
        <f t="shared" si="9"/>
        <v>5.2551952762702372E-2</v>
      </c>
      <c r="AV29" s="344"/>
      <c r="AW29" s="24">
        <f t="shared" si="10"/>
        <v>1144.55</v>
      </c>
      <c r="AX29" s="354"/>
      <c r="AY29" s="1"/>
      <c r="AZ29" s="66">
        <f t="shared" si="17"/>
        <v>133302</v>
      </c>
      <c r="BA29" s="67"/>
      <c r="BB29" s="67">
        <v>2209041</v>
      </c>
      <c r="BC29" s="67"/>
      <c r="BD29" s="67">
        <f t="shared" si="12"/>
        <v>31935</v>
      </c>
      <c r="BE29" s="67"/>
      <c r="BF29" s="67"/>
      <c r="BG29" s="67"/>
      <c r="BH29" s="185"/>
      <c r="BI29" s="67"/>
      <c r="BJ29" s="67"/>
      <c r="BK29" s="67"/>
      <c r="BL29" s="67"/>
      <c r="BM29" s="66"/>
      <c r="BN29" s="67"/>
      <c r="BO29" s="67">
        <f t="shared" si="16"/>
        <v>188401</v>
      </c>
      <c r="BP29" s="67"/>
      <c r="BQ29" s="74">
        <f t="shared" si="13"/>
        <v>8.528633013149145E-2</v>
      </c>
      <c r="BR29" s="67"/>
      <c r="BS29" s="86"/>
      <c r="BT29" s="185"/>
      <c r="BU29" s="1"/>
      <c r="BV29">
        <f t="shared" si="11"/>
        <v>20</v>
      </c>
    </row>
    <row r="30" spans="2:89" x14ac:dyDescent="0.3">
      <c r="B30" s="173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>
        <f t="shared" si="2"/>
        <v>22339.238095238095</v>
      </c>
      <c r="O30" s="41"/>
      <c r="P30" s="17"/>
      <c r="Q30" s="16"/>
      <c r="R30" s="16"/>
      <c r="S30" s="16"/>
      <c r="T30" s="41"/>
      <c r="U30" s="1"/>
      <c r="V30" s="34">
        <v>1900</v>
      </c>
      <c r="W30" s="33"/>
      <c r="X30" s="33"/>
      <c r="Y30" s="33"/>
      <c r="Z30" s="33">
        <f t="shared" si="15"/>
        <v>16712</v>
      </c>
      <c r="AA30" s="33"/>
      <c r="AB30" s="46">
        <f t="shared" si="4"/>
        <v>3.5623843589328193E-2</v>
      </c>
      <c r="AC30" s="33"/>
      <c r="AD30" s="33">
        <f t="shared" si="5"/>
        <v>795.80952380952385</v>
      </c>
      <c r="AE30" s="50"/>
      <c r="AF30" s="33"/>
      <c r="AG30" s="33"/>
      <c r="AH30" s="33"/>
      <c r="AI30" s="50"/>
      <c r="AJ30" s="1"/>
      <c r="AK30" s="23">
        <f t="shared" si="7"/>
        <v>3037</v>
      </c>
      <c r="AL30" s="24"/>
      <c r="AM30" s="24"/>
      <c r="AN30" s="24"/>
      <c r="AO30" s="24">
        <v>25928</v>
      </c>
      <c r="AP30" s="24"/>
      <c r="AQ30" s="25">
        <f t="shared" si="8"/>
        <v>0.13267222926040803</v>
      </c>
      <c r="AR30" s="25"/>
      <c r="AS30" s="25"/>
      <c r="AT30" s="24"/>
      <c r="AU30" s="344">
        <f t="shared" si="9"/>
        <v>5.5268969398282755E-2</v>
      </c>
      <c r="AV30" s="344"/>
      <c r="AW30" s="24">
        <f t="shared" si="10"/>
        <v>1234.6666666666667</v>
      </c>
      <c r="AX30" s="354"/>
      <c r="AY30" s="1"/>
      <c r="AZ30" s="66">
        <f t="shared" si="17"/>
        <v>144055</v>
      </c>
      <c r="BA30" s="67"/>
      <c r="BB30" s="67">
        <v>2353096</v>
      </c>
      <c r="BC30" s="67"/>
      <c r="BD30" s="67">
        <f t="shared" si="12"/>
        <v>33536</v>
      </c>
      <c r="BE30" s="67"/>
      <c r="BF30" s="67"/>
      <c r="BG30" s="67"/>
      <c r="BH30" s="185"/>
      <c r="BI30" s="67"/>
      <c r="BJ30" s="67"/>
      <c r="BK30" s="67"/>
      <c r="BL30" s="67"/>
      <c r="BM30" s="66"/>
      <c r="BN30" s="67"/>
      <c r="BO30" s="67">
        <f t="shared" si="16"/>
        <v>221937</v>
      </c>
      <c r="BP30" s="67"/>
      <c r="BQ30" s="74">
        <f t="shared" si="13"/>
        <v>9.4317018940153735E-2</v>
      </c>
      <c r="BR30" s="67"/>
      <c r="BS30" s="86"/>
      <c r="BT30" s="185"/>
      <c r="BU30" s="1"/>
      <c r="BV30">
        <f t="shared" si="11"/>
        <v>21</v>
      </c>
    </row>
    <row r="31" spans="2:89" x14ac:dyDescent="0.3">
      <c r="B31" s="173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>
        <f t="shared" si="2"/>
        <v>22858</v>
      </c>
      <c r="O31" s="41"/>
      <c r="P31" s="17"/>
      <c r="Q31" s="16"/>
      <c r="R31" s="16"/>
      <c r="S31" s="16"/>
      <c r="T31" s="41"/>
      <c r="U31" s="1"/>
      <c r="V31" s="34">
        <v>2035</v>
      </c>
      <c r="W31" s="33"/>
      <c r="X31" s="33"/>
      <c r="Y31" s="33"/>
      <c r="Z31" s="33">
        <f t="shared" si="15"/>
        <v>18747</v>
      </c>
      <c r="AA31" s="33"/>
      <c r="AB31" s="46">
        <f t="shared" si="4"/>
        <v>3.7279567925293709E-2</v>
      </c>
      <c r="AC31" s="33"/>
      <c r="AD31" s="33">
        <f t="shared" si="5"/>
        <v>852.13636363636363</v>
      </c>
      <c r="AE31" s="50"/>
      <c r="AF31" s="33"/>
      <c r="AG31" s="33"/>
      <c r="AH31" s="33"/>
      <c r="AI31" s="50"/>
      <c r="AJ31" s="1"/>
      <c r="AK31" s="23">
        <f t="shared" si="7"/>
        <v>1386</v>
      </c>
      <c r="AL31" s="24"/>
      <c r="AM31" s="24"/>
      <c r="AN31" s="24"/>
      <c r="AO31" s="24">
        <v>27314</v>
      </c>
      <c r="AP31" s="24"/>
      <c r="AQ31" s="25">
        <f t="shared" si="8"/>
        <v>5.3455723542116633E-2</v>
      </c>
      <c r="AR31" s="25"/>
      <c r="AS31" s="25"/>
      <c r="AT31" s="24"/>
      <c r="AU31" s="344">
        <f t="shared" si="9"/>
        <v>5.4315576802233555E-2</v>
      </c>
      <c r="AV31" s="344"/>
      <c r="AW31" s="24">
        <f t="shared" si="10"/>
        <v>1241.5454545454545</v>
      </c>
      <c r="AX31" s="354"/>
      <c r="AY31" s="1"/>
      <c r="AZ31" s="66">
        <f t="shared" si="17"/>
        <v>185792</v>
      </c>
      <c r="BA31" s="67"/>
      <c r="BB31" s="67">
        <v>2538888</v>
      </c>
      <c r="BC31" s="67"/>
      <c r="BD31" s="67">
        <f t="shared" si="12"/>
        <v>33752</v>
      </c>
      <c r="BE31" s="67"/>
      <c r="BF31" s="67"/>
      <c r="BG31" s="67"/>
      <c r="BH31" s="185"/>
      <c r="BI31" s="67"/>
      <c r="BJ31" s="67"/>
      <c r="BK31" s="67"/>
      <c r="BL31" s="67"/>
      <c r="BM31" s="66"/>
      <c r="BN31" s="67"/>
      <c r="BO31" s="67">
        <f t="shared" si="16"/>
        <v>255689</v>
      </c>
      <c r="BP31" s="67"/>
      <c r="BQ31" s="74">
        <f t="shared" si="13"/>
        <v>0.10070905057647285</v>
      </c>
      <c r="BR31" s="67"/>
      <c r="BS31" s="86"/>
      <c r="BT31" s="185"/>
      <c r="BU31" s="1"/>
      <c r="BV31">
        <f t="shared" si="11"/>
        <v>22</v>
      </c>
    </row>
    <row r="32" spans="2:89" x14ac:dyDescent="0.3">
      <c r="B32" s="173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>
        <f t="shared" si="2"/>
        <v>23168.652173913044</v>
      </c>
      <c r="O32" s="41"/>
      <c r="P32" s="17"/>
      <c r="Q32" s="16"/>
      <c r="R32" s="16"/>
      <c r="S32" s="16"/>
      <c r="T32" s="41"/>
      <c r="U32" s="1"/>
      <c r="V32" s="34">
        <v>1830</v>
      </c>
      <c r="W32" s="33"/>
      <c r="X32" s="33"/>
      <c r="Y32" s="33"/>
      <c r="Z32" s="33">
        <f t="shared" si="15"/>
        <v>20577</v>
      </c>
      <c r="AA32" s="33"/>
      <c r="AB32" s="46">
        <f t="shared" si="4"/>
        <v>3.8614769957157256E-2</v>
      </c>
      <c r="AC32" s="33"/>
      <c r="AD32" s="33">
        <f t="shared" si="5"/>
        <v>894.6521739130435</v>
      </c>
      <c r="AE32" s="50"/>
      <c r="AF32" s="33"/>
      <c r="AG32" s="33"/>
      <c r="AH32" s="33"/>
      <c r="AI32" s="50"/>
      <c r="AJ32" s="1"/>
      <c r="AK32" s="23">
        <f t="shared" si="7"/>
        <v>3139</v>
      </c>
      <c r="AL32" s="24"/>
      <c r="AM32" s="24"/>
      <c r="AN32" s="24"/>
      <c r="AO32" s="24">
        <v>30453</v>
      </c>
      <c r="AP32" s="24"/>
      <c r="AQ32" s="25">
        <f t="shared" si="8"/>
        <v>0.1149227502379732</v>
      </c>
      <c r="AR32" s="25"/>
      <c r="AS32" s="25"/>
      <c r="AT32" s="24"/>
      <c r="AU32" s="344">
        <f t="shared" si="9"/>
        <v>5.7148058001910376E-2</v>
      </c>
      <c r="AV32" s="344"/>
      <c r="AW32" s="24">
        <f t="shared" si="10"/>
        <v>1324.0434782608695</v>
      </c>
      <c r="AX32" s="354"/>
      <c r="AY32" s="1"/>
      <c r="AZ32" s="66">
        <f t="shared" si="17"/>
        <v>131786</v>
      </c>
      <c r="BA32" s="67"/>
      <c r="BB32" s="67">
        <v>2670674</v>
      </c>
      <c r="BC32" s="67"/>
      <c r="BD32" s="67">
        <f t="shared" si="12"/>
        <v>30003</v>
      </c>
      <c r="BE32" s="67"/>
      <c r="BF32" s="67"/>
      <c r="BG32" s="67"/>
      <c r="BH32" s="185"/>
      <c r="BI32" s="67"/>
      <c r="BJ32" s="67"/>
      <c r="BK32" s="67"/>
      <c r="BL32" s="67"/>
      <c r="BM32" s="66"/>
      <c r="BN32" s="67"/>
      <c r="BO32" s="67">
        <f t="shared" si="16"/>
        <v>285692</v>
      </c>
      <c r="BP32" s="67"/>
      <c r="BQ32" s="74">
        <f t="shared" si="13"/>
        <v>0.10697374520439409</v>
      </c>
      <c r="BR32" s="67"/>
      <c r="BS32" s="86"/>
      <c r="BT32" s="185"/>
      <c r="BU32" s="1"/>
      <c r="BV32">
        <f t="shared" si="11"/>
        <v>23</v>
      </c>
    </row>
    <row r="33" spans="2:74" x14ac:dyDescent="0.3">
      <c r="B33" s="393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>
        <f t="shared" si="2"/>
        <v>23345.833333333332</v>
      </c>
      <c r="O33" s="41"/>
      <c r="P33" s="17">
        <f>SUM(D27:D33)</f>
        <v>221317</v>
      </c>
      <c r="Q33" s="16"/>
      <c r="R33" s="60">
        <f>+(P33-P26)/P26</f>
        <v>0.14563986292718784</v>
      </c>
      <c r="S33" s="16"/>
      <c r="T33" s="41"/>
      <c r="U33" s="394"/>
      <c r="V33" s="34">
        <v>1528</v>
      </c>
      <c r="W33" s="33"/>
      <c r="X33" s="33"/>
      <c r="Y33" s="33"/>
      <c r="Z33" s="33">
        <f t="shared" si="15"/>
        <v>22105</v>
      </c>
      <c r="AA33" s="33"/>
      <c r="AB33" s="46">
        <f t="shared" si="4"/>
        <v>3.9452079243262536E-2</v>
      </c>
      <c r="AC33" s="33"/>
      <c r="AD33" s="33">
        <f t="shared" si="5"/>
        <v>921.04166666666663</v>
      </c>
      <c r="AE33" s="50"/>
      <c r="AF33" s="33">
        <f>SUM(V27:V33)</f>
        <v>12468</v>
      </c>
      <c r="AG33" s="33"/>
      <c r="AH33" s="233">
        <f>+(AF33-AF26)/AF26</f>
        <v>0.77278544006824967</v>
      </c>
      <c r="AI33" s="50"/>
      <c r="AJ33" s="394"/>
      <c r="AK33" s="23">
        <f t="shared" si="7"/>
        <v>2181</v>
      </c>
      <c r="AL33" s="24"/>
      <c r="AM33" s="24"/>
      <c r="AN33" s="24"/>
      <c r="AO33" s="24">
        <v>32634</v>
      </c>
      <c r="AP33" s="24"/>
      <c r="AQ33" s="25">
        <f t="shared" si="8"/>
        <v>7.1618559747808092E-2</v>
      </c>
      <c r="AR33" s="25"/>
      <c r="AS33" s="25"/>
      <c r="AT33" s="24"/>
      <c r="AU33" s="344">
        <f t="shared" si="9"/>
        <v>5.8243797965375689E-2</v>
      </c>
      <c r="AV33" s="344"/>
      <c r="AW33" s="24">
        <f t="shared" si="10"/>
        <v>1359.75</v>
      </c>
      <c r="AX33" s="354"/>
      <c r="AY33" s="394"/>
      <c r="AZ33" s="66">
        <f t="shared" si="17"/>
        <v>161584</v>
      </c>
      <c r="BA33" s="67"/>
      <c r="BB33" s="67">
        <v>2832258</v>
      </c>
      <c r="BC33" s="67"/>
      <c r="BD33" s="67">
        <f t="shared" si="12"/>
        <v>27421</v>
      </c>
      <c r="BE33" s="67"/>
      <c r="BF33" s="67"/>
      <c r="BG33" s="67"/>
      <c r="BH33" s="185"/>
      <c r="BI33" s="67"/>
      <c r="BJ33" s="67"/>
      <c r="BK33" s="67"/>
      <c r="BL33" s="67"/>
      <c r="BM33" s="66"/>
      <c r="BN33" s="67"/>
      <c r="BO33" s="67">
        <f t="shared" si="16"/>
        <v>313113</v>
      </c>
      <c r="BP33" s="67"/>
      <c r="BQ33" s="74">
        <f t="shared" si="13"/>
        <v>0.1105524284863879</v>
      </c>
      <c r="BR33" s="67"/>
      <c r="BS33" s="86"/>
      <c r="BT33" s="185"/>
      <c r="BU33" s="1"/>
      <c r="BV33">
        <f t="shared" si="11"/>
        <v>24</v>
      </c>
    </row>
    <row r="34" spans="2:74" x14ac:dyDescent="0.3">
      <c r="B34" s="173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>
        <f t="shared" si="2"/>
        <v>23477.64</v>
      </c>
      <c r="O34" s="41"/>
      <c r="P34" s="17"/>
      <c r="Q34" s="16"/>
      <c r="R34" s="60"/>
      <c r="S34" s="16"/>
      <c r="T34" s="41"/>
      <c r="U34" s="10"/>
      <c r="V34" s="34">
        <v>1535</v>
      </c>
      <c r="W34" s="33"/>
      <c r="X34" s="33"/>
      <c r="Y34" s="33"/>
      <c r="Z34" s="33">
        <f t="shared" si="15"/>
        <v>23640</v>
      </c>
      <c r="AA34" s="33"/>
      <c r="AB34" s="46">
        <f t="shared" si="4"/>
        <v>4.0276620648412705E-2</v>
      </c>
      <c r="AC34" s="33"/>
      <c r="AD34" s="33">
        <f t="shared" si="5"/>
        <v>945.6</v>
      </c>
      <c r="AE34" s="50"/>
      <c r="AF34" s="33"/>
      <c r="AG34" s="33"/>
      <c r="AH34" s="233"/>
      <c r="AI34" s="50"/>
      <c r="AJ34" s="10"/>
      <c r="AK34" s="23">
        <f t="shared" si="7"/>
        <v>3620</v>
      </c>
      <c r="AL34" s="24"/>
      <c r="AM34" s="24"/>
      <c r="AN34" s="24"/>
      <c r="AO34" s="24">
        <v>36254</v>
      </c>
      <c r="AP34" s="24"/>
      <c r="AQ34" s="25">
        <f t="shared" si="8"/>
        <v>0.11092725378439665</v>
      </c>
      <c r="AR34" s="25"/>
      <c r="AS34" s="25"/>
      <c r="AT34" s="24"/>
      <c r="AU34" s="344">
        <f t="shared" si="9"/>
        <v>6.1767707486783167E-2</v>
      </c>
      <c r="AV34" s="344"/>
      <c r="AW34" s="24">
        <f t="shared" si="10"/>
        <v>1450.16</v>
      </c>
      <c r="AX34" s="354"/>
      <c r="AY34" s="10"/>
      <c r="AZ34" s="66">
        <f t="shared" si="17"/>
        <v>111697</v>
      </c>
      <c r="BA34" s="67"/>
      <c r="BB34" s="67">
        <v>2943955</v>
      </c>
      <c r="BC34" s="67"/>
      <c r="BD34" s="67">
        <f t="shared" si="12"/>
        <v>26641</v>
      </c>
      <c r="BE34" s="67"/>
      <c r="BF34" s="67"/>
      <c r="BG34" s="67"/>
      <c r="BH34" s="185"/>
      <c r="BI34" s="67"/>
      <c r="BJ34" s="67"/>
      <c r="BK34" s="67"/>
      <c r="BL34" s="67"/>
      <c r="BM34" s="66"/>
      <c r="BN34" s="67"/>
      <c r="BO34" s="67">
        <f t="shared" si="16"/>
        <v>339754</v>
      </c>
      <c r="BP34" s="67"/>
      <c r="BQ34" s="74">
        <f t="shared" si="13"/>
        <v>0.11540733469091749</v>
      </c>
      <c r="BR34" s="67"/>
      <c r="BS34" s="86"/>
      <c r="BT34" s="185"/>
      <c r="BU34" s="1"/>
      <c r="BV34">
        <f t="shared" si="11"/>
        <v>25</v>
      </c>
    </row>
    <row r="35" spans="2:74" x14ac:dyDescent="0.3">
      <c r="B35" s="173">
        <f t="shared" si="6"/>
        <v>43935</v>
      </c>
      <c r="D35" s="17">
        <v>30720</v>
      </c>
      <c r="E35" s="16"/>
      <c r="F35" s="16"/>
      <c r="G35" s="16"/>
      <c r="H35" s="16">
        <f>+H34+D35+5109-168</f>
        <v>622602</v>
      </c>
      <c r="I35" s="333" t="s">
        <v>69</v>
      </c>
      <c r="J35" s="38">
        <f t="shared" si="1"/>
        <v>5.2339161857835798E-2</v>
      </c>
      <c r="K35" s="16"/>
      <c r="L35" s="16"/>
      <c r="M35" s="16"/>
      <c r="N35" s="16">
        <f t="shared" si="2"/>
        <v>23946.23076923077</v>
      </c>
      <c r="O35" s="41"/>
      <c r="P35" s="17"/>
      <c r="Q35" s="16"/>
      <c r="R35" s="16"/>
      <c r="S35" s="16"/>
      <c r="T35" s="41"/>
      <c r="U35" s="1"/>
      <c r="V35" s="34">
        <v>2407</v>
      </c>
      <c r="W35" s="33"/>
      <c r="X35" s="33"/>
      <c r="Y35" s="33"/>
      <c r="Z35" s="33">
        <f>+Z34+V35+3778+317</f>
        <v>30142</v>
      </c>
      <c r="AA35" s="343" t="s">
        <v>69</v>
      </c>
      <c r="AB35" s="46">
        <f t="shared" si="4"/>
        <v>4.8412950809666531E-2</v>
      </c>
      <c r="AC35" s="33"/>
      <c r="AD35" s="33">
        <f t="shared" si="5"/>
        <v>1159.3076923076924</v>
      </c>
      <c r="AE35" s="50"/>
      <c r="AF35" s="33"/>
      <c r="AG35" s="33"/>
      <c r="AH35" s="33"/>
      <c r="AI35" s="50"/>
      <c r="AJ35" s="1"/>
      <c r="AK35" s="23">
        <f t="shared" si="7"/>
        <v>2566</v>
      </c>
      <c r="AL35" s="24"/>
      <c r="AM35" s="24"/>
      <c r="AN35" s="24"/>
      <c r="AO35" s="24">
        <v>38820</v>
      </c>
      <c r="AP35" s="24"/>
      <c r="AQ35" s="25">
        <f t="shared" si="8"/>
        <v>7.0778396866552656E-2</v>
      </c>
      <c r="AR35" s="25"/>
      <c r="AS35" s="25"/>
      <c r="AT35" s="24"/>
      <c r="AU35" s="344">
        <f t="shared" si="9"/>
        <v>6.23512291961799E-2</v>
      </c>
      <c r="AV35" s="344"/>
      <c r="AW35" s="24">
        <f t="shared" si="10"/>
        <v>1493.0769230769231</v>
      </c>
      <c r="AX35" s="354"/>
      <c r="AY35" s="1"/>
      <c r="AZ35" s="66">
        <f t="shared" si="17"/>
        <v>121064</v>
      </c>
      <c r="BA35" s="67"/>
      <c r="BB35" s="67">
        <v>3065019</v>
      </c>
      <c r="BC35" s="67"/>
      <c r="BD35" s="67">
        <f t="shared" si="12"/>
        <v>30720</v>
      </c>
      <c r="BE35" s="67"/>
      <c r="BF35" s="67"/>
      <c r="BG35" s="67"/>
      <c r="BH35" s="185"/>
      <c r="BI35" s="67"/>
      <c r="BJ35" s="67"/>
      <c r="BK35" s="67"/>
      <c r="BL35" s="67"/>
      <c r="BM35" s="66"/>
      <c r="BN35" s="67"/>
      <c r="BO35" s="67">
        <f t="shared" si="16"/>
        <v>370474</v>
      </c>
      <c r="BP35" s="67"/>
      <c r="BQ35" s="74">
        <f t="shared" si="13"/>
        <v>0.12087168138272553</v>
      </c>
      <c r="BR35" s="67"/>
      <c r="BS35" s="86"/>
      <c r="BT35" s="185"/>
      <c r="BU35" s="1"/>
      <c r="BV35">
        <f t="shared" si="11"/>
        <v>26</v>
      </c>
    </row>
    <row r="36" spans="2:74" x14ac:dyDescent="0.3">
      <c r="B36" s="173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652944</v>
      </c>
      <c r="I36" s="16"/>
      <c r="J36" s="38">
        <f t="shared" si="1"/>
        <v>4.8734183314541234E-2</v>
      </c>
      <c r="K36" s="16"/>
      <c r="L36" s="16"/>
      <c r="M36" s="16"/>
      <c r="N36" s="16">
        <f t="shared" si="2"/>
        <v>24183.111111111109</v>
      </c>
      <c r="O36" s="41"/>
      <c r="P36" s="17"/>
      <c r="Q36" s="16"/>
      <c r="R36" s="16"/>
      <c r="S36" s="16"/>
      <c r="T36" s="41"/>
      <c r="U36" s="1"/>
      <c r="V36" s="34">
        <v>2618</v>
      </c>
      <c r="W36" s="33"/>
      <c r="X36" s="33"/>
      <c r="Y36" s="33"/>
      <c r="Z36" s="33">
        <f t="shared" ref="Z36:Z51" si="19">+Z35+V36</f>
        <v>32760</v>
      </c>
      <c r="AA36" s="33"/>
      <c r="AB36" s="46">
        <f t="shared" si="4"/>
        <v>5.0172756009703744E-2</v>
      </c>
      <c r="AC36" s="33"/>
      <c r="AD36" s="33">
        <f t="shared" si="5"/>
        <v>1213.3333333333333</v>
      </c>
      <c r="AE36" s="50"/>
      <c r="AF36" s="33"/>
      <c r="AG36" s="33"/>
      <c r="AH36" s="33"/>
      <c r="AI36" s="50"/>
      <c r="AJ36" s="1"/>
      <c r="AK36" s="23">
        <f t="shared" si="7"/>
        <v>9881</v>
      </c>
      <c r="AL36" s="24"/>
      <c r="AM36" s="24"/>
      <c r="AN36" s="24"/>
      <c r="AO36" s="24">
        <v>48701</v>
      </c>
      <c r="AP36" s="24"/>
      <c r="AQ36" s="25">
        <f t="shared" si="8"/>
        <v>0.25453374549201441</v>
      </c>
      <c r="AR36" s="25"/>
      <c r="AS36" s="25"/>
      <c r="AT36" s="24"/>
      <c r="AU36" s="344">
        <f t="shared" si="9"/>
        <v>7.4586794579627039E-2</v>
      </c>
      <c r="AV36" s="344"/>
      <c r="AW36" s="24">
        <f t="shared" si="10"/>
        <v>1803.7407407407406</v>
      </c>
      <c r="AX36" s="354"/>
      <c r="AY36" s="1"/>
      <c r="AZ36" s="66">
        <f t="shared" si="17"/>
        <v>193860</v>
      </c>
      <c r="BA36" s="67"/>
      <c r="BB36" s="67">
        <v>3258879</v>
      </c>
      <c r="BC36" s="67"/>
      <c r="BD36" s="67">
        <f t="shared" si="12"/>
        <v>30342</v>
      </c>
      <c r="BE36" s="67"/>
      <c r="BF36" s="67"/>
      <c r="BG36" s="67"/>
      <c r="BH36" s="185"/>
      <c r="BI36" s="67"/>
      <c r="BJ36" s="67"/>
      <c r="BK36" s="67"/>
      <c r="BL36" s="67"/>
      <c r="BM36" s="66"/>
      <c r="BN36" s="67"/>
      <c r="BO36" s="67">
        <f t="shared" si="16"/>
        <v>400816</v>
      </c>
      <c r="BP36" s="67"/>
      <c r="BQ36" s="74">
        <f t="shared" si="13"/>
        <v>0.12299198589453612</v>
      </c>
      <c r="BR36" s="67"/>
      <c r="BS36" s="86"/>
      <c r="BT36" s="185"/>
      <c r="BU36" s="1"/>
      <c r="BV36">
        <f t="shared" si="11"/>
        <v>27</v>
      </c>
    </row>
    <row r="37" spans="2:74" x14ac:dyDescent="0.3">
      <c r="B37" s="173">
        <f t="shared" si="6"/>
        <v>43937</v>
      </c>
      <c r="D37" s="17">
        <v>29567</v>
      </c>
      <c r="E37" s="16"/>
      <c r="F37" s="16"/>
      <c r="G37" s="16"/>
      <c r="H37" s="16">
        <f t="shared" si="18"/>
        <v>682511</v>
      </c>
      <c r="I37" s="16"/>
      <c r="J37" s="38">
        <f t="shared" si="1"/>
        <v>4.5282596976157219E-2</v>
      </c>
      <c r="K37" s="16"/>
      <c r="L37" s="16"/>
      <c r="M37" s="16"/>
      <c r="N37" s="16">
        <f t="shared" si="2"/>
        <v>24375.392857142859</v>
      </c>
      <c r="O37" s="41"/>
      <c r="P37" s="17"/>
      <c r="Q37" s="16"/>
      <c r="R37" s="16"/>
      <c r="S37" s="16"/>
      <c r="T37" s="41"/>
      <c r="U37" s="10"/>
      <c r="V37" s="34">
        <v>2176</v>
      </c>
      <c r="W37" s="33"/>
      <c r="X37" s="33"/>
      <c r="Y37" s="33"/>
      <c r="Z37" s="33">
        <f t="shared" si="19"/>
        <v>34936</v>
      </c>
      <c r="AA37" s="33"/>
      <c r="AB37" s="46">
        <f t="shared" si="4"/>
        <v>5.1187453389029629E-2</v>
      </c>
      <c r="AC37" s="33"/>
      <c r="AD37" s="33">
        <f t="shared" si="5"/>
        <v>1247.7142857142858</v>
      </c>
      <c r="AE37" s="50"/>
      <c r="AF37" s="33"/>
      <c r="AG37" s="33"/>
      <c r="AH37" s="33"/>
      <c r="AI37" s="50"/>
      <c r="AJ37" s="10"/>
      <c r="AK37" s="23">
        <f t="shared" si="7"/>
        <v>8807</v>
      </c>
      <c r="AL37" s="24"/>
      <c r="AM37" s="24"/>
      <c r="AN37" s="24"/>
      <c r="AO37" s="24">
        <v>57508</v>
      </c>
      <c r="AP37" s="24"/>
      <c r="AQ37" s="25">
        <f t="shared" si="8"/>
        <v>0.1808381758074783</v>
      </c>
      <c r="AR37" s="25"/>
      <c r="AS37" s="25"/>
      <c r="AT37" s="24"/>
      <c r="AU37" s="344">
        <f t="shared" si="9"/>
        <v>8.4259447833075221E-2</v>
      </c>
      <c r="AV37" s="344"/>
      <c r="AW37" s="24">
        <f t="shared" si="10"/>
        <v>2053.8571428571427</v>
      </c>
      <c r="AX37" s="354"/>
      <c r="AY37" s="1"/>
      <c r="AZ37" s="66">
        <f t="shared" si="17"/>
        <v>139261</v>
      </c>
      <c r="BA37" s="67"/>
      <c r="BB37" s="67">
        <v>3398140</v>
      </c>
      <c r="BC37" s="67"/>
      <c r="BD37" s="67">
        <f t="shared" si="12"/>
        <v>29567</v>
      </c>
      <c r="BE37" s="67"/>
      <c r="BF37" s="67"/>
      <c r="BG37" s="67"/>
      <c r="BH37" s="185"/>
      <c r="BI37" s="67"/>
      <c r="BJ37" s="67"/>
      <c r="BK37" s="67"/>
      <c r="BL37" s="67"/>
      <c r="BM37" s="66"/>
      <c r="BN37" s="67"/>
      <c r="BO37" s="67">
        <f t="shared" si="16"/>
        <v>430383</v>
      </c>
      <c r="BP37" s="67"/>
      <c r="BQ37" s="74">
        <f t="shared" si="13"/>
        <v>0.12665252167362145</v>
      </c>
      <c r="BR37" s="67"/>
      <c r="BS37" s="86"/>
      <c r="BT37" s="185"/>
      <c r="BU37" s="1"/>
      <c r="BV37">
        <f t="shared" si="11"/>
        <v>28</v>
      </c>
    </row>
    <row r="38" spans="2:74" x14ac:dyDescent="0.3">
      <c r="B38" s="173">
        <f t="shared" si="6"/>
        <v>43938</v>
      </c>
      <c r="D38" s="17">
        <v>32165</v>
      </c>
      <c r="E38" s="16"/>
      <c r="F38" s="16"/>
      <c r="G38" s="16"/>
      <c r="H38" s="16">
        <f t="shared" si="18"/>
        <v>714676</v>
      </c>
      <c r="I38" s="16"/>
      <c r="J38" s="38">
        <f t="shared" si="1"/>
        <v>4.7127445564979907E-2</v>
      </c>
      <c r="K38" s="16"/>
      <c r="L38" s="16"/>
      <c r="M38" s="16"/>
      <c r="N38" s="16">
        <f t="shared" si="2"/>
        <v>24644</v>
      </c>
      <c r="O38" s="41"/>
      <c r="P38" s="17"/>
      <c r="Q38" s="16"/>
      <c r="R38" s="16"/>
      <c r="S38" s="16"/>
      <c r="T38" s="41"/>
      <c r="U38" s="10"/>
      <c r="V38" s="34">
        <v>2528</v>
      </c>
      <c r="W38" s="33"/>
      <c r="X38" s="33"/>
      <c r="Y38" s="33"/>
      <c r="Z38" s="33">
        <f t="shared" si="19"/>
        <v>37464</v>
      </c>
      <c r="AA38" s="33"/>
      <c r="AB38" s="46">
        <f t="shared" si="4"/>
        <v>5.2420957188991937E-2</v>
      </c>
      <c r="AC38" s="33"/>
      <c r="AD38" s="33">
        <f t="shared" si="5"/>
        <v>1291.8620689655172</v>
      </c>
      <c r="AE38" s="50"/>
      <c r="AF38" s="33"/>
      <c r="AG38" s="33"/>
      <c r="AH38" s="33"/>
      <c r="AI38" s="50"/>
      <c r="AJ38" s="10"/>
      <c r="AK38" s="23">
        <f t="shared" si="7"/>
        <v>3002</v>
      </c>
      <c r="AL38" s="24"/>
      <c r="AM38" s="24"/>
      <c r="AN38" s="24"/>
      <c r="AO38" s="24">
        <v>60510</v>
      </c>
      <c r="AP38" s="24"/>
      <c r="AQ38" s="25">
        <f t="shared" si="8"/>
        <v>5.2201432844126032E-2</v>
      </c>
      <c r="AR38" s="25"/>
      <c r="AS38" s="25"/>
      <c r="AT38" s="24"/>
      <c r="AU38" s="344">
        <f t="shared" si="9"/>
        <v>8.4667737548203656E-2</v>
      </c>
      <c r="AV38" s="344"/>
      <c r="AW38" s="24">
        <f t="shared" si="10"/>
        <v>2086.5517241379312</v>
      </c>
      <c r="AX38" s="354"/>
      <c r="AY38" s="1"/>
      <c r="AZ38" s="66">
        <f t="shared" si="17"/>
        <v>174117</v>
      </c>
      <c r="BA38" s="67"/>
      <c r="BB38" s="67">
        <v>3572257</v>
      </c>
      <c r="BC38" s="67"/>
      <c r="BD38" s="67">
        <f t="shared" si="12"/>
        <v>32165</v>
      </c>
      <c r="BE38" s="67"/>
      <c r="BF38" s="67"/>
      <c r="BG38" s="67"/>
      <c r="BH38" s="185"/>
      <c r="BI38" s="67"/>
      <c r="BJ38" s="67"/>
      <c r="BK38" s="67"/>
      <c r="BL38" s="67"/>
      <c r="BM38" s="66"/>
      <c r="BN38" s="67"/>
      <c r="BO38" s="67">
        <f t="shared" si="16"/>
        <v>462548</v>
      </c>
      <c r="BP38" s="67"/>
      <c r="BQ38" s="74">
        <f t="shared" si="13"/>
        <v>0.12948340502936939</v>
      </c>
      <c r="BR38" s="67"/>
      <c r="BS38" s="86"/>
      <c r="BT38" s="185"/>
      <c r="BU38" s="1"/>
      <c r="BV38">
        <f t="shared" si="11"/>
        <v>29</v>
      </c>
    </row>
    <row r="39" spans="2:74" x14ac:dyDescent="0.3">
      <c r="B39" s="335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743733</v>
      </c>
      <c r="I39" s="16"/>
      <c r="J39" s="38">
        <f t="shared" si="1"/>
        <v>4.0657584695722254E-2</v>
      </c>
      <c r="K39" s="16"/>
      <c r="L39" s="16"/>
      <c r="M39" s="16"/>
      <c r="N39" s="16">
        <f t="shared" si="2"/>
        <v>24791.1</v>
      </c>
      <c r="O39" s="41"/>
      <c r="P39" s="17"/>
      <c r="Q39" s="16"/>
      <c r="R39" s="16"/>
      <c r="S39" s="16"/>
      <c r="T39" s="41"/>
      <c r="U39" s="90"/>
      <c r="V39" s="34">
        <v>1867</v>
      </c>
      <c r="W39" s="33"/>
      <c r="X39" s="33"/>
      <c r="Y39" s="33"/>
      <c r="Z39" s="33">
        <f t="shared" si="19"/>
        <v>39331</v>
      </c>
      <c r="AA39" s="33"/>
      <c r="AB39" s="46">
        <f t="shared" si="4"/>
        <v>5.2883225566164205E-2</v>
      </c>
      <c r="AC39" s="33"/>
      <c r="AD39" s="33">
        <f t="shared" si="5"/>
        <v>1311.0333333333333</v>
      </c>
      <c r="AE39" s="50"/>
      <c r="AF39" s="33"/>
      <c r="AG39" s="33"/>
      <c r="AH39" s="33"/>
      <c r="AI39" s="50"/>
      <c r="AJ39" s="90"/>
      <c r="AK39" s="23">
        <f t="shared" si="7"/>
        <v>7759</v>
      </c>
      <c r="AL39" s="24"/>
      <c r="AM39" s="24"/>
      <c r="AN39" s="24"/>
      <c r="AO39" s="24">
        <v>68269</v>
      </c>
      <c r="AP39" s="24"/>
      <c r="AQ39" s="25">
        <f t="shared" si="8"/>
        <v>0.12822673938192033</v>
      </c>
      <c r="AR39" s="25"/>
      <c r="AS39" s="25"/>
      <c r="AT39" s="24"/>
      <c r="AU39" s="344">
        <f t="shared" si="9"/>
        <v>9.1792350211702317E-2</v>
      </c>
      <c r="AV39" s="344"/>
      <c r="AW39" s="24">
        <f t="shared" si="10"/>
        <v>2275.6333333333332</v>
      </c>
      <c r="AX39" s="354"/>
      <c r="AY39" s="90"/>
      <c r="AZ39" s="66">
        <f t="shared" si="17"/>
        <v>149888</v>
      </c>
      <c r="BA39" s="67"/>
      <c r="BB39" s="67">
        <v>3722145</v>
      </c>
      <c r="BC39" s="67"/>
      <c r="BD39" s="67">
        <f t="shared" si="12"/>
        <v>29057</v>
      </c>
      <c r="BE39" s="67"/>
      <c r="BF39" s="67"/>
      <c r="BG39" s="67"/>
      <c r="BH39" s="185"/>
      <c r="BI39" s="67"/>
      <c r="BJ39" s="67"/>
      <c r="BK39" s="67"/>
      <c r="BL39" s="67"/>
      <c r="BM39" s="66"/>
      <c r="BN39" s="67"/>
      <c r="BO39" s="67">
        <f t="shared" si="16"/>
        <v>491605</v>
      </c>
      <c r="BP39" s="67"/>
      <c r="BQ39" s="74">
        <f t="shared" si="13"/>
        <v>0.13207572515310392</v>
      </c>
      <c r="BR39" s="67"/>
      <c r="BS39" s="86"/>
      <c r="BT39" s="185"/>
      <c r="BU39" s="90"/>
      <c r="BV39" s="110">
        <f t="shared" si="11"/>
        <v>30</v>
      </c>
    </row>
    <row r="40" spans="2:74" x14ac:dyDescent="0.3">
      <c r="B40" s="393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769916</v>
      </c>
      <c r="I40" s="16"/>
      <c r="J40" s="38">
        <f t="shared" si="1"/>
        <v>3.5204838295463559E-2</v>
      </c>
      <c r="K40" s="16"/>
      <c r="L40" s="16"/>
      <c r="M40" s="16"/>
      <c r="N40" s="16">
        <f t="shared" si="2"/>
        <v>24836</v>
      </c>
      <c r="O40" s="41"/>
      <c r="P40" s="17">
        <f>SUM(D34:D40)</f>
        <v>204675</v>
      </c>
      <c r="Q40" s="16"/>
      <c r="R40" s="60">
        <f>+(P40-P33)/P33</f>
        <v>-7.5195308087494403E-2</v>
      </c>
      <c r="S40" s="16"/>
      <c r="T40" s="41"/>
      <c r="U40" s="394"/>
      <c r="V40" s="34">
        <v>1570</v>
      </c>
      <c r="W40" s="33"/>
      <c r="X40" s="33"/>
      <c r="Y40" s="33"/>
      <c r="Z40" s="33">
        <f t="shared" si="19"/>
        <v>40901</v>
      </c>
      <c r="AA40" s="33"/>
      <c r="AB40" s="46">
        <f t="shared" si="4"/>
        <v>5.312397716114485E-2</v>
      </c>
      <c r="AC40" s="33"/>
      <c r="AD40" s="33">
        <f t="shared" si="5"/>
        <v>1319.3870967741937</v>
      </c>
      <c r="AE40" s="50"/>
      <c r="AF40" s="33">
        <f>SUM(V34:V40)</f>
        <v>14701</v>
      </c>
      <c r="AG40" s="33"/>
      <c r="AH40" s="233">
        <f>+(AF40-AF33)/AF33</f>
        <v>0.17909849213987808</v>
      </c>
      <c r="AI40" s="50"/>
      <c r="AJ40" s="394"/>
      <c r="AK40" s="23">
        <f t="shared" si="7"/>
        <v>2734</v>
      </c>
      <c r="AL40" s="24"/>
      <c r="AM40" s="24"/>
      <c r="AN40" s="24"/>
      <c r="AO40" s="24">
        <v>71003</v>
      </c>
      <c r="AP40" s="24"/>
      <c r="AQ40" s="25">
        <f t="shared" si="8"/>
        <v>4.004745931535543E-2</v>
      </c>
      <c r="AR40" s="25"/>
      <c r="AS40" s="25"/>
      <c r="AT40" s="24"/>
      <c r="AU40" s="344">
        <f t="shared" si="9"/>
        <v>9.2221748866110065E-2</v>
      </c>
      <c r="AV40" s="344"/>
      <c r="AW40" s="24">
        <f t="shared" si="10"/>
        <v>2290.4193548387098</v>
      </c>
      <c r="AX40" s="354"/>
      <c r="AY40" s="394"/>
      <c r="AZ40" s="66">
        <f t="shared" si="17"/>
        <v>139404</v>
      </c>
      <c r="BA40" s="67"/>
      <c r="BB40" s="67">
        <v>3861549</v>
      </c>
      <c r="BC40" s="67"/>
      <c r="BD40" s="67">
        <f t="shared" si="12"/>
        <v>26183</v>
      </c>
      <c r="BE40" s="67"/>
      <c r="BF40" s="157">
        <f t="shared" ref="BF40:BF51" si="20">+BD40/AZ40</f>
        <v>0.18782100944018823</v>
      </c>
      <c r="BG40" s="67"/>
      <c r="BH40" s="185"/>
      <c r="BI40" s="67"/>
      <c r="BJ40" s="67">
        <f>SUM(AZ34:AZ40)</f>
        <v>1029291</v>
      </c>
      <c r="BK40" s="67"/>
      <c r="BL40" s="157">
        <f>+P40/BJ40</f>
        <v>0.19885047085809551</v>
      </c>
      <c r="BM40" s="66">
        <f t="shared" ref="BM40:BM68" si="21">+BB40/BV40</f>
        <v>124566.09677419355</v>
      </c>
      <c r="BN40" s="67"/>
      <c r="BO40" s="67">
        <f t="shared" si="16"/>
        <v>517788</v>
      </c>
      <c r="BP40" s="67"/>
      <c r="BQ40" s="74">
        <f t="shared" si="13"/>
        <v>0.13408815995860729</v>
      </c>
      <c r="BR40" s="67"/>
      <c r="BS40" s="86"/>
      <c r="BT40" s="185"/>
      <c r="BU40" s="1"/>
      <c r="BV40">
        <f t="shared" si="11"/>
        <v>31</v>
      </c>
    </row>
    <row r="41" spans="2:74" x14ac:dyDescent="0.3">
      <c r="B41" s="173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798059</v>
      </c>
      <c r="I41" s="16"/>
      <c r="J41" s="38">
        <f t="shared" si="1"/>
        <v>3.6553338286254601E-2</v>
      </c>
      <c r="K41" s="16"/>
      <c r="L41" s="16"/>
      <c r="M41" s="16"/>
      <c r="N41" s="16">
        <f t="shared" si="2"/>
        <v>24939.34375</v>
      </c>
      <c r="O41" s="41"/>
      <c r="P41" s="17"/>
      <c r="Q41" s="16"/>
      <c r="R41" s="60"/>
      <c r="S41" s="16"/>
      <c r="T41" s="41"/>
      <c r="U41" s="10"/>
      <c r="V41" s="34">
        <v>1952</v>
      </c>
      <c r="W41" s="33"/>
      <c r="X41" s="33"/>
      <c r="Y41" s="33"/>
      <c r="Z41" s="33">
        <f t="shared" si="19"/>
        <v>42853</v>
      </c>
      <c r="AA41" s="33"/>
      <c r="AB41" s="46">
        <f t="shared" si="4"/>
        <v>5.369653120884546E-2</v>
      </c>
      <c r="AC41" s="33"/>
      <c r="AD41" s="33">
        <f t="shared" si="5"/>
        <v>1339.15625</v>
      </c>
      <c r="AE41" s="50"/>
      <c r="AF41" s="33"/>
      <c r="AG41" s="33"/>
      <c r="AH41" s="233"/>
      <c r="AI41" s="50"/>
      <c r="AJ41" s="10"/>
      <c r="AK41" s="23">
        <f t="shared" si="7"/>
        <v>1386</v>
      </c>
      <c r="AL41" s="24"/>
      <c r="AM41" s="24"/>
      <c r="AN41" s="24"/>
      <c r="AO41" s="24">
        <v>72389</v>
      </c>
      <c r="AP41" s="24"/>
      <c r="AQ41" s="25">
        <f t="shared" si="8"/>
        <v>1.9520301959072152E-2</v>
      </c>
      <c r="AR41" s="25"/>
      <c r="AS41" s="25"/>
      <c r="AT41" s="24"/>
      <c r="AU41" s="344">
        <f t="shared" si="9"/>
        <v>9.0706326224000988E-2</v>
      </c>
      <c r="AV41" s="344"/>
      <c r="AW41" s="24">
        <f t="shared" si="10"/>
        <v>2262.15625</v>
      </c>
      <c r="AX41" s="354"/>
      <c r="AY41" s="10"/>
      <c r="AZ41" s="66">
        <f t="shared" si="17"/>
        <v>164811</v>
      </c>
      <c r="BA41" s="67"/>
      <c r="BB41" s="67">
        <v>4026360</v>
      </c>
      <c r="BC41" s="67"/>
      <c r="BD41" s="67">
        <f t="shared" si="12"/>
        <v>28143</v>
      </c>
      <c r="BE41" s="67"/>
      <c r="BF41" s="157">
        <f t="shared" si="20"/>
        <v>0.17075923330360232</v>
      </c>
      <c r="BG41" s="67"/>
      <c r="BH41" s="185"/>
      <c r="BI41" s="67"/>
      <c r="BJ41" s="67"/>
      <c r="BK41" s="67"/>
      <c r="BL41" s="67"/>
      <c r="BM41" s="66">
        <f t="shared" si="21"/>
        <v>125823.75</v>
      </c>
      <c r="BN41" s="67"/>
      <c r="BO41" s="67">
        <f t="shared" si="16"/>
        <v>545931</v>
      </c>
      <c r="BP41" s="67"/>
      <c r="BQ41" s="74">
        <f t="shared" si="13"/>
        <v>0.13558921705957738</v>
      </c>
      <c r="BR41" s="67"/>
      <c r="BS41" s="86"/>
      <c r="BT41" s="185"/>
      <c r="BU41" s="1"/>
      <c r="BV41">
        <f t="shared" si="11"/>
        <v>32</v>
      </c>
    </row>
    <row r="42" spans="2:74" x14ac:dyDescent="0.3">
      <c r="B42" s="173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824164</v>
      </c>
      <c r="I42" s="16"/>
      <c r="J42" s="38">
        <f t="shared" si="1"/>
        <v>3.2710614127526912E-2</v>
      </c>
      <c r="K42" s="16"/>
      <c r="L42" s="16"/>
      <c r="M42" s="16"/>
      <c r="N42" s="16">
        <f t="shared" ref="N42:N68" si="22">+H42/BV42</f>
        <v>24974.666666666668</v>
      </c>
      <c r="O42" s="41"/>
      <c r="P42" s="17"/>
      <c r="Q42" s="16"/>
      <c r="R42" s="16"/>
      <c r="S42" s="16"/>
      <c r="T42" s="41"/>
      <c r="U42" s="1"/>
      <c r="V42" s="34">
        <v>2683</v>
      </c>
      <c r="W42" s="33"/>
      <c r="X42" s="33"/>
      <c r="Y42" s="33"/>
      <c r="Z42" s="33">
        <f t="shared" si="19"/>
        <v>45536</v>
      </c>
      <c r="AA42" s="33"/>
      <c r="AB42" s="46">
        <f t="shared" ref="AB42:AB68" si="23">+Z42/H42</f>
        <v>5.5251139336345678E-2</v>
      </c>
      <c r="AC42" s="33"/>
      <c r="AD42" s="33">
        <f t="shared" ref="AD42:AD68" si="24">+Z42/BV42</f>
        <v>1379.878787878788</v>
      </c>
      <c r="AE42" s="50"/>
      <c r="AF42" s="33"/>
      <c r="AG42" s="33"/>
      <c r="AH42" s="33"/>
      <c r="AI42" s="50"/>
      <c r="AJ42" s="1"/>
      <c r="AK42" s="23">
        <f t="shared" si="7"/>
        <v>10534</v>
      </c>
      <c r="AL42" s="24"/>
      <c r="AM42" s="24"/>
      <c r="AN42" s="24"/>
      <c r="AO42" s="24">
        <v>82923</v>
      </c>
      <c r="AP42" s="24"/>
      <c r="AQ42" s="25">
        <f t="shared" si="8"/>
        <v>0.14551934686209231</v>
      </c>
      <c r="AR42" s="25"/>
      <c r="AS42" s="25"/>
      <c r="AT42" s="24"/>
      <c r="AU42" s="344">
        <f t="shared" si="9"/>
        <v>0.10061468348532573</v>
      </c>
      <c r="AV42" s="344"/>
      <c r="AW42" s="24">
        <f t="shared" si="10"/>
        <v>2512.818181818182</v>
      </c>
      <c r="AX42" s="354"/>
      <c r="AY42" s="1"/>
      <c r="AZ42" s="66">
        <f t="shared" si="17"/>
        <v>161032</v>
      </c>
      <c r="BA42" s="67"/>
      <c r="BB42" s="67">
        <v>4187392</v>
      </c>
      <c r="BC42" s="67"/>
      <c r="BD42" s="67">
        <f t="shared" si="12"/>
        <v>26105</v>
      </c>
      <c r="BE42" s="67"/>
      <c r="BF42" s="157">
        <f t="shared" si="20"/>
        <v>0.16211063639525064</v>
      </c>
      <c r="BG42" s="67"/>
      <c r="BH42" s="185"/>
      <c r="BI42" s="67"/>
      <c r="BJ42" s="67"/>
      <c r="BK42" s="67"/>
      <c r="BL42" s="67"/>
      <c r="BM42" s="66">
        <f t="shared" si="21"/>
        <v>126890.66666666667</v>
      </c>
      <c r="BN42" s="67"/>
      <c r="BO42" s="67">
        <f t="shared" si="16"/>
        <v>572036</v>
      </c>
      <c r="BP42" s="67"/>
      <c r="BQ42" s="74">
        <f t="shared" si="13"/>
        <v>0.13660913523262211</v>
      </c>
      <c r="BR42" s="67"/>
      <c r="BS42" s="86"/>
      <c r="BT42" s="185"/>
      <c r="BU42" s="1"/>
      <c r="BV42">
        <f t="shared" si="11"/>
        <v>33</v>
      </c>
    </row>
    <row r="43" spans="2:74" x14ac:dyDescent="0.3">
      <c r="B43" s="173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854374</v>
      </c>
      <c r="I43" s="16"/>
      <c r="J43" s="38">
        <f t="shared" si="1"/>
        <v>3.6655325881741981E-2</v>
      </c>
      <c r="K43" s="16"/>
      <c r="L43" s="16"/>
      <c r="M43" s="16"/>
      <c r="N43" s="16">
        <f t="shared" si="22"/>
        <v>25128.647058823528</v>
      </c>
      <c r="O43" s="41"/>
      <c r="P43" s="17"/>
      <c r="Q43" s="16"/>
      <c r="R43" s="16"/>
      <c r="S43" s="16"/>
      <c r="T43" s="41"/>
      <c r="U43" s="1"/>
      <c r="V43" s="34">
        <v>2358</v>
      </c>
      <c r="W43" s="33"/>
      <c r="X43" s="33"/>
      <c r="Y43" s="33"/>
      <c r="Z43" s="33">
        <f t="shared" si="19"/>
        <v>47894</v>
      </c>
      <c r="AA43" s="33"/>
      <c r="AB43" s="46">
        <f t="shared" si="23"/>
        <v>5.6057417477591784E-2</v>
      </c>
      <c r="AC43" s="33"/>
      <c r="AD43" s="33">
        <f t="shared" si="24"/>
        <v>1408.6470588235295</v>
      </c>
      <c r="AE43" s="50"/>
      <c r="AF43" s="33"/>
      <c r="AG43" s="33"/>
      <c r="AH43" s="33"/>
      <c r="AI43" s="50"/>
      <c r="AJ43" s="1"/>
      <c r="AK43" s="23">
        <f t="shared" si="7"/>
        <v>1127</v>
      </c>
      <c r="AL43" s="24"/>
      <c r="AM43" s="24"/>
      <c r="AN43" s="24"/>
      <c r="AO43" s="24">
        <v>84050</v>
      </c>
      <c r="AP43" s="24"/>
      <c r="AQ43" s="25">
        <f t="shared" si="8"/>
        <v>1.3590921698443134E-2</v>
      </c>
      <c r="AR43" s="25"/>
      <c r="AS43" s="25"/>
      <c r="AT43" s="24"/>
      <c r="AU43" s="344">
        <f t="shared" si="9"/>
        <v>9.8376120996191363E-2</v>
      </c>
      <c r="AV43" s="344"/>
      <c r="AW43" s="24">
        <f t="shared" si="10"/>
        <v>2472.0588235294117</v>
      </c>
      <c r="AX43" s="354"/>
      <c r="AY43" s="1"/>
      <c r="AZ43" s="66">
        <f t="shared" si="17"/>
        <v>137950</v>
      </c>
      <c r="BA43" s="67"/>
      <c r="BB43" s="67">
        <v>4325342</v>
      </c>
      <c r="BC43" s="67"/>
      <c r="BD43" s="67">
        <f t="shared" si="12"/>
        <v>30210</v>
      </c>
      <c r="BE43" s="67"/>
      <c r="BF43" s="157">
        <f t="shared" si="20"/>
        <v>0.21899238854657485</v>
      </c>
      <c r="BG43" s="67"/>
      <c r="BH43" s="185"/>
      <c r="BI43" s="67"/>
      <c r="BJ43" s="67"/>
      <c r="BK43" s="67"/>
      <c r="BL43" s="67"/>
      <c r="BM43" s="66">
        <f t="shared" si="21"/>
        <v>127215.94117647059</v>
      </c>
      <c r="BN43" s="67"/>
      <c r="BO43" s="67">
        <f t="shared" si="16"/>
        <v>602246</v>
      </c>
      <c r="BP43" s="67"/>
      <c r="BQ43" s="74">
        <f t="shared" si="13"/>
        <v>0.13923661990196382</v>
      </c>
      <c r="BR43" s="67"/>
      <c r="BS43" s="86"/>
      <c r="BT43" s="185"/>
      <c r="BU43" s="1"/>
      <c r="BV43">
        <f t="shared" si="11"/>
        <v>34</v>
      </c>
    </row>
    <row r="44" spans="2:74" x14ac:dyDescent="0.3">
      <c r="B44" s="173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886274</v>
      </c>
      <c r="I44" s="16"/>
      <c r="J44" s="38">
        <f t="shared" si="1"/>
        <v>3.7337278522052403E-2</v>
      </c>
      <c r="K44" s="16"/>
      <c r="L44" s="16"/>
      <c r="M44" s="16"/>
      <c r="N44" s="16">
        <f t="shared" si="22"/>
        <v>25322.114285714284</v>
      </c>
      <c r="O44" s="41"/>
      <c r="P44" s="17"/>
      <c r="Q44" s="16"/>
      <c r="R44" s="16"/>
      <c r="S44" s="16"/>
      <c r="T44" s="41"/>
      <c r="U44" s="1"/>
      <c r="V44" s="34">
        <v>2340</v>
      </c>
      <c r="W44" s="33"/>
      <c r="X44" s="33"/>
      <c r="Y44" s="33"/>
      <c r="Z44" s="33">
        <f t="shared" si="19"/>
        <v>50234</v>
      </c>
      <c r="AA44" s="33"/>
      <c r="AB44" s="46">
        <f t="shared" si="23"/>
        <v>5.6679988355745517E-2</v>
      </c>
      <c r="AC44" s="33"/>
      <c r="AD44" s="33">
        <f t="shared" si="24"/>
        <v>1435.2571428571428</v>
      </c>
      <c r="AE44" s="50"/>
      <c r="AF44" s="33"/>
      <c r="AG44" s="33"/>
      <c r="AH44" s="33"/>
      <c r="AI44" s="50"/>
      <c r="AJ44" s="1"/>
      <c r="AK44" s="23">
        <f t="shared" si="7"/>
        <v>1872</v>
      </c>
      <c r="AL44" s="24"/>
      <c r="AM44" s="24"/>
      <c r="AN44" s="24"/>
      <c r="AO44" s="24">
        <v>85922</v>
      </c>
      <c r="AP44" s="24"/>
      <c r="AQ44" s="25">
        <f t="shared" si="8"/>
        <v>2.2272456870910173E-2</v>
      </c>
      <c r="AR44" s="25"/>
      <c r="AS44" s="25"/>
      <c r="AT44" s="24"/>
      <c r="AU44" s="344">
        <f t="shared" ref="AU44:AU68" si="25">+AO44/H44</f>
        <v>9.6947445146760486E-2</v>
      </c>
      <c r="AV44" s="344"/>
      <c r="AW44" s="24">
        <f t="shared" ref="AW44:AW68" si="26">+AO44/BV44</f>
        <v>2454.9142857142856</v>
      </c>
      <c r="AX44" s="354"/>
      <c r="AY44" s="1"/>
      <c r="AZ44" s="66">
        <f t="shared" si="17"/>
        <v>371362</v>
      </c>
      <c r="BA44" s="67"/>
      <c r="BB44" s="67">
        <v>4696704</v>
      </c>
      <c r="BC44" s="67"/>
      <c r="BD44" s="67">
        <f t="shared" si="12"/>
        <v>31900</v>
      </c>
      <c r="BE44" s="67"/>
      <c r="BF44" s="157">
        <f t="shared" si="20"/>
        <v>8.590001130971936E-2</v>
      </c>
      <c r="BG44" s="67"/>
      <c r="BH44" s="185"/>
      <c r="BI44" s="67"/>
      <c r="BJ44" s="67"/>
      <c r="BK44" s="67"/>
      <c r="BL44" s="67"/>
      <c r="BM44" s="66">
        <f t="shared" si="21"/>
        <v>134191.54285714286</v>
      </c>
      <c r="BN44" s="67"/>
      <c r="BO44" s="67">
        <f t="shared" si="16"/>
        <v>634146</v>
      </c>
      <c r="BP44" s="67"/>
      <c r="BQ44" s="74">
        <f t="shared" si="13"/>
        <v>0.13501936677295398</v>
      </c>
      <c r="BR44" s="67"/>
      <c r="BS44" s="86"/>
      <c r="BT44" s="185"/>
      <c r="BU44" s="1"/>
      <c r="BV44">
        <f t="shared" si="11"/>
        <v>35</v>
      </c>
    </row>
    <row r="45" spans="2:74" x14ac:dyDescent="0.3">
      <c r="B45" s="173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925038</v>
      </c>
      <c r="I45" s="16"/>
      <c r="J45" s="38">
        <f t="shared" si="1"/>
        <v>4.3738166752042819E-2</v>
      </c>
      <c r="K45" s="16"/>
      <c r="L45" s="16"/>
      <c r="M45" s="16"/>
      <c r="N45" s="16">
        <f t="shared" si="22"/>
        <v>25695.5</v>
      </c>
      <c r="O45" s="41"/>
      <c r="P45" s="17"/>
      <c r="Q45" s="16"/>
      <c r="R45" s="16"/>
      <c r="S45" s="16"/>
      <c r="T45" s="41"/>
      <c r="U45" s="1"/>
      <c r="V45" s="34">
        <v>1957</v>
      </c>
      <c r="W45" s="33"/>
      <c r="X45" s="33"/>
      <c r="Y45" s="33"/>
      <c r="Z45" s="33">
        <f t="shared" si="19"/>
        <v>52191</v>
      </c>
      <c r="AA45" s="33"/>
      <c r="AB45" s="46">
        <f t="shared" si="23"/>
        <v>5.6420384892296317E-2</v>
      </c>
      <c r="AC45" s="33"/>
      <c r="AD45" s="33">
        <f t="shared" si="24"/>
        <v>1449.75</v>
      </c>
      <c r="AE45" s="50"/>
      <c r="AF45" s="33"/>
      <c r="AG45" s="33"/>
      <c r="AH45" s="33"/>
      <c r="AI45" s="50"/>
      <c r="AJ45" s="1"/>
      <c r="AK45" s="23">
        <f t="shared" si="7"/>
        <v>24510</v>
      </c>
      <c r="AL45" s="24"/>
      <c r="AM45" s="24"/>
      <c r="AN45" s="24"/>
      <c r="AO45" s="24">
        <v>110432</v>
      </c>
      <c r="AP45" s="24"/>
      <c r="AQ45" s="25">
        <f t="shared" si="8"/>
        <v>0.28525872302786248</v>
      </c>
      <c r="AR45" s="25"/>
      <c r="AS45" s="25"/>
      <c r="AT45" s="24"/>
      <c r="AU45" s="344">
        <f t="shared" si="25"/>
        <v>0.11938104164369463</v>
      </c>
      <c r="AV45" s="344"/>
      <c r="AW45" s="24">
        <f t="shared" si="26"/>
        <v>3067.5555555555557</v>
      </c>
      <c r="AX45" s="354"/>
      <c r="AY45" s="1"/>
      <c r="AZ45" s="66">
        <f t="shared" si="17"/>
        <v>318898</v>
      </c>
      <c r="BA45" s="67"/>
      <c r="BB45" s="67">
        <v>5015602</v>
      </c>
      <c r="BC45" s="67"/>
      <c r="BD45" s="67">
        <f t="shared" si="12"/>
        <v>38764</v>
      </c>
      <c r="BE45" s="67"/>
      <c r="BF45" s="157">
        <f t="shared" si="20"/>
        <v>0.12155610884985167</v>
      </c>
      <c r="BG45" s="67"/>
      <c r="BH45" s="185"/>
      <c r="BI45" s="67"/>
      <c r="BJ45" s="67"/>
      <c r="BK45" s="67"/>
      <c r="BL45" s="67"/>
      <c r="BM45" s="66">
        <f t="shared" si="21"/>
        <v>139322.27777777778</v>
      </c>
      <c r="BN45" s="67"/>
      <c r="BO45" s="67">
        <f t="shared" si="16"/>
        <v>672910</v>
      </c>
      <c r="BP45" s="67"/>
      <c r="BQ45" s="74">
        <f t="shared" si="13"/>
        <v>0.13416335666187229</v>
      </c>
      <c r="BR45" s="67"/>
      <c r="BS45" s="86"/>
      <c r="BT45" s="185"/>
      <c r="BU45" s="1"/>
      <c r="BV45">
        <f t="shared" si="11"/>
        <v>36</v>
      </c>
    </row>
    <row r="46" spans="2:74" x14ac:dyDescent="0.3">
      <c r="B46" s="173">
        <f t="shared" si="6"/>
        <v>43946</v>
      </c>
      <c r="C46" s="61"/>
      <c r="D46" s="17">
        <v>35419</v>
      </c>
      <c r="E46" s="16"/>
      <c r="F46" s="16"/>
      <c r="G46" s="16"/>
      <c r="H46" s="16">
        <f>+H45+D46+194</f>
        <v>960651</v>
      </c>
      <c r="I46" s="16"/>
      <c r="J46" s="38">
        <f t="shared" si="1"/>
        <v>3.8289237847526261E-2</v>
      </c>
      <c r="K46" s="16"/>
      <c r="L46" s="16"/>
      <c r="M46" s="16"/>
      <c r="N46" s="16">
        <f t="shared" si="22"/>
        <v>25963.54054054054</v>
      </c>
      <c r="O46" s="41"/>
      <c r="P46" s="17"/>
      <c r="Q46" s="16"/>
      <c r="R46" s="16"/>
      <c r="S46" s="16"/>
      <c r="T46" s="41"/>
      <c r="U46" s="1"/>
      <c r="V46" s="34">
        <v>2065</v>
      </c>
      <c r="W46" s="33"/>
      <c r="X46" s="33"/>
      <c r="Y46" s="33"/>
      <c r="Z46" s="33">
        <f t="shared" si="19"/>
        <v>54256</v>
      </c>
      <c r="AA46" s="33"/>
      <c r="AB46" s="46">
        <f t="shared" si="23"/>
        <v>5.6478367273859083E-2</v>
      </c>
      <c r="AC46" s="33"/>
      <c r="AD46" s="33">
        <f t="shared" si="24"/>
        <v>1466.3783783783783</v>
      </c>
      <c r="AE46" s="50"/>
      <c r="AF46" s="33"/>
      <c r="AG46" s="33"/>
      <c r="AH46" s="33"/>
      <c r="AI46" s="50"/>
      <c r="AJ46" s="1"/>
      <c r="AK46" s="23">
        <f t="shared" si="7"/>
        <v>7730</v>
      </c>
      <c r="AL46" s="24"/>
      <c r="AM46" s="24"/>
      <c r="AN46" s="24"/>
      <c r="AO46" s="24">
        <v>118162</v>
      </c>
      <c r="AP46" s="24"/>
      <c r="AQ46" s="25">
        <f t="shared" si="8"/>
        <v>6.9997826716893655E-2</v>
      </c>
      <c r="AR46" s="25"/>
      <c r="AS46" s="25"/>
      <c r="AT46" s="24"/>
      <c r="AU46" s="344">
        <f t="shared" si="25"/>
        <v>0.12300200593139445</v>
      </c>
      <c r="AV46" s="344"/>
      <c r="AW46" s="24">
        <f t="shared" si="26"/>
        <v>3193.5675675675675</v>
      </c>
      <c r="AX46" s="354"/>
      <c r="AY46" s="1"/>
      <c r="AZ46" s="66">
        <f t="shared" si="17"/>
        <v>263635</v>
      </c>
      <c r="BA46" s="67"/>
      <c r="BB46" s="67">
        <v>5279237</v>
      </c>
      <c r="BC46" s="67"/>
      <c r="BD46" s="67">
        <f t="shared" si="12"/>
        <v>35419</v>
      </c>
      <c r="BE46" s="67"/>
      <c r="BF46" s="157">
        <f t="shared" si="20"/>
        <v>0.13434862594116867</v>
      </c>
      <c r="BG46" s="67"/>
      <c r="BH46" s="185"/>
      <c r="BI46" s="67"/>
      <c r="BJ46" s="67"/>
      <c r="BK46" s="67"/>
      <c r="BL46" s="67"/>
      <c r="BM46" s="66">
        <f t="shared" si="21"/>
        <v>142682.08108108109</v>
      </c>
      <c r="BN46" s="67"/>
      <c r="BO46" s="67">
        <f t="shared" si="16"/>
        <v>708329</v>
      </c>
      <c r="BP46" s="67"/>
      <c r="BQ46" s="74">
        <f t="shared" si="13"/>
        <v>0.13417260865537955</v>
      </c>
      <c r="BR46" s="67"/>
      <c r="BS46" s="86"/>
      <c r="BT46" s="185"/>
      <c r="BU46" s="1"/>
      <c r="BV46">
        <f t="shared" si="11"/>
        <v>37</v>
      </c>
    </row>
    <row r="47" spans="2:74" x14ac:dyDescent="0.3">
      <c r="B47" s="393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987160</v>
      </c>
      <c r="I47" s="16"/>
      <c r="J47" s="38">
        <f t="shared" si="1"/>
        <v>2.759482892330305E-2</v>
      </c>
      <c r="K47" s="16"/>
      <c r="L47" s="16"/>
      <c r="M47" s="16"/>
      <c r="N47" s="16">
        <f t="shared" si="22"/>
        <v>25977.894736842107</v>
      </c>
      <c r="O47" s="41"/>
      <c r="P47" s="17">
        <f>SUM(D41:D47)</f>
        <v>217050</v>
      </c>
      <c r="Q47" s="16"/>
      <c r="R47" s="60">
        <f>+(P47-P40)/P40</f>
        <v>6.0461707585196041E-2</v>
      </c>
      <c r="S47" s="16"/>
      <c r="T47" s="41"/>
      <c r="U47" s="394"/>
      <c r="V47" s="34">
        <v>1156</v>
      </c>
      <c r="W47" s="33"/>
      <c r="X47" s="33"/>
      <c r="Y47" s="33"/>
      <c r="Z47" s="33">
        <f t="shared" si="19"/>
        <v>55412</v>
      </c>
      <c r="AA47" s="33"/>
      <c r="AB47" s="46">
        <f t="shared" si="23"/>
        <v>5.6132744438591516E-2</v>
      </c>
      <c r="AC47" s="33"/>
      <c r="AD47" s="33">
        <f t="shared" si="24"/>
        <v>1458.2105263157894</v>
      </c>
      <c r="AE47" s="50"/>
      <c r="AF47" s="33">
        <f>SUM(V41:V47)</f>
        <v>14511</v>
      </c>
      <c r="AG47" s="33"/>
      <c r="AH47" s="233">
        <f>+(AF47-AF40)/AF40</f>
        <v>-1.2924290864567036E-2</v>
      </c>
      <c r="AI47" s="50"/>
      <c r="AJ47" s="394"/>
      <c r="AK47" s="23">
        <f t="shared" si="7"/>
        <v>619</v>
      </c>
      <c r="AL47" s="24"/>
      <c r="AM47" s="24"/>
      <c r="AN47" s="24"/>
      <c r="AO47" s="24">
        <v>118781</v>
      </c>
      <c r="AP47" s="24"/>
      <c r="AQ47" s="25">
        <f t="shared" si="8"/>
        <v>5.238570775714697E-3</v>
      </c>
      <c r="AR47" s="25"/>
      <c r="AS47" s="25"/>
      <c r="AT47" s="24"/>
      <c r="AU47" s="344">
        <f t="shared" si="25"/>
        <v>0.12032598565582074</v>
      </c>
      <c r="AV47" s="344"/>
      <c r="AW47" s="24">
        <f t="shared" si="26"/>
        <v>3125.8157894736842</v>
      </c>
      <c r="AX47" s="354"/>
      <c r="AY47" s="394"/>
      <c r="AZ47" s="66">
        <f t="shared" si="17"/>
        <v>191227</v>
      </c>
      <c r="BA47" s="67"/>
      <c r="BB47" s="67">
        <v>5470464</v>
      </c>
      <c r="BC47" s="67"/>
      <c r="BD47" s="67">
        <f t="shared" si="12"/>
        <v>26509</v>
      </c>
      <c r="BE47" s="67"/>
      <c r="BF47" s="157">
        <f t="shared" si="20"/>
        <v>0.13862582166744236</v>
      </c>
      <c r="BG47" s="67"/>
      <c r="BH47" s="185"/>
      <c r="BI47" s="67"/>
      <c r="BJ47" s="67">
        <f>SUM(AZ41:AZ47)</f>
        <v>1608915</v>
      </c>
      <c r="BK47" s="67"/>
      <c r="BL47" s="157">
        <f>+P47/BJ47</f>
        <v>0.13490457855138402</v>
      </c>
      <c r="BM47" s="66">
        <f t="shared" si="21"/>
        <v>143959.57894736843</v>
      </c>
      <c r="BN47" s="67"/>
      <c r="BO47" s="67">
        <f t="shared" si="16"/>
        <v>734838</v>
      </c>
      <c r="BP47" s="67"/>
      <c r="BQ47" s="74">
        <f t="shared" si="13"/>
        <v>0.13432827635827602</v>
      </c>
      <c r="BR47" s="67"/>
      <c r="BS47" s="86"/>
      <c r="BT47" s="185"/>
      <c r="BU47" s="1"/>
      <c r="BV47">
        <f t="shared" si="11"/>
        <v>38</v>
      </c>
    </row>
    <row r="48" spans="2:74" x14ac:dyDescent="0.3">
      <c r="B48" s="173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1010356</v>
      </c>
      <c r="I48" s="16"/>
      <c r="J48" s="38">
        <f t="shared" si="1"/>
        <v>2.3497710604157382E-2</v>
      </c>
      <c r="K48" s="16"/>
      <c r="L48" s="16"/>
      <c r="M48" s="16"/>
      <c r="N48" s="16">
        <f t="shared" si="22"/>
        <v>25906.564102564102</v>
      </c>
      <c r="O48" s="41"/>
      <c r="P48" s="17"/>
      <c r="Q48" s="16"/>
      <c r="R48" s="16"/>
      <c r="S48" s="16"/>
      <c r="T48" s="41"/>
      <c r="U48" s="10"/>
      <c r="V48" s="34">
        <f>1384-1</f>
        <v>1383</v>
      </c>
      <c r="W48" s="33"/>
      <c r="X48" s="33"/>
      <c r="Y48" s="33"/>
      <c r="Z48" s="33">
        <f t="shared" si="19"/>
        <v>56795</v>
      </c>
      <c r="AA48" s="33"/>
      <c r="AB48" s="46">
        <f t="shared" si="23"/>
        <v>5.6212859625716087E-2</v>
      </c>
      <c r="AC48" s="33"/>
      <c r="AD48" s="33">
        <f t="shared" si="24"/>
        <v>1456.2820512820513</v>
      </c>
      <c r="AE48" s="50"/>
      <c r="AF48" s="33"/>
      <c r="AG48" s="33"/>
      <c r="AH48" s="33"/>
      <c r="AI48" s="50"/>
      <c r="AJ48" s="10"/>
      <c r="AK48" s="23">
        <f t="shared" si="7"/>
        <v>19024</v>
      </c>
      <c r="AL48" s="24"/>
      <c r="AM48" s="24"/>
      <c r="AN48" s="24"/>
      <c r="AO48" s="24">
        <v>137805</v>
      </c>
      <c r="AP48" s="24"/>
      <c r="AQ48" s="25">
        <f t="shared" si="8"/>
        <v>0.16016029499667456</v>
      </c>
      <c r="AR48" s="25"/>
      <c r="AS48" s="25"/>
      <c r="AT48" s="24"/>
      <c r="AU48" s="344">
        <f t="shared" si="25"/>
        <v>0.13639251907248534</v>
      </c>
      <c r="AV48" s="344"/>
      <c r="AW48" s="24">
        <f t="shared" si="26"/>
        <v>3533.4615384615386</v>
      </c>
      <c r="AX48" s="354"/>
      <c r="AY48" s="10"/>
      <c r="AZ48" s="66">
        <f t="shared" si="17"/>
        <v>202776</v>
      </c>
      <c r="BA48" s="67"/>
      <c r="BB48" s="67">
        <v>5673240</v>
      </c>
      <c r="BC48" s="67"/>
      <c r="BD48" s="67">
        <f t="shared" si="12"/>
        <v>23196</v>
      </c>
      <c r="BE48" s="67"/>
      <c r="BF48" s="157">
        <f t="shared" si="20"/>
        <v>0.11439223576754645</v>
      </c>
      <c r="BG48" s="67"/>
      <c r="BH48" s="185"/>
      <c r="BI48" s="67"/>
      <c r="BJ48" s="67"/>
      <c r="BK48" s="67"/>
      <c r="BL48" s="67"/>
      <c r="BM48" s="66">
        <f t="shared" si="21"/>
        <v>145467.69230769231</v>
      </c>
      <c r="BN48" s="67"/>
      <c r="BO48" s="67">
        <f t="shared" si="16"/>
        <v>758034</v>
      </c>
      <c r="BP48" s="67"/>
      <c r="BQ48" s="74">
        <f t="shared" si="13"/>
        <v>0.133615711656831</v>
      </c>
      <c r="BR48" s="67"/>
      <c r="BS48" s="86"/>
      <c r="BT48" s="185"/>
      <c r="BU48" s="1"/>
      <c r="BV48">
        <f t="shared" si="11"/>
        <v>39</v>
      </c>
    </row>
    <row r="49" spans="2:78" x14ac:dyDescent="0.3">
      <c r="B49" s="173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1035765</v>
      </c>
      <c r="I49" s="16"/>
      <c r="J49" s="38">
        <f t="shared" si="1"/>
        <v>2.5148561497135662E-2</v>
      </c>
      <c r="K49" s="16"/>
      <c r="L49" s="16"/>
      <c r="M49" s="16"/>
      <c r="N49" s="16">
        <f t="shared" si="22"/>
        <v>25894.125</v>
      </c>
      <c r="O49" s="41"/>
      <c r="P49" s="17"/>
      <c r="Q49" s="16"/>
      <c r="R49" s="16"/>
      <c r="S49" s="16"/>
      <c r="T49" s="41"/>
      <c r="U49" s="1"/>
      <c r="V49" s="34">
        <v>2470</v>
      </c>
      <c r="W49" s="33"/>
      <c r="X49" s="33"/>
      <c r="Y49" s="33"/>
      <c r="Z49" s="33">
        <f t="shared" si="19"/>
        <v>59265</v>
      </c>
      <c r="AA49" s="33"/>
      <c r="AB49" s="46">
        <f t="shared" si="23"/>
        <v>5.7218577573098145E-2</v>
      </c>
      <c r="AC49" s="33"/>
      <c r="AD49" s="33">
        <f t="shared" si="24"/>
        <v>1481.625</v>
      </c>
      <c r="AE49" s="50"/>
      <c r="AF49" s="33"/>
      <c r="AG49" s="33"/>
      <c r="AH49" s="33"/>
      <c r="AI49" s="50"/>
      <c r="AJ49" s="1"/>
      <c r="AK49" s="23">
        <f t="shared" si="7"/>
        <v>4146</v>
      </c>
      <c r="AL49" s="24"/>
      <c r="AM49" s="24"/>
      <c r="AN49" s="24"/>
      <c r="AO49" s="24">
        <v>141951</v>
      </c>
      <c r="AP49" s="24"/>
      <c r="AQ49" s="25">
        <f t="shared" si="8"/>
        <v>3.0085991074344183E-2</v>
      </c>
      <c r="AR49" s="25"/>
      <c r="AS49" s="25"/>
      <c r="AT49" s="24"/>
      <c r="AU49" s="344">
        <f t="shared" si="25"/>
        <v>0.13704942723494229</v>
      </c>
      <c r="AV49" s="344"/>
      <c r="AW49" s="24">
        <f t="shared" si="26"/>
        <v>3548.7750000000001</v>
      </c>
      <c r="AX49" s="354"/>
      <c r="AY49" s="1"/>
      <c r="AZ49" s="66">
        <f t="shared" si="17"/>
        <v>187926</v>
      </c>
      <c r="BA49" s="67"/>
      <c r="BB49" s="67">
        <v>5861166</v>
      </c>
      <c r="BC49" s="67"/>
      <c r="BD49" s="67">
        <f t="shared" si="12"/>
        <v>25409</v>
      </c>
      <c r="BE49" s="67"/>
      <c r="BF49" s="157">
        <f t="shared" si="20"/>
        <v>0.13520747528282409</v>
      </c>
      <c r="BG49" s="67"/>
      <c r="BH49" s="185"/>
      <c r="BI49" s="67"/>
      <c r="BJ49" s="67"/>
      <c r="BK49" s="67"/>
      <c r="BL49" s="67"/>
      <c r="BM49" s="66">
        <f t="shared" si="21"/>
        <v>146529.15</v>
      </c>
      <c r="BN49" s="67"/>
      <c r="BO49" s="67">
        <f t="shared" si="16"/>
        <v>783443</v>
      </c>
      <c r="BP49" s="67"/>
      <c r="BQ49" s="74">
        <f t="shared" si="13"/>
        <v>0.13366674822040528</v>
      </c>
      <c r="BR49" s="67"/>
      <c r="BS49" s="86"/>
      <c r="BT49" s="185"/>
      <c r="BU49" s="1"/>
      <c r="BV49">
        <f t="shared" si="11"/>
        <v>40</v>
      </c>
    </row>
    <row r="50" spans="2:78" x14ac:dyDescent="0.3">
      <c r="B50" s="173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1064194</v>
      </c>
      <c r="I50" s="16"/>
      <c r="J50" s="38">
        <f t="shared" si="1"/>
        <v>2.7447345681694206E-2</v>
      </c>
      <c r="K50" s="16"/>
      <c r="L50" s="16"/>
      <c r="M50" s="16"/>
      <c r="N50" s="16">
        <f t="shared" si="22"/>
        <v>25955.951219512193</v>
      </c>
      <c r="O50" s="41"/>
      <c r="P50" s="17"/>
      <c r="Q50" s="16"/>
      <c r="R50" s="16"/>
      <c r="S50" s="16"/>
      <c r="T50" s="41"/>
      <c r="U50" s="1"/>
      <c r="V50" s="34">
        <v>2390</v>
      </c>
      <c r="W50" s="33"/>
      <c r="X50" s="33"/>
      <c r="Y50" s="33"/>
      <c r="Z50" s="33">
        <f t="shared" si="19"/>
        <v>61655</v>
      </c>
      <c r="AA50" s="33"/>
      <c r="AB50" s="46">
        <f t="shared" si="23"/>
        <v>5.7935865077232161E-2</v>
      </c>
      <c r="AC50" s="33"/>
      <c r="AD50" s="33">
        <f t="shared" si="24"/>
        <v>1503.780487804878</v>
      </c>
      <c r="AE50" s="50"/>
      <c r="AF50" s="33"/>
      <c r="AG50" s="33"/>
      <c r="AH50" s="33"/>
      <c r="AI50" s="50"/>
      <c r="AJ50" s="1"/>
      <c r="AK50" s="23">
        <f t="shared" si="7"/>
        <v>5460</v>
      </c>
      <c r="AL50" s="24"/>
      <c r="AM50" s="24"/>
      <c r="AN50" s="24"/>
      <c r="AO50" s="24">
        <v>147411</v>
      </c>
      <c r="AP50" s="24"/>
      <c r="AQ50" s="25">
        <f t="shared" si="8"/>
        <v>3.8463977006150007E-2</v>
      </c>
      <c r="AR50" s="25"/>
      <c r="AS50" s="25"/>
      <c r="AT50" s="24"/>
      <c r="AU50" s="344">
        <f t="shared" si="25"/>
        <v>0.13851891666369101</v>
      </c>
      <c r="AV50" s="344"/>
      <c r="AW50" s="24">
        <f t="shared" si="26"/>
        <v>3595.3902439024391</v>
      </c>
      <c r="AX50" s="354"/>
      <c r="AY50" s="1"/>
      <c r="AZ50" s="66">
        <f t="shared" si="17"/>
        <v>278745</v>
      </c>
      <c r="BA50" s="67"/>
      <c r="BB50" s="67">
        <v>6139911</v>
      </c>
      <c r="BC50" s="67"/>
      <c r="BD50" s="67">
        <f t="shared" si="12"/>
        <v>28429</v>
      </c>
      <c r="BE50" s="67"/>
      <c r="BF50" s="157">
        <f t="shared" si="20"/>
        <v>0.10198927335019463</v>
      </c>
      <c r="BG50" s="67"/>
      <c r="BH50" s="185"/>
      <c r="BI50" s="67"/>
      <c r="BJ50" s="67"/>
      <c r="BK50" s="67"/>
      <c r="BL50" s="67"/>
      <c r="BM50" s="66">
        <f t="shared" si="21"/>
        <v>149753.92682926828</v>
      </c>
      <c r="BN50" s="67"/>
      <c r="BO50" s="67">
        <f t="shared" si="16"/>
        <v>811872</v>
      </c>
      <c r="BP50" s="67"/>
      <c r="BQ50" s="74">
        <f t="shared" si="13"/>
        <v>0.13222862676673977</v>
      </c>
      <c r="BR50" s="67"/>
      <c r="BS50" s="86"/>
      <c r="BT50" s="185"/>
      <c r="BU50" s="1"/>
      <c r="BV50">
        <f t="shared" si="11"/>
        <v>41</v>
      </c>
    </row>
    <row r="51" spans="2:78" x14ac:dyDescent="0.3">
      <c r="B51" s="173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1095023</v>
      </c>
      <c r="I51" s="16"/>
      <c r="J51" s="38">
        <f t="shared" si="1"/>
        <v>2.8969342056053688E-2</v>
      </c>
      <c r="K51" s="16"/>
      <c r="L51" s="16"/>
      <c r="M51" s="16"/>
      <c r="N51" s="16">
        <f t="shared" si="22"/>
        <v>26071.976190476191</v>
      </c>
      <c r="O51" s="41"/>
      <c r="P51" s="17"/>
      <c r="Q51" s="16"/>
      <c r="R51" s="16"/>
      <c r="S51" s="16"/>
      <c r="T51" s="41"/>
      <c r="U51" s="1"/>
      <c r="V51" s="34">
        <v>2201</v>
      </c>
      <c r="W51" s="33"/>
      <c r="X51" s="33"/>
      <c r="Y51" s="33"/>
      <c r="Z51" s="33">
        <f t="shared" si="19"/>
        <v>63856</v>
      </c>
      <c r="AA51" s="33"/>
      <c r="AB51" s="46">
        <f t="shared" si="23"/>
        <v>5.8314756858988348E-2</v>
      </c>
      <c r="AC51" s="33"/>
      <c r="AD51" s="33">
        <f t="shared" si="24"/>
        <v>1520.3809523809523</v>
      </c>
      <c r="AE51" s="50"/>
      <c r="AF51" s="33"/>
      <c r="AG51" s="33"/>
      <c r="AH51" s="33"/>
      <c r="AI51" s="50"/>
      <c r="AJ51" s="1"/>
      <c r="AK51" s="23">
        <f t="shared" si="7"/>
        <v>4913</v>
      </c>
      <c r="AL51" s="24"/>
      <c r="AM51" s="24"/>
      <c r="AN51" s="24"/>
      <c r="AO51" s="24">
        <v>152324</v>
      </c>
      <c r="AP51" s="24"/>
      <c r="AQ51" s="25">
        <f t="shared" si="8"/>
        <v>3.3328584705347636E-2</v>
      </c>
      <c r="AR51" s="25"/>
      <c r="AS51" s="25"/>
      <c r="AT51" s="24"/>
      <c r="AU51" s="344">
        <f t="shared" si="25"/>
        <v>0.13910575394306787</v>
      </c>
      <c r="AV51" s="344"/>
      <c r="AW51" s="24">
        <f t="shared" si="26"/>
        <v>3626.7619047619046</v>
      </c>
      <c r="AX51" s="354"/>
      <c r="AY51" s="1"/>
      <c r="AZ51" s="66">
        <f t="shared" si="17"/>
        <v>236535</v>
      </c>
      <c r="BA51" s="67"/>
      <c r="BB51" s="67">
        <v>6376446</v>
      </c>
      <c r="BC51" s="67"/>
      <c r="BD51" s="67">
        <f t="shared" si="12"/>
        <v>30829</v>
      </c>
      <c r="BE51" s="67"/>
      <c r="BF51" s="157">
        <f t="shared" si="20"/>
        <v>0.13033589109434121</v>
      </c>
      <c r="BG51" s="67"/>
      <c r="BH51" s="185"/>
      <c r="BI51" s="67"/>
      <c r="BJ51" s="67"/>
      <c r="BK51" s="67"/>
      <c r="BL51" s="67"/>
      <c r="BM51" s="66">
        <f t="shared" si="21"/>
        <v>151820.14285714287</v>
      </c>
      <c r="BN51" s="67"/>
      <c r="BO51" s="67">
        <f t="shared" si="16"/>
        <v>842701</v>
      </c>
      <c r="BP51" s="67"/>
      <c r="BQ51" s="74">
        <f t="shared" si="13"/>
        <v>0.13215841551861335</v>
      </c>
      <c r="BR51" s="67"/>
      <c r="BS51" s="86"/>
      <c r="BT51" s="185"/>
      <c r="BU51" s="1"/>
      <c r="BV51">
        <f t="shared" si="11"/>
        <v>42</v>
      </c>
    </row>
    <row r="52" spans="2:78" x14ac:dyDescent="0.3">
      <c r="B52" s="173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1131030</v>
      </c>
      <c r="I52" s="16"/>
      <c r="J52" s="38">
        <f t="shared" ref="J52:J64" si="28">+D52/H51</f>
        <v>3.2882414341981858E-2</v>
      </c>
      <c r="K52" s="16"/>
      <c r="L52" s="16"/>
      <c r="M52" s="16"/>
      <c r="N52" s="16">
        <f t="shared" si="22"/>
        <v>26303.023255813954</v>
      </c>
      <c r="O52" s="41"/>
      <c r="P52" s="17"/>
      <c r="Q52" s="16"/>
      <c r="R52" s="16"/>
      <c r="S52" s="16"/>
      <c r="T52" s="41"/>
      <c r="U52" s="1"/>
      <c r="V52" s="34">
        <v>1897</v>
      </c>
      <c r="W52" s="33"/>
      <c r="X52" s="33"/>
      <c r="Y52" s="33"/>
      <c r="Z52" s="33">
        <f t="shared" ref="Z52:Z64" si="29">+Z51+V52</f>
        <v>65753</v>
      </c>
      <c r="AA52" s="33"/>
      <c r="AB52" s="46">
        <f t="shared" si="23"/>
        <v>5.8135504805354413E-2</v>
      </c>
      <c r="AC52" s="33"/>
      <c r="AD52" s="33">
        <f t="shared" si="24"/>
        <v>1529.1395348837209</v>
      </c>
      <c r="AE52" s="50"/>
      <c r="AF52" s="33"/>
      <c r="AG52" s="33"/>
      <c r="AH52" s="33"/>
      <c r="AI52" s="50"/>
      <c r="AJ52" s="1"/>
      <c r="AK52" s="23">
        <f t="shared" ref="AK52:AK64" si="30">+AO52-AO51</f>
        <v>9239</v>
      </c>
      <c r="AL52" s="24"/>
      <c r="AM52" s="24"/>
      <c r="AN52" s="24"/>
      <c r="AO52" s="24">
        <v>161563</v>
      </c>
      <c r="AP52" s="24"/>
      <c r="AQ52" s="25">
        <f t="shared" ref="AQ52:AQ64" si="31">+AK52/AO51</f>
        <v>6.0653606785536093E-2</v>
      </c>
      <c r="AR52" s="25"/>
      <c r="AS52" s="25"/>
      <c r="AT52" s="24"/>
      <c r="AU52" s="344">
        <f t="shared" si="25"/>
        <v>0.14284590152339019</v>
      </c>
      <c r="AV52" s="344"/>
      <c r="AW52" s="24">
        <f t="shared" si="26"/>
        <v>3757.2790697674418</v>
      </c>
      <c r="AX52" s="354"/>
      <c r="AY52" s="1"/>
      <c r="AZ52" s="66">
        <f t="shared" ref="AZ52:AZ64" si="32">+BB52-BB51</f>
        <v>323432</v>
      </c>
      <c r="BA52" s="67"/>
      <c r="BB52" s="67">
        <v>6699878</v>
      </c>
      <c r="BC52" s="67"/>
      <c r="BD52" s="67">
        <f t="shared" si="12"/>
        <v>36007</v>
      </c>
      <c r="BE52" s="67"/>
      <c r="BF52" s="157">
        <f t="shared" ref="BF52:BF64" si="33">+BD52/AZ52</f>
        <v>0.11132788344999876</v>
      </c>
      <c r="BG52" s="67"/>
      <c r="BH52" s="185"/>
      <c r="BI52" s="67"/>
      <c r="BJ52" s="67"/>
      <c r="BK52" s="67"/>
      <c r="BL52" s="67"/>
      <c r="BM52" s="66">
        <f t="shared" si="21"/>
        <v>155811.11627906977</v>
      </c>
      <c r="BN52" s="67"/>
      <c r="BO52" s="67">
        <f t="shared" si="16"/>
        <v>878708</v>
      </c>
      <c r="BP52" s="67"/>
      <c r="BQ52" s="74">
        <f t="shared" si="13"/>
        <v>0.13115283591731072</v>
      </c>
      <c r="BR52" s="67"/>
      <c r="BS52" s="86"/>
      <c r="BT52" s="185"/>
      <c r="BU52" s="1"/>
      <c r="BV52">
        <f t="shared" si="11"/>
        <v>43</v>
      </c>
    </row>
    <row r="53" spans="2:78" x14ac:dyDescent="0.3">
      <c r="B53" s="173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1160774</v>
      </c>
      <c r="I53" s="16"/>
      <c r="J53" s="38">
        <f t="shared" si="28"/>
        <v>2.6298153010972301E-2</v>
      </c>
      <c r="K53" s="16"/>
      <c r="L53" s="16"/>
      <c r="M53" s="16"/>
      <c r="N53" s="16">
        <f t="shared" si="22"/>
        <v>26381.227272727272</v>
      </c>
      <c r="O53" s="41"/>
      <c r="P53" s="17"/>
      <c r="Q53" s="16"/>
      <c r="R53" s="16"/>
      <c r="S53" s="16"/>
      <c r="T53" s="41"/>
      <c r="U53" s="1"/>
      <c r="V53" s="34">
        <v>1691</v>
      </c>
      <c r="W53" s="33"/>
      <c r="X53" s="33"/>
      <c r="Y53" s="33"/>
      <c r="Z53" s="33">
        <f t="shared" si="29"/>
        <v>67444</v>
      </c>
      <c r="AA53" s="33"/>
      <c r="AB53" s="46">
        <f t="shared" si="23"/>
        <v>5.810261084414365E-2</v>
      </c>
      <c r="AC53" s="33"/>
      <c r="AD53" s="33">
        <f t="shared" si="24"/>
        <v>1532.8181818181818</v>
      </c>
      <c r="AE53" s="50"/>
      <c r="AF53" s="33"/>
      <c r="AG53" s="33"/>
      <c r="AH53" s="33"/>
      <c r="AI53" s="50"/>
      <c r="AJ53" s="1"/>
      <c r="AK53" s="23">
        <f t="shared" si="30"/>
        <v>11755</v>
      </c>
      <c r="AL53" s="24"/>
      <c r="AM53" s="24"/>
      <c r="AN53" s="24"/>
      <c r="AO53" s="24">
        <v>173318</v>
      </c>
      <c r="AP53" s="24"/>
      <c r="AQ53" s="25">
        <f t="shared" si="31"/>
        <v>7.2757995333089881E-2</v>
      </c>
      <c r="AR53" s="25"/>
      <c r="AS53" s="25"/>
      <c r="AT53" s="24"/>
      <c r="AU53" s="344">
        <f t="shared" si="25"/>
        <v>0.14931244152608519</v>
      </c>
      <c r="AV53" s="344"/>
      <c r="AW53" s="24">
        <f t="shared" si="26"/>
        <v>3939.0454545454545</v>
      </c>
      <c r="AX53" s="354"/>
      <c r="AY53" s="1"/>
      <c r="AZ53" s="66">
        <f t="shared" si="32"/>
        <v>231254</v>
      </c>
      <c r="BA53" s="67"/>
      <c r="BB53" s="67">
        <v>6931132</v>
      </c>
      <c r="BC53" s="67"/>
      <c r="BD53" s="67">
        <f t="shared" si="12"/>
        <v>29744</v>
      </c>
      <c r="BE53" s="67"/>
      <c r="BF53" s="157">
        <f t="shared" si="33"/>
        <v>0.12862047791605766</v>
      </c>
      <c r="BG53" s="67"/>
      <c r="BH53" s="185"/>
      <c r="BI53" s="67"/>
      <c r="BJ53" s="67"/>
      <c r="BK53" s="67"/>
      <c r="BL53" s="67"/>
      <c r="BM53" s="66">
        <f t="shared" si="21"/>
        <v>157525.72727272726</v>
      </c>
      <c r="BN53" s="67"/>
      <c r="BO53" s="67">
        <f t="shared" si="16"/>
        <v>908452</v>
      </c>
      <c r="BP53" s="67"/>
      <c r="BQ53" s="74">
        <f t="shared" si="13"/>
        <v>0.13106834496875835</v>
      </c>
      <c r="BR53" s="67"/>
      <c r="BS53" s="86"/>
      <c r="BT53" s="185"/>
      <c r="BU53" s="1"/>
      <c r="BV53">
        <f t="shared" si="11"/>
        <v>44</v>
      </c>
    </row>
    <row r="54" spans="2:78" x14ac:dyDescent="0.3">
      <c r="B54" s="393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1188122</v>
      </c>
      <c r="I54" s="16"/>
      <c r="J54" s="38">
        <f t="shared" si="28"/>
        <v>2.356014176747584E-2</v>
      </c>
      <c r="K54" s="16"/>
      <c r="L54" s="16"/>
      <c r="M54" s="16"/>
      <c r="N54" s="16">
        <f t="shared" si="22"/>
        <v>26402.711111111112</v>
      </c>
      <c r="O54" s="41"/>
      <c r="P54" s="17">
        <f>SUM(D48:D54)</f>
        <v>200962</v>
      </c>
      <c r="Q54" s="16"/>
      <c r="R54" s="60">
        <f>+(P54-P47)/P47</f>
        <v>-7.4121170237272521E-2</v>
      </c>
      <c r="S54" s="16"/>
      <c r="T54" s="41"/>
      <c r="U54" s="394"/>
      <c r="V54" s="34">
        <v>1153</v>
      </c>
      <c r="W54" s="33"/>
      <c r="X54" s="33"/>
      <c r="Y54" s="33"/>
      <c r="Z54" s="33">
        <f t="shared" si="29"/>
        <v>68597</v>
      </c>
      <c r="AA54" s="33"/>
      <c r="AB54" s="46">
        <f t="shared" si="23"/>
        <v>5.7735653409330019E-2</v>
      </c>
      <c r="AC54" s="33"/>
      <c r="AD54" s="33">
        <f t="shared" si="24"/>
        <v>1524.3777777777777</v>
      </c>
      <c r="AE54" s="50"/>
      <c r="AF54" s="33">
        <f>SUM(V48:V54)</f>
        <v>13185</v>
      </c>
      <c r="AG54" s="33"/>
      <c r="AH54" s="233">
        <f>+(AF54-AF47)/AF47</f>
        <v>-9.1378953897043619E-2</v>
      </c>
      <c r="AI54" s="50"/>
      <c r="AJ54" s="394"/>
      <c r="AK54" s="23">
        <f t="shared" si="30"/>
        <v>4945</v>
      </c>
      <c r="AL54" s="24"/>
      <c r="AM54" s="24"/>
      <c r="AN54" s="24">
        <v>178263</v>
      </c>
      <c r="AO54" s="24">
        <v>178263</v>
      </c>
      <c r="AP54" s="24"/>
      <c r="AQ54" s="25">
        <f t="shared" si="31"/>
        <v>2.8531370082738088E-2</v>
      </c>
      <c r="AR54" s="25"/>
      <c r="AS54" s="25"/>
      <c r="AT54" s="24"/>
      <c r="AU54" s="344">
        <f t="shared" si="25"/>
        <v>0.15003762239904656</v>
      </c>
      <c r="AV54" s="344"/>
      <c r="AW54" s="24">
        <f t="shared" si="26"/>
        <v>3961.4</v>
      </c>
      <c r="AX54" s="354"/>
      <c r="AY54" s="394"/>
      <c r="AZ54" s="66">
        <f t="shared" si="32"/>
        <v>265608</v>
      </c>
      <c r="BA54" s="67"/>
      <c r="BB54" s="67">
        <v>7196740</v>
      </c>
      <c r="BC54" s="67"/>
      <c r="BD54" s="67">
        <f t="shared" si="12"/>
        <v>27348</v>
      </c>
      <c r="BE54" s="67"/>
      <c r="BF54" s="157">
        <f t="shared" si="33"/>
        <v>0.10296376615162194</v>
      </c>
      <c r="BG54" s="67"/>
      <c r="BH54" s="185"/>
      <c r="BI54" s="67"/>
      <c r="BJ54" s="67">
        <f>SUM(AZ48:AZ54)</f>
        <v>1726276</v>
      </c>
      <c r="BK54" s="67"/>
      <c r="BL54" s="157">
        <f>+P54/BJ54</f>
        <v>0.11641359782560842</v>
      </c>
      <c r="BM54" s="66">
        <f t="shared" si="21"/>
        <v>159927.55555555556</v>
      </c>
      <c r="BN54" s="67"/>
      <c r="BO54" s="67">
        <f t="shared" si="16"/>
        <v>935800</v>
      </c>
      <c r="BP54" s="67"/>
      <c r="BQ54" s="74">
        <f t="shared" si="13"/>
        <v>0.13003109741355112</v>
      </c>
      <c r="BR54" s="67"/>
      <c r="BS54" s="86"/>
      <c r="BT54" s="185"/>
      <c r="BU54" s="1"/>
      <c r="BV54">
        <f t="shared" si="11"/>
        <v>45</v>
      </c>
    </row>
    <row r="55" spans="2:78" x14ac:dyDescent="0.3">
      <c r="B55" s="173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1212835</v>
      </c>
      <c r="I55" s="16"/>
      <c r="J55" s="38">
        <f t="shared" si="28"/>
        <v>2.0800052519859072E-2</v>
      </c>
      <c r="K55" s="16"/>
      <c r="L55" s="16"/>
      <c r="M55" s="16"/>
      <c r="N55" s="16">
        <f t="shared" si="22"/>
        <v>26365.978260869564</v>
      </c>
      <c r="O55" s="41"/>
      <c r="P55" s="17"/>
      <c r="Q55" s="16"/>
      <c r="R55" s="16"/>
      <c r="S55" s="16"/>
      <c r="T55" s="41"/>
      <c r="U55" s="10"/>
      <c r="V55" s="34">
        <v>1324</v>
      </c>
      <c r="W55" s="33"/>
      <c r="X55" s="33"/>
      <c r="Y55" s="33"/>
      <c r="Z55" s="33">
        <f t="shared" si="29"/>
        <v>69921</v>
      </c>
      <c r="AA55" s="33"/>
      <c r="AB55" s="46">
        <f t="shared" si="23"/>
        <v>5.7650875840489432E-2</v>
      </c>
      <c r="AC55" s="33"/>
      <c r="AD55" s="33">
        <f t="shared" si="24"/>
        <v>1520.0217391304348</v>
      </c>
      <c r="AE55" s="50"/>
      <c r="AF55" s="33"/>
      <c r="AG55" s="33"/>
      <c r="AH55" s="33"/>
      <c r="AI55" s="50"/>
      <c r="AJ55" s="10"/>
      <c r="AK55" s="23">
        <f t="shared" si="30"/>
        <v>9764</v>
      </c>
      <c r="AL55" s="24"/>
      <c r="AM55" s="24"/>
      <c r="AN55" s="24">
        <v>178263</v>
      </c>
      <c r="AO55" s="24">
        <v>188027</v>
      </c>
      <c r="AP55" s="24"/>
      <c r="AQ55" s="25">
        <f t="shared" si="31"/>
        <v>5.4773003932392025E-2</v>
      </c>
      <c r="AR55" s="25"/>
      <c r="AS55" s="25"/>
      <c r="AT55" s="24"/>
      <c r="AU55" s="344">
        <f t="shared" si="25"/>
        <v>0.15503098113098648</v>
      </c>
      <c r="AV55" s="344"/>
      <c r="AW55" s="24">
        <f t="shared" si="26"/>
        <v>4087.5434782608695</v>
      </c>
      <c r="AX55" s="354"/>
      <c r="AY55" s="10"/>
      <c r="AZ55" s="66">
        <f t="shared" si="32"/>
        <v>265691</v>
      </c>
      <c r="BA55" s="67"/>
      <c r="BB55" s="67">
        <v>7462431</v>
      </c>
      <c r="BC55" s="67"/>
      <c r="BD55" s="67">
        <f t="shared" si="12"/>
        <v>24713</v>
      </c>
      <c r="BE55" s="67"/>
      <c r="BF55" s="157">
        <f t="shared" si="33"/>
        <v>9.3014065211091082E-2</v>
      </c>
      <c r="BG55" s="67"/>
      <c r="BH55" s="185"/>
      <c r="BI55" s="67"/>
      <c r="BJ55" s="67"/>
      <c r="BK55" s="67"/>
      <c r="BL55" s="67"/>
      <c r="BM55" s="66">
        <f t="shared" si="21"/>
        <v>162226.76086956522</v>
      </c>
      <c r="BN55" s="67"/>
      <c r="BO55" s="67">
        <f t="shared" si="16"/>
        <v>960513</v>
      </c>
      <c r="BP55" s="67"/>
      <c r="BQ55" s="74">
        <f t="shared" si="13"/>
        <v>0.12871314991053184</v>
      </c>
      <c r="BR55" s="67"/>
      <c r="BS55" s="86"/>
      <c r="BT55" s="185"/>
      <c r="BU55" s="1"/>
      <c r="BV55">
        <f t="shared" si="11"/>
        <v>46</v>
      </c>
    </row>
    <row r="56" spans="2:78" x14ac:dyDescent="0.3">
      <c r="B56" s="173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1237633</v>
      </c>
      <c r="I56" s="16"/>
      <c r="J56" s="38">
        <f t="shared" si="28"/>
        <v>2.0446309679387549E-2</v>
      </c>
      <c r="K56" s="16"/>
      <c r="L56" s="16"/>
      <c r="M56" s="16"/>
      <c r="N56" s="16">
        <f t="shared" si="22"/>
        <v>26332.617021276597</v>
      </c>
      <c r="O56" s="41"/>
      <c r="P56" s="17"/>
      <c r="Q56" s="16"/>
      <c r="R56" s="16"/>
      <c r="S56" s="16"/>
      <c r="T56" s="41"/>
      <c r="U56" s="1"/>
      <c r="V56" s="34">
        <v>2350</v>
      </c>
      <c r="W56" s="33"/>
      <c r="X56" s="33"/>
      <c r="Y56" s="33"/>
      <c r="Z56" s="33">
        <f t="shared" si="29"/>
        <v>72271</v>
      </c>
      <c r="AA56" s="33"/>
      <c r="AB56" s="46">
        <f t="shared" si="23"/>
        <v>5.839453214321208E-2</v>
      </c>
      <c r="AC56" s="33"/>
      <c r="AD56" s="33">
        <f t="shared" si="24"/>
        <v>1537.6808510638298</v>
      </c>
      <c r="AE56" s="50"/>
      <c r="AF56" s="33"/>
      <c r="AG56" s="33"/>
      <c r="AH56" s="33"/>
      <c r="AI56" s="50"/>
      <c r="AJ56" s="1"/>
      <c r="AK56" s="23">
        <f t="shared" si="30"/>
        <v>12599</v>
      </c>
      <c r="AL56" s="24"/>
      <c r="AM56" s="24"/>
      <c r="AN56" s="24">
        <v>178263</v>
      </c>
      <c r="AO56" s="24">
        <v>200626</v>
      </c>
      <c r="AP56" s="24"/>
      <c r="AQ56" s="25">
        <f t="shared" si="31"/>
        <v>6.7006334196684517E-2</v>
      </c>
      <c r="AR56" s="25"/>
      <c r="AS56" s="25"/>
      <c r="AT56" s="24"/>
      <c r="AU56" s="344">
        <f t="shared" si="25"/>
        <v>0.16210459805128014</v>
      </c>
      <c r="AV56" s="344"/>
      <c r="AW56" s="24">
        <f t="shared" si="26"/>
        <v>4268.6382978723404</v>
      </c>
      <c r="AX56" s="354"/>
      <c r="AY56" s="1"/>
      <c r="AZ56" s="66">
        <f t="shared" si="32"/>
        <v>265380</v>
      </c>
      <c r="BA56" s="67"/>
      <c r="BB56" s="67">
        <v>7727811</v>
      </c>
      <c r="BC56" s="67"/>
      <c r="BD56" s="67">
        <f t="shared" si="12"/>
        <v>24798</v>
      </c>
      <c r="BE56" s="67"/>
      <c r="BF56" s="157">
        <f t="shared" si="33"/>
        <v>9.344336423242143E-2</v>
      </c>
      <c r="BG56" s="67"/>
      <c r="BH56" s="185"/>
      <c r="BI56" s="67"/>
      <c r="BJ56" s="67"/>
      <c r="BK56" s="67"/>
      <c r="BL56" s="67"/>
      <c r="BM56" s="66">
        <f t="shared" si="21"/>
        <v>164421.51063829788</v>
      </c>
      <c r="BN56" s="67"/>
      <c r="BO56" s="67">
        <f t="shared" si="16"/>
        <v>985311</v>
      </c>
      <c r="BP56" s="67"/>
      <c r="BQ56" s="74">
        <f t="shared" si="13"/>
        <v>0.12750195365802813</v>
      </c>
      <c r="BR56" s="67"/>
      <c r="BS56" s="86"/>
      <c r="BT56" s="185"/>
      <c r="BU56" s="1"/>
      <c r="BV56">
        <f t="shared" si="11"/>
        <v>47</v>
      </c>
    </row>
    <row r="57" spans="2:78" x14ac:dyDescent="0.3">
      <c r="B57" s="173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1263092</v>
      </c>
      <c r="I57" s="16"/>
      <c r="J57" s="38">
        <f t="shared" si="28"/>
        <v>2.0570718460157414E-2</v>
      </c>
      <c r="K57" s="16"/>
      <c r="L57" s="16"/>
      <c r="M57" s="16"/>
      <c r="N57" s="16">
        <f t="shared" si="22"/>
        <v>26314.416666666668</v>
      </c>
      <c r="O57" s="41"/>
      <c r="P57" s="17"/>
      <c r="Q57" s="16"/>
      <c r="R57" s="16"/>
      <c r="S57" s="16"/>
      <c r="T57" s="41"/>
      <c r="U57" s="1"/>
      <c r="V57" s="34">
        <v>2528</v>
      </c>
      <c r="W57" s="33"/>
      <c r="X57" s="33"/>
      <c r="Y57" s="33"/>
      <c r="Z57" s="33">
        <f t="shared" si="29"/>
        <v>74799</v>
      </c>
      <c r="AA57" s="33"/>
      <c r="AB57" s="46">
        <f t="shared" si="23"/>
        <v>5.921896425596869E-2</v>
      </c>
      <c r="AC57" s="33"/>
      <c r="AD57" s="33">
        <f t="shared" si="24"/>
        <v>1558.3125</v>
      </c>
      <c r="AE57" s="50"/>
      <c r="AF57" s="33"/>
      <c r="AG57" s="33"/>
      <c r="AH57" s="33"/>
      <c r="AI57" s="50"/>
      <c r="AJ57" s="1"/>
      <c r="AK57" s="23">
        <f t="shared" si="30"/>
        <v>5682</v>
      </c>
      <c r="AL57" s="24"/>
      <c r="AM57" s="24"/>
      <c r="AN57" s="24">
        <v>178263</v>
      </c>
      <c r="AO57" s="24">
        <v>206308</v>
      </c>
      <c r="AP57" s="24"/>
      <c r="AQ57" s="25">
        <f t="shared" si="31"/>
        <v>2.8321354161474584E-2</v>
      </c>
      <c r="AR57" s="25"/>
      <c r="AS57" s="25"/>
      <c r="AT57" s="24"/>
      <c r="AU57" s="344">
        <f t="shared" si="25"/>
        <v>0.16333568734502316</v>
      </c>
      <c r="AV57" s="344"/>
      <c r="AW57" s="24">
        <f t="shared" si="26"/>
        <v>4298.083333333333</v>
      </c>
      <c r="AX57" s="354"/>
      <c r="AY57" s="1"/>
      <c r="AZ57" s="66">
        <f t="shared" si="32"/>
        <v>244534</v>
      </c>
      <c r="BA57" s="67"/>
      <c r="BB57" s="67">
        <v>7972345</v>
      </c>
      <c r="BC57" s="67"/>
      <c r="BD57" s="67">
        <f t="shared" si="12"/>
        <v>25459</v>
      </c>
      <c r="BE57" s="67"/>
      <c r="BF57" s="157">
        <f t="shared" si="33"/>
        <v>0.10411231158039373</v>
      </c>
      <c r="BG57" s="67"/>
      <c r="BH57" s="185"/>
      <c r="BI57" s="67"/>
      <c r="BJ57" s="67"/>
      <c r="BK57" s="67"/>
      <c r="BL57" s="67"/>
      <c r="BM57" s="66">
        <f t="shared" si="21"/>
        <v>166090.52083333334</v>
      </c>
      <c r="BN57" s="67"/>
      <c r="BO57" s="67">
        <f t="shared" si="16"/>
        <v>1010770</v>
      </c>
      <c r="BP57" s="67"/>
      <c r="BQ57" s="74">
        <f t="shared" si="13"/>
        <v>0.12678452826615005</v>
      </c>
      <c r="BR57" s="67"/>
      <c r="BS57" s="86"/>
      <c r="BT57" s="185"/>
      <c r="BU57" s="1"/>
      <c r="BV57">
        <f t="shared" si="11"/>
        <v>48</v>
      </c>
    </row>
    <row r="58" spans="2:78" x14ac:dyDescent="0.3">
      <c r="B58" s="173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1292623</v>
      </c>
      <c r="I58" s="16"/>
      <c r="J58" s="38">
        <f t="shared" si="28"/>
        <v>2.3379927986243283E-2</v>
      </c>
      <c r="K58" s="16"/>
      <c r="L58" s="16"/>
      <c r="M58" s="16"/>
      <c r="N58" s="16">
        <f t="shared" si="22"/>
        <v>26380.061224489797</v>
      </c>
      <c r="O58" s="41"/>
      <c r="P58" s="17"/>
      <c r="Q58" s="16"/>
      <c r="R58" s="16"/>
      <c r="S58" s="16"/>
      <c r="T58" s="41"/>
      <c r="U58" s="1"/>
      <c r="V58" s="34">
        <v>2129</v>
      </c>
      <c r="W58" s="33"/>
      <c r="X58" s="33"/>
      <c r="Y58" s="33"/>
      <c r="Z58" s="33">
        <f t="shared" si="29"/>
        <v>76928</v>
      </c>
      <c r="AA58" s="33"/>
      <c r="AB58" s="46">
        <f t="shared" si="23"/>
        <v>5.9513098560059659E-2</v>
      </c>
      <c r="AC58" s="33"/>
      <c r="AD58" s="33">
        <f t="shared" si="24"/>
        <v>1569.9591836734694</v>
      </c>
      <c r="AE58" s="50"/>
      <c r="AF58" s="33"/>
      <c r="AG58" s="33"/>
      <c r="AH58" s="33"/>
      <c r="AI58" s="50"/>
      <c r="AJ58" s="1"/>
      <c r="AK58" s="23">
        <f t="shared" si="30"/>
        <v>10942</v>
      </c>
      <c r="AL58" s="24"/>
      <c r="AM58" s="24"/>
      <c r="AN58" s="24">
        <v>178263</v>
      </c>
      <c r="AO58" s="24">
        <v>217250</v>
      </c>
      <c r="AP58" s="24"/>
      <c r="AQ58" s="25">
        <f t="shared" si="31"/>
        <v>5.3037206506776277E-2</v>
      </c>
      <c r="AR58" s="25"/>
      <c r="AS58" s="25"/>
      <c r="AT58" s="24"/>
      <c r="AU58" s="344">
        <f t="shared" si="25"/>
        <v>0.16806911218506865</v>
      </c>
      <c r="AV58" s="344"/>
      <c r="AW58" s="24">
        <f t="shared" si="26"/>
        <v>4433.6734693877552</v>
      </c>
      <c r="AX58" s="354"/>
      <c r="AY58" s="1"/>
      <c r="AZ58" s="66">
        <f t="shared" si="32"/>
        <v>325217</v>
      </c>
      <c r="BA58" s="67"/>
      <c r="BB58" s="67">
        <v>8297562</v>
      </c>
      <c r="BC58" s="67"/>
      <c r="BD58" s="67">
        <f t="shared" si="12"/>
        <v>29531</v>
      </c>
      <c r="BE58" s="67"/>
      <c r="BF58" s="157">
        <f t="shared" si="33"/>
        <v>9.0803986261480799E-2</v>
      </c>
      <c r="BG58" s="67"/>
      <c r="BH58" s="185"/>
      <c r="BI58" s="67"/>
      <c r="BJ58" s="67"/>
      <c r="BK58" s="67"/>
      <c r="BL58" s="67"/>
      <c r="BM58" s="66">
        <f t="shared" si="21"/>
        <v>169338</v>
      </c>
      <c r="BN58" s="67"/>
      <c r="BO58" s="67">
        <f t="shared" si="16"/>
        <v>1040301</v>
      </c>
      <c r="BP58" s="67"/>
      <c r="BQ58" s="74">
        <f t="shared" si="13"/>
        <v>0.12537429669100394</v>
      </c>
      <c r="BR58" s="67"/>
      <c r="BS58" s="86"/>
      <c r="BT58" s="185"/>
      <c r="BU58" s="1"/>
      <c r="BV58">
        <f t="shared" si="11"/>
        <v>49</v>
      </c>
      <c r="BX58" s="1"/>
      <c r="BZ58" s="1"/>
    </row>
    <row r="59" spans="2:78" x14ac:dyDescent="0.3">
      <c r="B59" s="173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1321785</v>
      </c>
      <c r="I59" s="16"/>
      <c r="J59" s="38">
        <f t="shared" si="28"/>
        <v>2.256032888166155E-2</v>
      </c>
      <c r="K59" s="16"/>
      <c r="L59" s="16"/>
      <c r="M59" s="16"/>
      <c r="N59" s="16">
        <f t="shared" si="22"/>
        <v>26435.7</v>
      </c>
      <c r="O59" s="41"/>
      <c r="P59" s="17"/>
      <c r="Q59" s="16"/>
      <c r="R59" s="16"/>
      <c r="S59" s="16"/>
      <c r="T59" s="41"/>
      <c r="U59" s="1"/>
      <c r="V59" s="34">
        <v>1687</v>
      </c>
      <c r="W59" s="33"/>
      <c r="X59" s="33"/>
      <c r="Y59" s="33"/>
      <c r="Z59" s="33">
        <f t="shared" si="29"/>
        <v>78615</v>
      </c>
      <c r="AA59" s="33"/>
      <c r="AB59" s="46">
        <f t="shared" si="23"/>
        <v>5.9476389881864294E-2</v>
      </c>
      <c r="AC59" s="33"/>
      <c r="AD59" s="33">
        <f t="shared" si="24"/>
        <v>1572.3</v>
      </c>
      <c r="AE59" s="50"/>
      <c r="AF59" s="33"/>
      <c r="AG59" s="33"/>
      <c r="AH59" s="33"/>
      <c r="AI59" s="50"/>
      <c r="AJ59" s="1"/>
      <c r="AK59" s="23">
        <f t="shared" si="30"/>
        <v>6110</v>
      </c>
      <c r="AL59" s="24"/>
      <c r="AM59" s="24"/>
      <c r="AN59" s="24">
        <v>178263</v>
      </c>
      <c r="AO59" s="24">
        <v>223360</v>
      </c>
      <c r="AP59" s="24"/>
      <c r="AQ59" s="25">
        <f t="shared" si="31"/>
        <v>2.8124280782508632E-2</v>
      </c>
      <c r="AR59" s="25"/>
      <c r="AS59" s="25"/>
      <c r="AT59" s="24"/>
      <c r="AU59" s="344">
        <f t="shared" si="25"/>
        <v>0.16898360928592773</v>
      </c>
      <c r="AV59" s="344"/>
      <c r="AW59" s="24">
        <f t="shared" si="26"/>
        <v>4467.2</v>
      </c>
      <c r="AX59" s="354"/>
      <c r="AY59" s="1"/>
      <c r="AZ59" s="66">
        <f t="shared" si="32"/>
        <v>338873</v>
      </c>
      <c r="BA59" s="67"/>
      <c r="BB59" s="67">
        <v>8636435</v>
      </c>
      <c r="BC59" s="67"/>
      <c r="BD59" s="67">
        <f t="shared" si="12"/>
        <v>29162</v>
      </c>
      <c r="BE59" s="67"/>
      <c r="BF59" s="157">
        <f t="shared" si="33"/>
        <v>8.6055838027815731E-2</v>
      </c>
      <c r="BG59" s="67"/>
      <c r="BH59" s="185"/>
      <c r="BI59" s="67"/>
      <c r="BJ59" s="67"/>
      <c r="BK59" s="67"/>
      <c r="BL59" s="67"/>
      <c r="BM59" s="66">
        <f t="shared" si="21"/>
        <v>172728.7</v>
      </c>
      <c r="BN59" s="67"/>
      <c r="BO59" s="67">
        <f t="shared" si="16"/>
        <v>1069463</v>
      </c>
      <c r="BP59" s="67"/>
      <c r="BQ59" s="74">
        <f t="shared" si="13"/>
        <v>0.12383153465521364</v>
      </c>
      <c r="BR59" s="67"/>
      <c r="BS59" s="86"/>
      <c r="BT59" s="185"/>
      <c r="BU59" s="1"/>
      <c r="BV59">
        <f t="shared" si="11"/>
        <v>50</v>
      </c>
    </row>
    <row r="60" spans="2:78" x14ac:dyDescent="0.3">
      <c r="B60" s="173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1347309</v>
      </c>
      <c r="I60" s="16"/>
      <c r="J60" s="38">
        <f t="shared" si="28"/>
        <v>1.9310250910700304E-2</v>
      </c>
      <c r="K60" s="16"/>
      <c r="L60" s="16"/>
      <c r="M60" s="16"/>
      <c r="N60" s="16">
        <f t="shared" si="22"/>
        <v>26417.823529411766</v>
      </c>
      <c r="O60" s="41"/>
      <c r="P60" s="17"/>
      <c r="Q60" s="16"/>
      <c r="R60" s="16"/>
      <c r="S60" s="16"/>
      <c r="T60" s="41"/>
      <c r="U60" s="1"/>
      <c r="V60" s="34">
        <v>1422</v>
      </c>
      <c r="W60" s="33"/>
      <c r="X60" s="33"/>
      <c r="Y60" s="33"/>
      <c r="Z60" s="33">
        <f t="shared" si="29"/>
        <v>80037</v>
      </c>
      <c r="AA60" s="33"/>
      <c r="AB60" s="46">
        <f t="shared" si="23"/>
        <v>5.9405080794383468E-2</v>
      </c>
      <c r="AC60" s="33"/>
      <c r="AD60" s="33">
        <f t="shared" si="24"/>
        <v>1569.3529411764705</v>
      </c>
      <c r="AE60" s="50"/>
      <c r="AF60" s="33"/>
      <c r="AG60" s="33"/>
      <c r="AH60" s="33"/>
      <c r="AI60" s="50"/>
      <c r="AJ60" s="1"/>
      <c r="AK60" s="23">
        <f t="shared" si="30"/>
        <v>14718</v>
      </c>
      <c r="AL60" s="24"/>
      <c r="AM60" s="24"/>
      <c r="AN60" s="24">
        <v>178263</v>
      </c>
      <c r="AO60" s="24">
        <v>238078</v>
      </c>
      <c r="AP60" s="24"/>
      <c r="AQ60" s="25">
        <f t="shared" si="31"/>
        <v>6.5893624641833806E-2</v>
      </c>
      <c r="AR60" s="25"/>
      <c r="AS60" s="25"/>
      <c r="AT60" s="24"/>
      <c r="AU60" s="344">
        <f t="shared" si="25"/>
        <v>0.17670630864931505</v>
      </c>
      <c r="AV60" s="344"/>
      <c r="AW60" s="24">
        <f t="shared" si="26"/>
        <v>4668.1960784313724</v>
      </c>
      <c r="AX60" s="354"/>
      <c r="AY60" s="1"/>
      <c r="AZ60" s="66">
        <f t="shared" si="32"/>
        <v>281828</v>
      </c>
      <c r="BA60" s="67"/>
      <c r="BB60" s="67">
        <v>8918263</v>
      </c>
      <c r="BC60" s="67"/>
      <c r="BD60" s="67">
        <f t="shared" si="12"/>
        <v>25524</v>
      </c>
      <c r="BE60" s="67"/>
      <c r="BF60" s="157">
        <f t="shared" si="33"/>
        <v>9.0565877059766944E-2</v>
      </c>
      <c r="BG60" s="67"/>
      <c r="BH60" s="185"/>
      <c r="BI60" s="67"/>
      <c r="BJ60" s="67"/>
      <c r="BK60" s="67"/>
      <c r="BL60" s="67"/>
      <c r="BM60" s="66">
        <f t="shared" si="21"/>
        <v>174867.90196078431</v>
      </c>
      <c r="BN60" s="67"/>
      <c r="BO60" s="67">
        <f t="shared" si="16"/>
        <v>1094987</v>
      </c>
      <c r="BP60" s="67"/>
      <c r="BQ60" s="74">
        <f t="shared" si="13"/>
        <v>0.12278029925782633</v>
      </c>
      <c r="BR60" s="67"/>
      <c r="BS60" s="86"/>
      <c r="BT60" s="185"/>
      <c r="BU60" s="1"/>
      <c r="BV60">
        <f t="shared" si="11"/>
        <v>51</v>
      </c>
    </row>
    <row r="61" spans="2:78" x14ac:dyDescent="0.3">
      <c r="B61" s="393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1367638</v>
      </c>
      <c r="I61" s="16"/>
      <c r="J61" s="38">
        <f t="shared" si="28"/>
        <v>1.508859511812064E-2</v>
      </c>
      <c r="K61" s="16"/>
      <c r="L61" s="16"/>
      <c r="M61" s="16"/>
      <c r="N61" s="16">
        <f t="shared" si="22"/>
        <v>26300.73076923077</v>
      </c>
      <c r="O61" s="41"/>
      <c r="P61" s="17">
        <f>SUM(D55:D61)</f>
        <v>179516</v>
      </c>
      <c r="Q61" s="16"/>
      <c r="R61" s="60">
        <f>+(P61-P54)/P54</f>
        <v>-0.10671669270807416</v>
      </c>
      <c r="S61" s="16"/>
      <c r="T61" s="41"/>
      <c r="U61" s="394"/>
      <c r="V61" s="34">
        <v>750</v>
      </c>
      <c r="W61" s="33"/>
      <c r="X61" s="33"/>
      <c r="Y61" s="33"/>
      <c r="Z61" s="33">
        <f t="shared" si="29"/>
        <v>80787</v>
      </c>
      <c r="AA61" s="33"/>
      <c r="AB61" s="46">
        <f t="shared" si="23"/>
        <v>5.9070455778502791E-2</v>
      </c>
      <c r="AC61" s="33"/>
      <c r="AD61" s="33">
        <f t="shared" si="24"/>
        <v>1553.5961538461538</v>
      </c>
      <c r="AE61" s="50"/>
      <c r="AF61" s="33">
        <f>SUM(V55:V61)</f>
        <v>12190</v>
      </c>
      <c r="AG61" s="33"/>
      <c r="AH61" s="233">
        <f>+(AF61-AF54)/AF54</f>
        <v>-7.5464543041334847E-2</v>
      </c>
      <c r="AI61" s="50"/>
      <c r="AJ61" s="394"/>
      <c r="AK61" s="23">
        <f t="shared" si="30"/>
        <v>18258</v>
      </c>
      <c r="AL61" s="24"/>
      <c r="AM61" s="24"/>
      <c r="AN61" s="24">
        <v>178263</v>
      </c>
      <c r="AO61" s="24">
        <v>256336</v>
      </c>
      <c r="AP61" s="24"/>
      <c r="AQ61" s="25">
        <f t="shared" si="31"/>
        <v>7.6689152294626126E-2</v>
      </c>
      <c r="AR61" s="25"/>
      <c r="AS61" s="25"/>
      <c r="AT61" s="24"/>
      <c r="AU61" s="344">
        <f t="shared" si="25"/>
        <v>0.18742971458821706</v>
      </c>
      <c r="AV61" s="344"/>
      <c r="AW61" s="24">
        <f t="shared" si="26"/>
        <v>4929.5384615384619</v>
      </c>
      <c r="AX61" s="354"/>
      <c r="AY61" s="394"/>
      <c r="AZ61" s="66">
        <f t="shared" si="32"/>
        <v>526262</v>
      </c>
      <c r="BA61" s="67"/>
      <c r="BB61" s="67">
        <v>9444525</v>
      </c>
      <c r="BC61" s="67"/>
      <c r="BD61" s="67">
        <f t="shared" si="12"/>
        <v>20329</v>
      </c>
      <c r="BE61" s="67"/>
      <c r="BF61" s="157">
        <f t="shared" si="33"/>
        <v>3.8629047888694222E-2</v>
      </c>
      <c r="BG61" s="67"/>
      <c r="BH61" s="185"/>
      <c r="BI61" s="67"/>
      <c r="BJ61" s="67">
        <f>SUM(AZ55:AZ61)</f>
        <v>2247785</v>
      </c>
      <c r="BK61" s="67"/>
      <c r="BL61" s="157">
        <f>+P61/BJ61</f>
        <v>7.9863510077698707E-2</v>
      </c>
      <c r="BM61" s="66">
        <f t="shared" si="21"/>
        <v>181625.48076923078</v>
      </c>
      <c r="BN61" s="67"/>
      <c r="BO61" s="67">
        <f t="shared" si="16"/>
        <v>1115316</v>
      </c>
      <c r="BP61" s="67"/>
      <c r="BQ61" s="74">
        <f t="shared" si="13"/>
        <v>0.11809127510383</v>
      </c>
      <c r="BR61" s="67"/>
      <c r="BS61" s="86"/>
      <c r="BT61" s="185"/>
      <c r="BU61" s="1"/>
      <c r="BV61">
        <f t="shared" si="11"/>
        <v>52</v>
      </c>
    </row>
    <row r="62" spans="2:78" x14ac:dyDescent="0.3">
      <c r="B62" s="173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1385834</v>
      </c>
      <c r="I62" s="16"/>
      <c r="J62" s="38">
        <f t="shared" si="28"/>
        <v>1.3304690276228066E-2</v>
      </c>
      <c r="K62" s="16"/>
      <c r="L62" s="16"/>
      <c r="M62" s="16"/>
      <c r="N62" s="16">
        <f t="shared" si="22"/>
        <v>26147.811320754718</v>
      </c>
      <c r="O62" s="41"/>
      <c r="P62" s="17"/>
      <c r="Q62" s="16"/>
      <c r="R62" s="16"/>
      <c r="S62" s="16"/>
      <c r="T62" s="41"/>
      <c r="U62" s="10"/>
      <c r="V62" s="34">
        <v>1060</v>
      </c>
      <c r="W62" s="33"/>
      <c r="X62" s="33"/>
      <c r="Y62" s="33"/>
      <c r="Z62" s="33">
        <f t="shared" si="29"/>
        <v>81847</v>
      </c>
      <c r="AA62" s="33"/>
      <c r="AB62" s="46">
        <f t="shared" si="23"/>
        <v>5.9059743086112768E-2</v>
      </c>
      <c r="AC62" s="33"/>
      <c r="AD62" s="33">
        <f t="shared" si="24"/>
        <v>1544.2830188679245</v>
      </c>
      <c r="AE62" s="50"/>
      <c r="AF62" s="33"/>
      <c r="AG62" s="33"/>
      <c r="AH62" s="33"/>
      <c r="AI62" s="50"/>
      <c r="AJ62" s="10"/>
      <c r="AK62" s="23">
        <f t="shared" si="30"/>
        <v>5889</v>
      </c>
      <c r="AL62" s="24"/>
      <c r="AM62" s="24"/>
      <c r="AN62" s="24">
        <v>178263</v>
      </c>
      <c r="AO62" s="24">
        <v>262225</v>
      </c>
      <c r="AP62" s="24"/>
      <c r="AQ62" s="25">
        <f t="shared" si="31"/>
        <v>2.297375319892641E-2</v>
      </c>
      <c r="AR62" s="25"/>
      <c r="AS62" s="25"/>
      <c r="AT62" s="24"/>
      <c r="AU62" s="344">
        <f t="shared" si="25"/>
        <v>0.18921818919149047</v>
      </c>
      <c r="AV62" s="344"/>
      <c r="AW62" s="24">
        <f t="shared" si="26"/>
        <v>4947.6415094339627</v>
      </c>
      <c r="AX62" s="354"/>
      <c r="AY62" s="10"/>
      <c r="AZ62" s="66">
        <f t="shared" si="32"/>
        <v>175330</v>
      </c>
      <c r="BA62" s="67"/>
      <c r="BB62" s="67">
        <v>9619855</v>
      </c>
      <c r="BC62" s="67"/>
      <c r="BD62" s="67">
        <f t="shared" si="12"/>
        <v>18196</v>
      </c>
      <c r="BE62" s="67"/>
      <c r="BF62" s="157">
        <f t="shared" si="33"/>
        <v>0.10378144071180061</v>
      </c>
      <c r="BG62" s="67"/>
      <c r="BH62" s="185"/>
      <c r="BI62" s="67"/>
      <c r="BJ62" s="67"/>
      <c r="BK62" s="67"/>
      <c r="BL62" s="67"/>
      <c r="BM62" s="66">
        <f t="shared" si="21"/>
        <v>181506.69811320756</v>
      </c>
      <c r="BN62" s="67"/>
      <c r="BO62" s="67">
        <f t="shared" si="16"/>
        <v>1133512</v>
      </c>
      <c r="BP62" s="67"/>
      <c r="BQ62" s="74">
        <f t="shared" si="13"/>
        <v>0.11783046625962658</v>
      </c>
      <c r="BR62" s="67"/>
      <c r="BS62" s="86"/>
      <c r="BT62" s="185"/>
      <c r="BU62" s="1"/>
      <c r="BV62">
        <f t="shared" si="11"/>
        <v>53</v>
      </c>
    </row>
    <row r="63" spans="2:78" x14ac:dyDescent="0.3">
      <c r="B63" s="173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1408636</v>
      </c>
      <c r="I63" s="16"/>
      <c r="J63" s="38">
        <f t="shared" si="28"/>
        <v>1.6453630088452152E-2</v>
      </c>
      <c r="K63" s="16"/>
      <c r="L63" s="16"/>
      <c r="M63" s="16"/>
      <c r="N63" s="16">
        <f t="shared" si="22"/>
        <v>26085.85185185185</v>
      </c>
      <c r="O63" s="41"/>
      <c r="P63" s="17"/>
      <c r="Q63" s="16"/>
      <c r="R63" s="16"/>
      <c r="S63" s="16"/>
      <c r="T63" s="41"/>
      <c r="U63" s="1"/>
      <c r="V63" s="34">
        <v>1871</v>
      </c>
      <c r="W63" s="33"/>
      <c r="X63" s="33"/>
      <c r="Y63" s="33"/>
      <c r="Z63" s="33">
        <f t="shared" si="29"/>
        <v>83718</v>
      </c>
      <c r="AA63" s="33"/>
      <c r="AB63" s="46">
        <f t="shared" si="23"/>
        <v>5.9431961131193582E-2</v>
      </c>
      <c r="AC63" s="33"/>
      <c r="AD63" s="33">
        <f t="shared" si="24"/>
        <v>1550.3333333333333</v>
      </c>
      <c r="AE63" s="50"/>
      <c r="AF63" s="33"/>
      <c r="AG63" s="33"/>
      <c r="AH63" s="33"/>
      <c r="AI63" s="50"/>
      <c r="AJ63" s="1"/>
      <c r="AK63" s="23">
        <f t="shared" si="30"/>
        <v>20014</v>
      </c>
      <c r="AL63" s="24"/>
      <c r="AM63" s="24"/>
      <c r="AN63" s="24">
        <v>178263</v>
      </c>
      <c r="AO63" s="24">
        <v>282239</v>
      </c>
      <c r="AP63" s="24"/>
      <c r="AQ63" s="25">
        <f t="shared" si="31"/>
        <v>7.6323767756697497E-2</v>
      </c>
      <c r="AR63" s="25"/>
      <c r="AS63" s="25"/>
      <c r="AT63" s="24"/>
      <c r="AU63" s="344">
        <f t="shared" si="25"/>
        <v>0.20036333020027886</v>
      </c>
      <c r="AV63" s="344"/>
      <c r="AW63" s="24">
        <f t="shared" si="26"/>
        <v>5226.6481481481478</v>
      </c>
      <c r="AX63" s="354"/>
      <c r="AY63" s="1"/>
      <c r="AZ63" s="66">
        <f t="shared" si="32"/>
        <v>310012</v>
      </c>
      <c r="BA63" s="67"/>
      <c r="BB63" s="67">
        <v>9929867</v>
      </c>
      <c r="BC63" s="67"/>
      <c r="BD63" s="67">
        <f t="shared" si="12"/>
        <v>22802</v>
      </c>
      <c r="BE63" s="67"/>
      <c r="BF63" s="157">
        <f t="shared" si="33"/>
        <v>7.3551991535811517E-2</v>
      </c>
      <c r="BG63" s="67"/>
      <c r="BH63" s="185"/>
      <c r="BI63" s="67"/>
      <c r="BJ63" s="67"/>
      <c r="BK63" s="67"/>
      <c r="BL63" s="67"/>
      <c r="BM63" s="66">
        <f t="shared" si="21"/>
        <v>183886.42592592593</v>
      </c>
      <c r="BN63" s="67"/>
      <c r="BO63" s="67">
        <f t="shared" si="16"/>
        <v>1156314</v>
      </c>
      <c r="BP63" s="67"/>
      <c r="BQ63" s="74">
        <f t="shared" si="13"/>
        <v>0.11644808535703449</v>
      </c>
      <c r="BR63" s="67"/>
      <c r="BS63" s="86"/>
      <c r="BT63" s="185"/>
      <c r="BU63" s="1"/>
      <c r="BV63">
        <f t="shared" si="11"/>
        <v>54</v>
      </c>
    </row>
    <row r="64" spans="2:78" x14ac:dyDescent="0.3">
      <c r="B64" s="173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1430348</v>
      </c>
      <c r="I64" s="16"/>
      <c r="J64" s="38">
        <f t="shared" si="28"/>
        <v>1.5413492200966042E-2</v>
      </c>
      <c r="K64" s="16"/>
      <c r="L64" s="16"/>
      <c r="M64" s="16"/>
      <c r="N64" s="16">
        <f t="shared" si="22"/>
        <v>26006.327272727274</v>
      </c>
      <c r="O64" s="41"/>
      <c r="P64" s="17"/>
      <c r="Q64" s="16"/>
      <c r="R64" s="16"/>
      <c r="S64" s="16"/>
      <c r="T64" s="41"/>
      <c r="U64" s="1"/>
      <c r="V64" s="34">
        <v>1822</v>
      </c>
      <c r="W64" s="33"/>
      <c r="X64" s="33"/>
      <c r="Y64" s="33"/>
      <c r="Z64" s="33">
        <f t="shared" si="29"/>
        <v>85540</v>
      </c>
      <c r="AA64" s="33"/>
      <c r="AB64" s="46">
        <f t="shared" si="23"/>
        <v>5.9803628207960577E-2</v>
      </c>
      <c r="AC64" s="33"/>
      <c r="AD64" s="33">
        <f t="shared" si="24"/>
        <v>1555.2727272727273</v>
      </c>
      <c r="AE64" s="50"/>
      <c r="AF64" s="33"/>
      <c r="AG64" s="33"/>
      <c r="AH64" s="33"/>
      <c r="AI64" s="50"/>
      <c r="AJ64" s="1"/>
      <c r="AK64" s="23">
        <f t="shared" si="30"/>
        <v>28020</v>
      </c>
      <c r="AL64" s="24"/>
      <c r="AM64" s="24"/>
      <c r="AN64" s="24">
        <v>178263</v>
      </c>
      <c r="AO64" s="24">
        <v>310259</v>
      </c>
      <c r="AP64" s="24"/>
      <c r="AQ64" s="25">
        <f t="shared" si="31"/>
        <v>9.9277562633087554E-2</v>
      </c>
      <c r="AR64" s="25"/>
      <c r="AS64" s="25"/>
      <c r="AT64" s="24"/>
      <c r="AU64" s="344">
        <f t="shared" si="25"/>
        <v>0.21691154879791491</v>
      </c>
      <c r="AV64" s="344"/>
      <c r="AW64" s="24">
        <f t="shared" si="26"/>
        <v>5641.0727272727272</v>
      </c>
      <c r="AX64" s="354"/>
      <c r="AY64" s="1"/>
      <c r="AZ64" s="66">
        <f t="shared" si="32"/>
        <v>340129</v>
      </c>
      <c r="BA64" s="67"/>
      <c r="BB64" s="67">
        <v>10269996</v>
      </c>
      <c r="BC64" s="67"/>
      <c r="BD64" s="67">
        <f t="shared" si="12"/>
        <v>21712</v>
      </c>
      <c r="BE64" s="67"/>
      <c r="BF64" s="157">
        <f t="shared" si="33"/>
        <v>6.3834603929685499E-2</v>
      </c>
      <c r="BG64" s="67"/>
      <c r="BH64" s="185"/>
      <c r="BI64" s="67"/>
      <c r="BJ64" s="67"/>
      <c r="BK64" s="67"/>
      <c r="BL64" s="67"/>
      <c r="BM64" s="66">
        <f t="shared" si="21"/>
        <v>186727.2</v>
      </c>
      <c r="BN64" s="67"/>
      <c r="BO64" s="67">
        <f t="shared" si="16"/>
        <v>1178026</v>
      </c>
      <c r="BP64" s="67"/>
      <c r="BQ64" s="74">
        <f t="shared" si="13"/>
        <v>0.11470559482204278</v>
      </c>
      <c r="BR64" s="67"/>
      <c r="BS64" s="86"/>
      <c r="BT64" s="185"/>
      <c r="BU64" s="1"/>
      <c r="BV64">
        <f t="shared" si="11"/>
        <v>55</v>
      </c>
    </row>
    <row r="65" spans="2:74" x14ac:dyDescent="0.3">
      <c r="B65" s="173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" si="35">+H64+D65</f>
        <v>1457593</v>
      </c>
      <c r="I65" s="16"/>
      <c r="J65" s="38">
        <f t="shared" ref="J65" si="36">+D65/H64</f>
        <v>1.9047812140821675E-2</v>
      </c>
      <c r="K65" s="16"/>
      <c r="L65" s="16"/>
      <c r="M65" s="16"/>
      <c r="N65" s="16">
        <f t="shared" si="22"/>
        <v>26028.446428571428</v>
      </c>
      <c r="O65" s="41"/>
      <c r="P65" s="17"/>
      <c r="Q65" s="16"/>
      <c r="R65" s="16"/>
      <c r="S65" s="16"/>
      <c r="T65" s="41"/>
      <c r="U65" s="1"/>
      <c r="V65" s="34">
        <v>1753</v>
      </c>
      <c r="W65" s="33"/>
      <c r="X65" s="33"/>
      <c r="Y65" s="33"/>
      <c r="Z65" s="33">
        <f t="shared" ref="Z65" si="37">+Z64+V65</f>
        <v>87293</v>
      </c>
      <c r="AA65" s="33"/>
      <c r="AB65" s="46">
        <f t="shared" si="23"/>
        <v>5.9888459947324113E-2</v>
      </c>
      <c r="AC65" s="33"/>
      <c r="AD65" s="33">
        <f t="shared" si="24"/>
        <v>1558.8035714285713</v>
      </c>
      <c r="AE65" s="50"/>
      <c r="AF65" s="33"/>
      <c r="AG65" s="33"/>
      <c r="AH65" s="33"/>
      <c r="AI65" s="50"/>
      <c r="AJ65" s="1"/>
      <c r="AK65" s="23">
        <f t="shared" ref="AK65" si="38">+AO65-AO64</f>
        <v>7602</v>
      </c>
      <c r="AL65" s="24"/>
      <c r="AM65" s="24"/>
      <c r="AN65" s="24">
        <v>178263</v>
      </c>
      <c r="AO65" s="24">
        <v>317861</v>
      </c>
      <c r="AP65" s="24"/>
      <c r="AQ65" s="25">
        <f t="shared" ref="AQ65" si="39">+AK65/AO64</f>
        <v>2.4502109527846091E-2</v>
      </c>
      <c r="AR65" s="25"/>
      <c r="AS65" s="25"/>
      <c r="AT65" s="24"/>
      <c r="AU65" s="344">
        <f t="shared" si="25"/>
        <v>0.21807253465130527</v>
      </c>
      <c r="AV65" s="344"/>
      <c r="AW65" s="24">
        <f t="shared" si="26"/>
        <v>5676.0892857142853</v>
      </c>
      <c r="AX65" s="354"/>
      <c r="AY65" s="1"/>
      <c r="AZ65" s="66">
        <f t="shared" ref="AZ65" si="40">+BB65-BB64</f>
        <v>365542</v>
      </c>
      <c r="BA65" s="67"/>
      <c r="BB65" s="67">
        <v>10635538</v>
      </c>
      <c r="BC65" s="67"/>
      <c r="BD65" s="67">
        <f t="shared" si="12"/>
        <v>27245</v>
      </c>
      <c r="BE65" s="67"/>
      <c r="BF65" s="157">
        <f t="shared" ref="BF65" si="41">+BD65/AZ65</f>
        <v>7.4533158980363404E-2</v>
      </c>
      <c r="BG65" s="67"/>
      <c r="BH65" s="185"/>
      <c r="BI65" s="67"/>
      <c r="BJ65" s="67"/>
      <c r="BK65" s="67"/>
      <c r="BL65" s="67"/>
      <c r="BM65" s="66">
        <f t="shared" si="21"/>
        <v>189920.32142857142</v>
      </c>
      <c r="BN65" s="67"/>
      <c r="BO65" s="67">
        <f t="shared" si="16"/>
        <v>1205271</v>
      </c>
      <c r="BP65" s="67"/>
      <c r="BQ65" s="74">
        <f t="shared" si="13"/>
        <v>0.11332487364532005</v>
      </c>
      <c r="BR65" s="67"/>
      <c r="BS65" s="86"/>
      <c r="BT65" s="185"/>
      <c r="BU65" s="1"/>
      <c r="BV65">
        <f t="shared" si="11"/>
        <v>56</v>
      </c>
    </row>
    <row r="66" spans="2:74" x14ac:dyDescent="0.3">
      <c r="B66" s="173">
        <f t="shared" si="6"/>
        <v>43966</v>
      </c>
      <c r="C66" s="61"/>
      <c r="D66" s="17">
        <v>26692</v>
      </c>
      <c r="E66" s="16"/>
      <c r="F66" s="16"/>
      <c r="G66" s="16"/>
      <c r="H66" s="16">
        <f t="shared" ref="H66" si="42">+H65+D66</f>
        <v>1484285</v>
      </c>
      <c r="I66" s="16"/>
      <c r="J66" s="38">
        <f t="shared" ref="J66" si="43">+D66/H65</f>
        <v>1.8312382125874643E-2</v>
      </c>
      <c r="K66" s="16"/>
      <c r="L66" s="16"/>
      <c r="M66" s="16"/>
      <c r="N66" s="16">
        <f t="shared" si="22"/>
        <v>26040.087719298244</v>
      </c>
      <c r="O66" s="41"/>
      <c r="P66" s="17"/>
      <c r="Q66" s="16"/>
      <c r="R66" s="16"/>
      <c r="S66" s="16"/>
      <c r="T66" s="41"/>
      <c r="U66" s="1"/>
      <c r="V66" s="34">
        <v>1602</v>
      </c>
      <c r="W66" s="33"/>
      <c r="X66" s="33"/>
      <c r="Y66" s="33"/>
      <c r="Z66" s="33">
        <f t="shared" ref="Z66" si="44">+Z65+V66</f>
        <v>88895</v>
      </c>
      <c r="AA66" s="33"/>
      <c r="AB66" s="46">
        <f t="shared" si="23"/>
        <v>5.9890789167848492E-2</v>
      </c>
      <c r="AC66" s="33"/>
      <c r="AD66" s="33">
        <f t="shared" si="24"/>
        <v>1559.5614035087719</v>
      </c>
      <c r="AE66" s="50"/>
      <c r="AF66" s="33"/>
      <c r="AG66" s="33"/>
      <c r="AH66" s="33"/>
      <c r="AI66" s="50"/>
      <c r="AJ66" s="1"/>
      <c r="AK66" s="23">
        <f t="shared" ref="AK66" si="45">+AO66-AO65</f>
        <v>8381</v>
      </c>
      <c r="AL66" s="24"/>
      <c r="AM66" s="24"/>
      <c r="AN66" s="24">
        <v>178263</v>
      </c>
      <c r="AO66" s="24">
        <v>326242</v>
      </c>
      <c r="AP66" s="24"/>
      <c r="AQ66" s="25">
        <f t="shared" ref="AQ66" si="46">+AK66/AO65</f>
        <v>2.6366871053699573E-2</v>
      </c>
      <c r="AR66" s="25"/>
      <c r="AS66" s="25"/>
      <c r="AT66" s="24"/>
      <c r="AU66" s="344">
        <f t="shared" si="25"/>
        <v>0.2197974108745962</v>
      </c>
      <c r="AV66" s="344"/>
      <c r="AW66" s="24">
        <f t="shared" si="26"/>
        <v>5723.5438596491231</v>
      </c>
      <c r="AX66" s="354"/>
      <c r="AY66" s="1"/>
      <c r="AZ66" s="66">
        <f t="shared" ref="AZ66" si="47">+BB66-BB65</f>
        <v>455362</v>
      </c>
      <c r="BA66" s="67"/>
      <c r="BB66" s="67">
        <v>11090900</v>
      </c>
      <c r="BC66" s="67"/>
      <c r="BD66" s="67">
        <f t="shared" si="12"/>
        <v>26692</v>
      </c>
      <c r="BE66" s="67"/>
      <c r="BF66" s="157">
        <f t="shared" ref="BF66" si="48">+BD66/AZ66</f>
        <v>5.8617100241126839E-2</v>
      </c>
      <c r="BG66" s="67"/>
      <c r="BH66" s="185"/>
      <c r="BI66" s="67"/>
      <c r="BJ66" s="67"/>
      <c r="BK66" s="67"/>
      <c r="BL66" s="67"/>
      <c r="BM66" s="66">
        <f t="shared" si="21"/>
        <v>194577.19298245615</v>
      </c>
      <c r="BN66" s="67"/>
      <c r="BO66" s="67">
        <f t="shared" si="16"/>
        <v>1231963</v>
      </c>
      <c r="BP66" s="67"/>
      <c r="BQ66" s="74">
        <f t="shared" si="13"/>
        <v>0.11107872219567393</v>
      </c>
      <c r="BR66" s="67"/>
      <c r="BS66" s="86"/>
      <c r="BT66" s="185"/>
      <c r="BU66" s="1"/>
      <c r="BV66">
        <f t="shared" si="11"/>
        <v>57</v>
      </c>
    </row>
    <row r="67" spans="2:74" x14ac:dyDescent="0.3">
      <c r="B67" s="173">
        <f t="shared" si="6"/>
        <v>43967</v>
      </c>
      <c r="C67" s="61"/>
      <c r="D67" s="17">
        <v>23488</v>
      </c>
      <c r="E67" s="16"/>
      <c r="F67" s="16"/>
      <c r="G67" s="16"/>
      <c r="H67" s="16">
        <f t="shared" ref="H67" si="49">+H66+D67</f>
        <v>1507773</v>
      </c>
      <c r="I67" s="16"/>
      <c r="J67" s="38">
        <f t="shared" ref="J67" si="50">+D67/H66</f>
        <v>1.5824454198486139E-2</v>
      </c>
      <c r="K67" s="16"/>
      <c r="L67" s="16"/>
      <c r="M67" s="16"/>
      <c r="N67" s="16">
        <f t="shared" si="22"/>
        <v>25996.086206896551</v>
      </c>
      <c r="O67" s="41"/>
      <c r="P67" s="17"/>
      <c r="Q67" s="16"/>
      <c r="R67" s="16"/>
      <c r="S67" s="16"/>
      <c r="T67" s="41"/>
      <c r="U67" s="1"/>
      <c r="V67" s="34">
        <v>1218</v>
      </c>
      <c r="W67" s="33"/>
      <c r="X67" s="33"/>
      <c r="Y67" s="33"/>
      <c r="Z67" s="33">
        <f t="shared" ref="Z67" si="51">+Z66+V67</f>
        <v>90113</v>
      </c>
      <c r="AA67" s="33"/>
      <c r="AB67" s="46">
        <f t="shared" si="23"/>
        <v>5.9765627849815588E-2</v>
      </c>
      <c r="AC67" s="33"/>
      <c r="AD67" s="33">
        <f t="shared" si="24"/>
        <v>1553.6724137931035</v>
      </c>
      <c r="AE67" s="50"/>
      <c r="AF67" s="33"/>
      <c r="AG67" s="33"/>
      <c r="AH67" s="33"/>
      <c r="AI67" s="50"/>
      <c r="AJ67" s="1"/>
      <c r="AK67" s="23">
        <f t="shared" ref="AK67" si="52">+AO67-AO66</f>
        <v>12990</v>
      </c>
      <c r="AL67" s="24"/>
      <c r="AM67" s="24"/>
      <c r="AN67" s="24">
        <v>178263</v>
      </c>
      <c r="AO67" s="24">
        <v>339232</v>
      </c>
      <c r="AP67" s="24"/>
      <c r="AQ67" s="25">
        <f t="shared" ref="AQ67" si="53">+AK67/AO66</f>
        <v>3.981706831125361E-2</v>
      </c>
      <c r="AR67" s="25"/>
      <c r="AS67" s="25"/>
      <c r="AT67" s="24"/>
      <c r="AU67" s="344">
        <f t="shared" si="25"/>
        <v>0.22498877483546925</v>
      </c>
      <c r="AV67" s="344"/>
      <c r="AW67" s="24">
        <f t="shared" si="26"/>
        <v>5848.8275862068967</v>
      </c>
      <c r="AX67" s="354"/>
      <c r="AY67" s="1"/>
      <c r="AZ67" s="66">
        <f t="shared" ref="AZ67" si="54">+BB67-BB66</f>
        <v>434725</v>
      </c>
      <c r="BA67" s="67"/>
      <c r="BB67" s="67">
        <v>11525625</v>
      </c>
      <c r="BC67" s="67"/>
      <c r="BD67" s="67">
        <f t="shared" si="12"/>
        <v>23488</v>
      </c>
      <c r="BE67" s="67"/>
      <c r="BF67" s="157">
        <f t="shared" ref="BF67" si="55">+BD67/AZ67</f>
        <v>5.4029558916556447E-2</v>
      </c>
      <c r="BG67" s="67"/>
      <c r="BH67" s="185"/>
      <c r="BI67" s="67"/>
      <c r="BJ67" s="67"/>
      <c r="BK67" s="67"/>
      <c r="BL67" s="67"/>
      <c r="BM67" s="66">
        <f t="shared" si="21"/>
        <v>198717.6724137931</v>
      </c>
      <c r="BN67" s="67"/>
      <c r="BO67" s="67">
        <f t="shared" si="16"/>
        <v>1255451</v>
      </c>
      <c r="BP67" s="67"/>
      <c r="BQ67" s="74">
        <f t="shared" si="13"/>
        <v>0.10892693454801801</v>
      </c>
      <c r="BR67" s="67"/>
      <c r="BS67" s="86"/>
      <c r="BT67" s="185"/>
      <c r="BU67" s="1"/>
      <c r="BV67">
        <f t="shared" si="11"/>
        <v>58</v>
      </c>
    </row>
    <row r="68" spans="2:74" x14ac:dyDescent="0.3">
      <c r="B68" s="393">
        <f t="shared" si="6"/>
        <v>43968</v>
      </c>
      <c r="C68" s="61"/>
      <c r="D68" s="17">
        <v>19891</v>
      </c>
      <c r="E68" s="16"/>
      <c r="F68" s="16"/>
      <c r="G68" s="16"/>
      <c r="H68" s="16">
        <f t="shared" ref="H68" si="56">+H67+D68</f>
        <v>1527664</v>
      </c>
      <c r="I68" s="16"/>
      <c r="J68" s="38">
        <f t="shared" ref="J68" si="57">+D68/H67</f>
        <v>1.3192304146579095E-2</v>
      </c>
      <c r="K68" s="16"/>
      <c r="L68" s="16"/>
      <c r="M68" s="16"/>
      <c r="N68" s="16">
        <f t="shared" si="22"/>
        <v>25892.610169491527</v>
      </c>
      <c r="O68" s="41"/>
      <c r="P68" s="17">
        <f t="shared" ref="P68" si="58">SUM(D62:D68)</f>
        <v>160026</v>
      </c>
      <c r="Q68" s="16"/>
      <c r="R68" s="60">
        <f t="shared" ref="R68" si="59">+(P68-P61)/P61</f>
        <v>-0.10856970966376256</v>
      </c>
      <c r="S68" s="16"/>
      <c r="T68" s="41"/>
      <c r="U68" s="394"/>
      <c r="V68" s="34">
        <v>865</v>
      </c>
      <c r="W68" s="33"/>
      <c r="X68" s="33"/>
      <c r="Y68" s="33"/>
      <c r="Z68" s="33">
        <f t="shared" ref="Z68" si="60">+Z67+V68</f>
        <v>90978</v>
      </c>
      <c r="AA68" s="33"/>
      <c r="AB68" s="46">
        <f t="shared" si="23"/>
        <v>5.955367148797118E-2</v>
      </c>
      <c r="AC68" s="33"/>
      <c r="AD68" s="33">
        <f t="shared" si="24"/>
        <v>1542</v>
      </c>
      <c r="AE68" s="50"/>
      <c r="AF68" s="33">
        <f t="shared" ref="AF68" si="61">SUM(V62:V68)</f>
        <v>10191</v>
      </c>
      <c r="AG68" s="33"/>
      <c r="AH68" s="233">
        <f t="shared" ref="AH68" si="62">+(AF68-AF61)/AF61</f>
        <v>-0.16398687448728466</v>
      </c>
      <c r="AI68" s="50"/>
      <c r="AJ68" s="394"/>
      <c r="AK68" s="23">
        <f t="shared" ref="AK68" si="63">+AO68-AO67</f>
        <v>7157</v>
      </c>
      <c r="AL68" s="24"/>
      <c r="AM68" s="24"/>
      <c r="AN68" s="24">
        <v>178263</v>
      </c>
      <c r="AO68" s="24">
        <v>346389</v>
      </c>
      <c r="AP68" s="24"/>
      <c r="AQ68" s="25">
        <f t="shared" ref="AQ68" si="64">+AK68/AO67</f>
        <v>2.109765588152061E-2</v>
      </c>
      <c r="AR68" s="25"/>
      <c r="AS68" s="25"/>
      <c r="AT68" s="24"/>
      <c r="AU68" s="344">
        <f t="shared" si="25"/>
        <v>0.22674423171587468</v>
      </c>
      <c r="AV68" s="344"/>
      <c r="AW68" s="24">
        <f t="shared" si="26"/>
        <v>5871</v>
      </c>
      <c r="AX68" s="354"/>
      <c r="AY68" s="394"/>
      <c r="AZ68" s="66">
        <f t="shared" ref="AZ68" si="65">+BB68-BB67</f>
        <v>349955</v>
      </c>
      <c r="BA68" s="67"/>
      <c r="BB68" s="67">
        <v>11875580</v>
      </c>
      <c r="BC68" s="67"/>
      <c r="BD68" s="67">
        <f t="shared" si="12"/>
        <v>19891</v>
      </c>
      <c r="BE68" s="67"/>
      <c r="BF68" s="157">
        <f t="shared" ref="BF68" si="66">+BD68/AZ68</f>
        <v>5.6838736408966868E-2</v>
      </c>
      <c r="BG68" s="67"/>
      <c r="BH68" s="185"/>
      <c r="BI68" s="67"/>
      <c r="BJ68" s="67">
        <f t="shared" ref="BJ68" si="67">SUM(AZ62:AZ68)</f>
        <v>2431055</v>
      </c>
      <c r="BK68" s="67"/>
      <c r="BL68" s="157">
        <f t="shared" ref="BL68" si="68">+P68/BJ68</f>
        <v>6.5825742321749203E-2</v>
      </c>
      <c r="BM68" s="66">
        <f t="shared" si="21"/>
        <v>201281.01694915254</v>
      </c>
      <c r="BN68" s="67"/>
      <c r="BO68" s="67">
        <f t="shared" si="16"/>
        <v>1275342</v>
      </c>
      <c r="BP68" s="67"/>
      <c r="BQ68" s="74">
        <f t="shared" si="13"/>
        <v>0.10739197580244501</v>
      </c>
      <c r="BR68" s="67"/>
      <c r="BS68" s="86"/>
      <c r="BT68" s="185"/>
      <c r="BU68" s="1"/>
      <c r="BV68">
        <f t="shared" si="11"/>
        <v>59</v>
      </c>
    </row>
    <row r="69" spans="2:74" x14ac:dyDescent="0.3">
      <c r="B69" s="173">
        <f t="shared" si="6"/>
        <v>43969</v>
      </c>
      <c r="C69" s="61"/>
      <c r="D69" s="17">
        <v>22630</v>
      </c>
      <c r="E69" s="16"/>
      <c r="F69" s="16"/>
      <c r="G69" s="16"/>
      <c r="H69" s="16">
        <f t="shared" ref="H69" si="69">+H68+D69</f>
        <v>1550294</v>
      </c>
      <c r="I69" s="16"/>
      <c r="J69" s="38">
        <f t="shared" ref="J69" si="70">+D69/H68</f>
        <v>1.4813466835639251E-2</v>
      </c>
      <c r="K69" s="16"/>
      <c r="L69" s="16"/>
      <c r="M69" s="16"/>
      <c r="N69" s="16">
        <f t="shared" ref="N69" si="71">+H69/BV69</f>
        <v>25838.233333333334</v>
      </c>
      <c r="O69" s="41"/>
      <c r="P69" s="17"/>
      <c r="Q69" s="16"/>
      <c r="R69" s="60"/>
      <c r="S69" s="16"/>
      <c r="T69" s="41"/>
      <c r="U69" s="10"/>
      <c r="V69" s="34">
        <v>1003</v>
      </c>
      <c r="W69" s="33"/>
      <c r="X69" s="33"/>
      <c r="Y69" s="33"/>
      <c r="Z69" s="33">
        <f t="shared" ref="Z69" si="72">+Z68+V69</f>
        <v>91981</v>
      </c>
      <c r="AA69" s="33"/>
      <c r="AB69" s="46">
        <f t="shared" ref="AB69" si="73">+Z69/H69</f>
        <v>5.9331326832200861E-2</v>
      </c>
      <c r="AC69" s="33"/>
      <c r="AD69" s="33">
        <f t="shared" ref="AD69" si="74">+Z69/BV69</f>
        <v>1533.0166666666667</v>
      </c>
      <c r="AE69" s="50"/>
      <c r="AF69" s="33"/>
      <c r="AG69" s="33"/>
      <c r="AH69" s="233"/>
      <c r="AI69" s="50"/>
      <c r="AJ69" s="10"/>
      <c r="AK69" s="23">
        <f t="shared" ref="AK69" si="75">+AO69-AO68</f>
        <v>9994</v>
      </c>
      <c r="AL69" s="24"/>
      <c r="AM69" s="24"/>
      <c r="AN69" s="24">
        <v>178263</v>
      </c>
      <c r="AO69" s="24">
        <v>356383</v>
      </c>
      <c r="AP69" s="24"/>
      <c r="AQ69" s="25">
        <f t="shared" ref="AQ69" si="76">+AK69/AO68</f>
        <v>2.8851955460479403E-2</v>
      </c>
      <c r="AR69" s="25"/>
      <c r="AS69" s="25"/>
      <c r="AT69" s="24"/>
      <c r="AU69" s="344">
        <f t="shared" ref="AU69" si="77">+AO69/H69</f>
        <v>0.22988091291071241</v>
      </c>
      <c r="AV69" s="344"/>
      <c r="AW69" s="24">
        <f t="shared" ref="AW69" si="78">+AO69/BV69</f>
        <v>5939.7166666666662</v>
      </c>
      <c r="AX69" s="354"/>
      <c r="AY69" s="10"/>
      <c r="AZ69" s="66">
        <f t="shared" ref="AZ69" si="79">+BB69-BB68</f>
        <v>425164</v>
      </c>
      <c r="BA69" s="67"/>
      <c r="BB69" s="67">
        <v>12300744</v>
      </c>
      <c r="BC69" s="67"/>
      <c r="BD69" s="67">
        <f t="shared" ref="BD69" si="80">+D69</f>
        <v>22630</v>
      </c>
      <c r="BE69" s="67"/>
      <c r="BF69" s="157">
        <f t="shared" ref="BF69" si="81">+BD69/AZ69</f>
        <v>5.3226519648888429E-2</v>
      </c>
      <c r="BG69" s="67"/>
      <c r="BH69" s="185"/>
      <c r="BI69" s="67"/>
      <c r="BJ69" s="67"/>
      <c r="BK69" s="67"/>
      <c r="BL69" s="157"/>
      <c r="BM69" s="66">
        <f t="shared" ref="BM69" si="82">+BB69/BV69</f>
        <v>205012.4</v>
      </c>
      <c r="BN69" s="67"/>
      <c r="BO69" s="67">
        <f t="shared" ref="BO69" si="83">+BO68+BD69</f>
        <v>1297972</v>
      </c>
      <c r="BP69" s="67"/>
      <c r="BQ69" s="74">
        <f t="shared" ref="BQ69" si="84">+BO69/BB69</f>
        <v>0.10551979620094525</v>
      </c>
      <c r="BR69" s="67"/>
      <c r="BS69" s="86"/>
      <c r="BT69" s="185"/>
      <c r="BU69" s="1"/>
      <c r="BV69">
        <f t="shared" si="11"/>
        <v>60</v>
      </c>
    </row>
    <row r="70" spans="2:74" x14ac:dyDescent="0.3">
      <c r="B70" s="173">
        <f t="shared" si="6"/>
        <v>43970</v>
      </c>
      <c r="C70" s="61"/>
      <c r="D70" s="17">
        <v>20289</v>
      </c>
      <c r="E70" s="16"/>
      <c r="F70" s="16"/>
      <c r="G70" s="16"/>
      <c r="H70" s="16">
        <f t="shared" ref="H70" si="85">+H69+D70</f>
        <v>1570583</v>
      </c>
      <c r="I70" s="16"/>
      <c r="J70" s="38">
        <f t="shared" ref="J70" si="86">+D70/H69</f>
        <v>1.3087195073966615E-2</v>
      </c>
      <c r="K70" s="16"/>
      <c r="L70" s="16"/>
      <c r="M70" s="16"/>
      <c r="N70" s="16">
        <f t="shared" ref="N70" si="87">+H70/BV70</f>
        <v>25747.262295081968</v>
      </c>
      <c r="O70" s="41"/>
      <c r="P70" s="17"/>
      <c r="Q70" s="16"/>
      <c r="R70" s="60"/>
      <c r="S70" s="16"/>
      <c r="T70" s="41"/>
      <c r="U70" s="10"/>
      <c r="V70" s="34">
        <v>1552</v>
      </c>
      <c r="W70" s="33"/>
      <c r="X70" s="33"/>
      <c r="Y70" s="33"/>
      <c r="Z70" s="33">
        <f t="shared" ref="Z70" si="88">+Z69+V70</f>
        <v>93533</v>
      </c>
      <c r="AA70" s="33"/>
      <c r="AB70" s="46">
        <f t="shared" ref="AB70" si="89">+Z70/H70</f>
        <v>5.9553044952097407E-2</v>
      </c>
      <c r="AC70" s="33"/>
      <c r="AD70" s="33">
        <f t="shared" ref="AD70" si="90">+Z70/BV70</f>
        <v>1533.327868852459</v>
      </c>
      <c r="AE70" s="50"/>
      <c r="AF70" s="33"/>
      <c r="AG70" s="33"/>
      <c r="AH70" s="233"/>
      <c r="AI70" s="50"/>
      <c r="AJ70" s="10"/>
      <c r="AK70" s="23">
        <f t="shared" ref="AK70" si="91">+AO70-AO69</f>
        <v>4797</v>
      </c>
      <c r="AL70" s="24"/>
      <c r="AM70" s="24"/>
      <c r="AN70" s="24">
        <v>178263</v>
      </c>
      <c r="AO70" s="24">
        <v>361180</v>
      </c>
      <c r="AP70" s="24"/>
      <c r="AQ70" s="25">
        <f t="shared" ref="AQ70" si="92">+AK70/AO69</f>
        <v>1.346023800237385E-2</v>
      </c>
      <c r="AR70" s="25"/>
      <c r="AS70" s="25"/>
      <c r="AT70" s="24"/>
      <c r="AU70" s="344">
        <f t="shared" ref="AU70" si="93">+AO70/H70</f>
        <v>0.22996556055935916</v>
      </c>
      <c r="AV70" s="344"/>
      <c r="AW70" s="24">
        <f t="shared" ref="AW70" si="94">+AO70/BV70</f>
        <v>5920.9836065573772</v>
      </c>
      <c r="AX70" s="354"/>
      <c r="AY70" s="10"/>
      <c r="AZ70" s="66">
        <f t="shared" ref="AZ70" si="95">+BB70-BB69</f>
        <v>344729</v>
      </c>
      <c r="BA70" s="67"/>
      <c r="BB70" s="67">
        <v>12645473</v>
      </c>
      <c r="BC70" s="67"/>
      <c r="BD70" s="67">
        <f t="shared" ref="BD70" si="96">+D70</f>
        <v>20289</v>
      </c>
      <c r="BE70" s="67"/>
      <c r="BF70" s="157">
        <f t="shared" ref="BF70" si="97">+BD70/AZ70</f>
        <v>5.8854926623521667E-2</v>
      </c>
      <c r="BG70" s="67"/>
      <c r="BH70" s="185"/>
      <c r="BI70" s="67"/>
      <c r="BJ70" s="67"/>
      <c r="BK70" s="67"/>
      <c r="BL70" s="157"/>
      <c r="BM70" s="66">
        <f t="shared" ref="BM70" si="98">+BB70/BV70</f>
        <v>207302.83606557376</v>
      </c>
      <c r="BN70" s="67"/>
      <c r="BO70" s="67">
        <f t="shared" ref="BO70" si="99">+BO69+BD70</f>
        <v>1318261</v>
      </c>
      <c r="BP70" s="67"/>
      <c r="BQ70" s="74">
        <f t="shared" ref="BQ70" si="100">+BO70/BB70</f>
        <v>0.10424766238479177</v>
      </c>
      <c r="BR70" s="67"/>
      <c r="BS70" s="86"/>
      <c r="BT70" s="185"/>
      <c r="BU70" s="1"/>
      <c r="BV70">
        <f t="shared" si="11"/>
        <v>61</v>
      </c>
    </row>
    <row r="71" spans="2:74" x14ac:dyDescent="0.3">
      <c r="B71" s="173">
        <f t="shared" si="6"/>
        <v>43971</v>
      </c>
      <c r="C71" s="61"/>
      <c r="D71" s="17">
        <v>22140</v>
      </c>
      <c r="E71" s="16"/>
      <c r="F71" s="16"/>
      <c r="G71" s="16"/>
      <c r="H71" s="16">
        <f t="shared" ref="H71" si="101">+H70+D71</f>
        <v>1592723</v>
      </c>
      <c r="I71" s="16"/>
      <c r="J71" s="38">
        <f t="shared" ref="J71" si="102">+D71/H70</f>
        <v>1.409667620240382E-2</v>
      </c>
      <c r="K71" s="16"/>
      <c r="L71" s="16"/>
      <c r="M71" s="16"/>
      <c r="N71" s="16">
        <f t="shared" ref="N71" si="103">+H71/BV71</f>
        <v>25689.080645161292</v>
      </c>
      <c r="O71" s="41"/>
      <c r="P71" s="17"/>
      <c r="Q71" s="16"/>
      <c r="R71" s="60"/>
      <c r="S71" s="16"/>
      <c r="T71" s="41"/>
      <c r="U71" s="10"/>
      <c r="V71" s="34">
        <v>1403</v>
      </c>
      <c r="W71" s="33"/>
      <c r="X71" s="33"/>
      <c r="Y71" s="33"/>
      <c r="Z71" s="33">
        <f t="shared" ref="Z71" si="104">+Z70+V71</f>
        <v>94936</v>
      </c>
      <c r="AA71" s="33"/>
      <c r="AB71" s="46">
        <f t="shared" ref="AB71" si="105">+Z71/H71</f>
        <v>5.960609597525747E-2</v>
      </c>
      <c r="AC71" s="33"/>
      <c r="AD71" s="33">
        <f t="shared" ref="AD71" si="106">+Z71/BV71</f>
        <v>1531.2258064516129</v>
      </c>
      <c r="AE71" s="50"/>
      <c r="AF71" s="33"/>
      <c r="AG71" s="33"/>
      <c r="AH71" s="233"/>
      <c r="AI71" s="50"/>
      <c r="AJ71" s="10"/>
      <c r="AK71" s="23">
        <f t="shared" ref="AK71" si="107">+AO71-AO70</f>
        <v>8896</v>
      </c>
      <c r="AL71" s="24"/>
      <c r="AM71" s="24"/>
      <c r="AN71" s="24">
        <v>178263</v>
      </c>
      <c r="AO71" s="24">
        <v>370076</v>
      </c>
      <c r="AP71" s="24"/>
      <c r="AQ71" s="25">
        <f t="shared" ref="AQ71" si="108">+AK71/AO70</f>
        <v>2.4630378204773245E-2</v>
      </c>
      <c r="AR71" s="25"/>
      <c r="AS71" s="25"/>
      <c r="AT71" s="24"/>
      <c r="AU71" s="344">
        <f t="shared" ref="AU71" si="109">+AO71/H71</f>
        <v>0.23235427629286448</v>
      </c>
      <c r="AV71" s="344"/>
      <c r="AW71" s="24">
        <f t="shared" ref="AW71" si="110">+AO71/BV71</f>
        <v>5968.9677419354839</v>
      </c>
      <c r="AX71" s="354"/>
      <c r="AY71" s="10"/>
      <c r="AZ71" s="66">
        <f t="shared" ref="AZ71" si="111">+BB71-BB70</f>
        <v>323101</v>
      </c>
      <c r="BA71" s="67"/>
      <c r="BB71" s="67">
        <v>12968574</v>
      </c>
      <c r="BC71" s="67"/>
      <c r="BD71" s="67">
        <f t="shared" ref="BD71" si="112">+D71</f>
        <v>22140</v>
      </c>
      <c r="BE71" s="67"/>
      <c r="BF71" s="157">
        <f t="shared" ref="BF71" si="113">+BD71/AZ71</f>
        <v>6.8523464798932843E-2</v>
      </c>
      <c r="BG71" s="67"/>
      <c r="BH71" s="185"/>
      <c r="BI71" s="67"/>
      <c r="BJ71" s="67"/>
      <c r="BK71" s="67"/>
      <c r="BL71" s="157"/>
      <c r="BM71" s="66">
        <f t="shared" ref="BM71" si="114">+BB71/BV71</f>
        <v>209170.54838709679</v>
      </c>
      <c r="BN71" s="67"/>
      <c r="BO71" s="67">
        <f t="shared" ref="BO71" si="115">+BO70+BD71</f>
        <v>1340401</v>
      </c>
      <c r="BP71" s="67"/>
      <c r="BQ71" s="74">
        <f t="shared" ref="BQ71" si="116">+BO71/BB71</f>
        <v>0.10335762436178411</v>
      </c>
      <c r="BR71" s="67"/>
      <c r="BS71" s="86"/>
      <c r="BT71" s="185"/>
      <c r="BU71" s="1"/>
      <c r="BV71">
        <f t="shared" si="11"/>
        <v>62</v>
      </c>
    </row>
    <row r="72" spans="2:74" x14ac:dyDescent="0.3">
      <c r="B72" s="173">
        <f t="shared" si="6"/>
        <v>43972</v>
      </c>
      <c r="C72" s="61"/>
      <c r="D72" s="17">
        <v>28179</v>
      </c>
      <c r="E72" s="16"/>
      <c r="F72" s="16"/>
      <c r="G72" s="16"/>
      <c r="H72" s="16">
        <f t="shared" ref="H72" si="117">+H71+D72</f>
        <v>1620902</v>
      </c>
      <c r="I72" s="16"/>
      <c r="J72" s="38">
        <f t="shared" ref="J72" si="118">+D72/H71</f>
        <v>1.7692341982880892E-2</v>
      </c>
      <c r="K72" s="16"/>
      <c r="L72" s="16"/>
      <c r="M72" s="16"/>
      <c r="N72" s="16">
        <f t="shared" ref="N72" si="119">+H72/BV72</f>
        <v>25728.603174603173</v>
      </c>
      <c r="O72" s="41"/>
      <c r="P72" s="17"/>
      <c r="Q72" s="16"/>
      <c r="R72" s="60"/>
      <c r="S72" s="16"/>
      <c r="T72" s="41"/>
      <c r="U72" s="10"/>
      <c r="V72" s="34">
        <v>1418</v>
      </c>
      <c r="W72" s="33"/>
      <c r="X72" s="33"/>
      <c r="Y72" s="33"/>
      <c r="Z72" s="33">
        <f t="shared" ref="Z72" si="120">+Z71+V72</f>
        <v>96354</v>
      </c>
      <c r="AA72" s="33"/>
      <c r="AB72" s="46">
        <f t="shared" ref="AB72" si="121">+Z72/H72</f>
        <v>5.944467956730265E-2</v>
      </c>
      <c r="AC72" s="33"/>
      <c r="AD72" s="33">
        <f t="shared" ref="AD72" si="122">+Z72/BV72</f>
        <v>1529.4285714285713</v>
      </c>
      <c r="AE72" s="50"/>
      <c r="AF72" s="33"/>
      <c r="AG72" s="33"/>
      <c r="AH72" s="233"/>
      <c r="AI72" s="50"/>
      <c r="AJ72" s="10"/>
      <c r="AK72" s="23">
        <f t="shared" ref="AK72" si="123">+AO72-AO71</f>
        <v>12093</v>
      </c>
      <c r="AL72" s="24"/>
      <c r="AM72" s="24"/>
      <c r="AN72" s="24">
        <v>178263</v>
      </c>
      <c r="AO72" s="24">
        <v>382169</v>
      </c>
      <c r="AP72" s="24"/>
      <c r="AQ72" s="25">
        <f t="shared" ref="AQ72" si="124">+AK72/AO71</f>
        <v>3.2677071736616263E-2</v>
      </c>
      <c r="AR72" s="25"/>
      <c r="AS72" s="25"/>
      <c r="AT72" s="24"/>
      <c r="AU72" s="344">
        <f t="shared" ref="AU72" si="125">+AO72/H72</f>
        <v>0.23577551264666216</v>
      </c>
      <c r="AV72" s="344"/>
      <c r="AW72" s="24">
        <f t="shared" ref="AW72" si="126">+AO72/BV72</f>
        <v>6066.1746031746034</v>
      </c>
      <c r="AX72" s="354"/>
      <c r="AY72" s="10"/>
      <c r="AZ72" s="66">
        <f t="shared" ref="AZ72" si="127">+BB72-BB71</f>
        <v>470540</v>
      </c>
      <c r="BA72" s="67"/>
      <c r="BB72" s="67">
        <v>13439114</v>
      </c>
      <c r="BC72" s="67"/>
      <c r="BD72" s="67">
        <f t="shared" ref="BD72" si="128">+D72</f>
        <v>28179</v>
      </c>
      <c r="BE72" s="67"/>
      <c r="BF72" s="157">
        <f t="shared" ref="BF72" si="129">+BD72/AZ72</f>
        <v>5.988651336762018E-2</v>
      </c>
      <c r="BG72" s="67"/>
      <c r="BH72" s="185"/>
      <c r="BI72" s="67"/>
      <c r="BJ72" s="67"/>
      <c r="BK72" s="67"/>
      <c r="BL72" s="157"/>
      <c r="BM72" s="66">
        <f t="shared" ref="BM72" si="130">+BB72/BV72</f>
        <v>213319.26984126985</v>
      </c>
      <c r="BN72" s="67"/>
      <c r="BO72" s="67">
        <f t="shared" ref="BO72" si="131">+BO71+BD72</f>
        <v>1368580</v>
      </c>
      <c r="BP72" s="67"/>
      <c r="BQ72" s="74">
        <f t="shared" ref="BQ72" si="132">+BO72/BB72</f>
        <v>0.10183558231591755</v>
      </c>
      <c r="BR72" s="67"/>
      <c r="BS72" s="86"/>
      <c r="BT72" s="185"/>
      <c r="BU72" s="1"/>
      <c r="BV72">
        <f t="shared" si="11"/>
        <v>63</v>
      </c>
    </row>
    <row r="73" spans="2:74" x14ac:dyDescent="0.3">
      <c r="B73" s="173">
        <f t="shared" si="6"/>
        <v>43973</v>
      </c>
      <c r="C73" s="61"/>
      <c r="D73" s="17">
        <v>24197</v>
      </c>
      <c r="E73" s="16"/>
      <c r="F73" s="16"/>
      <c r="G73" s="16"/>
      <c r="H73" s="16">
        <f t="shared" ref="H73" si="133">+H72+D73</f>
        <v>1645099</v>
      </c>
      <c r="I73" s="16"/>
      <c r="J73" s="38">
        <f t="shared" ref="J73" si="134">+D73/H72</f>
        <v>1.4928107930029083E-2</v>
      </c>
      <c r="K73" s="16"/>
      <c r="L73" s="16"/>
      <c r="M73" s="16"/>
      <c r="N73" s="16">
        <f t="shared" ref="N73" si="135">+H73/BV73</f>
        <v>25704.671875</v>
      </c>
      <c r="O73" s="41"/>
      <c r="P73" s="17"/>
      <c r="Q73" s="16"/>
      <c r="R73" s="60"/>
      <c r="S73" s="16"/>
      <c r="T73" s="41"/>
      <c r="U73" s="10"/>
      <c r="V73" s="34">
        <v>1293</v>
      </c>
      <c r="W73" s="33"/>
      <c r="X73" s="33"/>
      <c r="Y73" s="33"/>
      <c r="Z73" s="33">
        <f t="shared" ref="Z73" si="136">+Z72+V73</f>
        <v>97647</v>
      </c>
      <c r="AA73" s="33"/>
      <c r="AB73" s="46">
        <f t="shared" ref="AB73" si="137">+Z73/H73</f>
        <v>5.9356306216221635E-2</v>
      </c>
      <c r="AC73" s="33"/>
      <c r="AD73" s="33">
        <f t="shared" ref="AD73" si="138">+Z73/BV73</f>
        <v>1525.734375</v>
      </c>
      <c r="AE73" s="50"/>
      <c r="AF73" s="33"/>
      <c r="AG73" s="33"/>
      <c r="AH73" s="233"/>
      <c r="AI73" s="50"/>
      <c r="AJ73" s="10"/>
      <c r="AK73" s="23">
        <f t="shared" ref="AK73" si="139">+AO73-AO72</f>
        <v>51428</v>
      </c>
      <c r="AL73" s="24"/>
      <c r="AM73" s="24"/>
      <c r="AN73" s="24">
        <v>178263</v>
      </c>
      <c r="AO73" s="24">
        <v>433597</v>
      </c>
      <c r="AP73" s="24"/>
      <c r="AQ73" s="25">
        <f t="shared" ref="AQ73" si="140">+AK73/AO72</f>
        <v>0.13456873791437821</v>
      </c>
      <c r="AR73" s="25"/>
      <c r="AS73" s="25"/>
      <c r="AT73" s="24"/>
      <c r="AU73" s="344">
        <f t="shared" ref="AU73" si="141">+AO73/H73</f>
        <v>0.26356894022791333</v>
      </c>
      <c r="AV73" s="344"/>
      <c r="AW73" s="24">
        <f t="shared" ref="AW73" si="142">+AO73/BV73</f>
        <v>6774.953125</v>
      </c>
      <c r="AX73" s="354"/>
      <c r="AY73" s="10"/>
      <c r="AZ73" s="66">
        <f t="shared" ref="AZ73" si="143">+BB73-BB72</f>
        <v>470791</v>
      </c>
      <c r="BA73" s="67"/>
      <c r="BB73" s="67">
        <v>13909905</v>
      </c>
      <c r="BC73" s="67"/>
      <c r="BD73" s="67">
        <f t="shared" ref="BD73" si="144">+D73</f>
        <v>24197</v>
      </c>
      <c r="BE73" s="67"/>
      <c r="BF73" s="157">
        <f t="shared" ref="BF73" si="145">+BD73/AZ73</f>
        <v>5.1396479541877392E-2</v>
      </c>
      <c r="BG73" s="67"/>
      <c r="BH73" s="185"/>
      <c r="BI73" s="67"/>
      <c r="BJ73" s="67"/>
      <c r="BK73" s="67"/>
      <c r="BL73" s="157"/>
      <c r="BM73" s="66">
        <f t="shared" ref="BM73" si="146">+BB73/BV73</f>
        <v>217342.265625</v>
      </c>
      <c r="BN73" s="67"/>
      <c r="BO73" s="67">
        <f t="shared" ref="BO73" si="147">+BO72+BD73</f>
        <v>1392777</v>
      </c>
      <c r="BP73" s="67"/>
      <c r="BQ73" s="74">
        <f t="shared" ref="BQ73" si="148">+BO73/BB73</f>
        <v>0.10012843365932406</v>
      </c>
      <c r="BR73" s="67"/>
      <c r="BS73" s="86"/>
      <c r="BT73" s="185"/>
      <c r="BU73" s="1"/>
      <c r="BV73">
        <f t="shared" si="11"/>
        <v>64</v>
      </c>
    </row>
    <row r="74" spans="2:74" x14ac:dyDescent="0.3">
      <c r="B74" s="173">
        <f t="shared" si="6"/>
        <v>43974</v>
      </c>
      <c r="C74" s="61"/>
      <c r="D74" s="17">
        <v>21929</v>
      </c>
      <c r="E74" s="16"/>
      <c r="F74" s="16"/>
      <c r="G74" s="16"/>
      <c r="H74" s="16">
        <f t="shared" ref="H74" si="149">+H73+D74</f>
        <v>1667028</v>
      </c>
      <c r="I74" s="16"/>
      <c r="J74" s="38">
        <f t="shared" ref="J74" si="150">+D74/H73</f>
        <v>1.3329896863349865E-2</v>
      </c>
      <c r="K74" s="16"/>
      <c r="L74" s="16"/>
      <c r="M74" s="16"/>
      <c r="N74" s="16">
        <f t="shared" ref="N74" si="151">+H74/BV74</f>
        <v>25646.584615384614</v>
      </c>
      <c r="O74" s="41"/>
      <c r="P74" s="17"/>
      <c r="Q74" s="16"/>
      <c r="R74" s="60"/>
      <c r="S74" s="16"/>
      <c r="T74" s="41"/>
      <c r="U74" s="10"/>
      <c r="V74" s="34">
        <v>1036</v>
      </c>
      <c r="W74" s="33"/>
      <c r="X74" s="33"/>
      <c r="Y74" s="33"/>
      <c r="Z74" s="33">
        <f t="shared" ref="Z74" si="152">+Z73+V74</f>
        <v>98683</v>
      </c>
      <c r="AA74" s="33"/>
      <c r="AB74" s="46">
        <f t="shared" ref="AB74" si="153">+Z74/H74</f>
        <v>5.9196966097750006E-2</v>
      </c>
      <c r="AC74" s="33"/>
      <c r="AD74" s="33">
        <f t="shared" ref="AD74" si="154">+Z74/BV74</f>
        <v>1518.2</v>
      </c>
      <c r="AE74" s="50"/>
      <c r="AF74" s="33"/>
      <c r="AG74" s="33"/>
      <c r="AH74" s="233"/>
      <c r="AI74" s="50"/>
      <c r="AJ74" s="10"/>
      <c r="AK74" s="23">
        <f t="shared" ref="AK74" si="155">+AO74-AO73</f>
        <v>13317</v>
      </c>
      <c r="AL74" s="24"/>
      <c r="AM74" s="24"/>
      <c r="AN74" s="24">
        <v>178263</v>
      </c>
      <c r="AO74" s="24">
        <v>446914</v>
      </c>
      <c r="AP74" s="24"/>
      <c r="AQ74" s="25">
        <f t="shared" ref="AQ74" si="156">+AK74/AO73</f>
        <v>3.0712850873045709E-2</v>
      </c>
      <c r="AR74" s="25"/>
      <c r="AS74" s="25"/>
      <c r="AT74" s="24"/>
      <c r="AU74" s="344">
        <f t="shared" ref="AU74" si="157">+AO74/H74</f>
        <v>0.26809027802772362</v>
      </c>
      <c r="AV74" s="344"/>
      <c r="AW74" s="24">
        <f t="shared" ref="AW74" si="158">+AO74/BV74</f>
        <v>6875.6</v>
      </c>
      <c r="AX74" s="354"/>
      <c r="AY74" s="10"/>
      <c r="AZ74" s="66">
        <f t="shared" ref="AZ74" si="159">+BB74-BB73</f>
        <v>448064</v>
      </c>
      <c r="BA74" s="67"/>
      <c r="BB74" s="67">
        <v>14357969</v>
      </c>
      <c r="BC74" s="67"/>
      <c r="BD74" s="67">
        <f t="shared" ref="BD74" si="160">+D74</f>
        <v>21929</v>
      </c>
      <c r="BE74" s="67"/>
      <c r="BF74" s="157">
        <f t="shared" ref="BF74" si="161">+BD74/AZ74</f>
        <v>4.8941669047278959E-2</v>
      </c>
      <c r="BG74" s="67"/>
      <c r="BH74" s="185"/>
      <c r="BI74" s="67"/>
      <c r="BJ74" s="67"/>
      <c r="BK74" s="67"/>
      <c r="BL74" s="157"/>
      <c r="BM74" s="66">
        <f t="shared" ref="BM74" si="162">+BB74/BV74</f>
        <v>220891.83076923076</v>
      </c>
      <c r="BN74" s="67"/>
      <c r="BO74" s="67">
        <f t="shared" ref="BO74" si="163">+BO73+BD74</f>
        <v>1414706</v>
      </c>
      <c r="BP74" s="67"/>
      <c r="BQ74" s="74">
        <f t="shared" ref="BQ74" si="164">+BO74/BB74</f>
        <v>9.8531066615340931E-2</v>
      </c>
      <c r="BR74" s="67"/>
      <c r="BS74" s="86"/>
      <c r="BT74" s="185"/>
      <c r="BU74" s="1"/>
      <c r="BV74">
        <f t="shared" si="11"/>
        <v>65</v>
      </c>
    </row>
    <row r="75" spans="2:74" x14ac:dyDescent="0.3">
      <c r="B75" s="393">
        <f t="shared" si="6"/>
        <v>43975</v>
      </c>
      <c r="C75" s="61"/>
      <c r="D75" s="17">
        <v>19617</v>
      </c>
      <c r="E75" s="16"/>
      <c r="F75" s="16"/>
      <c r="G75" s="16"/>
      <c r="H75" s="16">
        <f t="shared" ref="H75" si="165">+H74+D75</f>
        <v>1686645</v>
      </c>
      <c r="I75" s="16"/>
      <c r="J75" s="38">
        <f t="shared" ref="J75" si="166">+D75/H74</f>
        <v>1.1767648773745852E-2</v>
      </c>
      <c r="K75" s="16"/>
      <c r="L75" s="16"/>
      <c r="M75" s="16"/>
      <c r="N75" s="16">
        <f t="shared" ref="N75" si="167">+H75/BV75</f>
        <v>25555.227272727272</v>
      </c>
      <c r="O75" s="41"/>
      <c r="P75" s="17">
        <f t="shared" ref="P75" si="168">SUM(D69:D75)</f>
        <v>158981</v>
      </c>
      <c r="Q75" s="16"/>
      <c r="R75" s="60">
        <f t="shared" ref="R75" si="169">+(P75-P68)/P68</f>
        <v>-6.5301888443127995E-3</v>
      </c>
      <c r="S75" s="16"/>
      <c r="T75" s="41"/>
      <c r="U75" s="394"/>
      <c r="V75" s="34">
        <v>617</v>
      </c>
      <c r="W75" s="33"/>
      <c r="X75" s="33"/>
      <c r="Y75" s="33"/>
      <c r="Z75" s="33">
        <f t="shared" ref="Z75" si="170">+Z74+V75</f>
        <v>99300</v>
      </c>
      <c r="AA75" s="33"/>
      <c r="AB75" s="46">
        <f t="shared" ref="AB75" si="171">+Z75/H75</f>
        <v>5.8874274076643279E-2</v>
      </c>
      <c r="AC75" s="33"/>
      <c r="AD75" s="33">
        <f t="shared" ref="AD75" si="172">+Z75/BV75</f>
        <v>1504.5454545454545</v>
      </c>
      <c r="AE75" s="50"/>
      <c r="AF75" s="33">
        <f t="shared" ref="AF75" si="173">SUM(V69:V75)</f>
        <v>8322</v>
      </c>
      <c r="AG75" s="33"/>
      <c r="AH75" s="233">
        <f t="shared" ref="AH75" si="174">+(AF75-AF68)/AF68</f>
        <v>-0.1833971151015602</v>
      </c>
      <c r="AI75" s="50"/>
      <c r="AJ75" s="394"/>
      <c r="AK75" s="23">
        <f t="shared" ref="AK75" si="175">+AO75-AO74</f>
        <v>4788</v>
      </c>
      <c r="AL75" s="24"/>
      <c r="AM75" s="24"/>
      <c r="AN75" s="24">
        <v>178263</v>
      </c>
      <c r="AO75" s="24">
        <v>451702</v>
      </c>
      <c r="AP75" s="24"/>
      <c r="AQ75" s="25">
        <f t="shared" ref="AQ75" si="176">+AK75/AO74</f>
        <v>1.0713470600607723E-2</v>
      </c>
      <c r="AR75" s="25"/>
      <c r="AS75" s="25"/>
      <c r="AT75" s="24"/>
      <c r="AU75" s="344">
        <f t="shared" ref="AU75" si="177">+AO75/H75</f>
        <v>0.26781095014066386</v>
      </c>
      <c r="AV75" s="344"/>
      <c r="AW75" s="24">
        <f t="shared" ref="AW75" si="178">+AO75/BV75</f>
        <v>6843.969696969697</v>
      </c>
      <c r="AX75" s="354"/>
      <c r="AY75" s="394"/>
      <c r="AZ75" s="66">
        <f t="shared" ref="AZ75" si="179">+BB75-BB74</f>
        <v>391787</v>
      </c>
      <c r="BA75" s="67"/>
      <c r="BB75" s="67">
        <v>14749756</v>
      </c>
      <c r="BC75" s="67"/>
      <c r="BD75" s="67">
        <f t="shared" ref="BD75" si="180">+D75</f>
        <v>19617</v>
      </c>
      <c r="BE75" s="67"/>
      <c r="BF75" s="157">
        <f t="shared" ref="BF75" si="181">+BD75/AZ75</f>
        <v>5.0070574061926505E-2</v>
      </c>
      <c r="BG75" s="67"/>
      <c r="BH75" s="185"/>
      <c r="BI75" s="67"/>
      <c r="BJ75" s="67">
        <f t="shared" ref="BJ75" si="182">SUM(AZ69:AZ75)</f>
        <v>2874176</v>
      </c>
      <c r="BK75" s="67"/>
      <c r="BL75" s="157">
        <f t="shared" ref="BL75" si="183">+P75/BJ75</f>
        <v>5.5313592487029328E-2</v>
      </c>
      <c r="BM75" s="66">
        <f t="shared" ref="BM75" si="184">+BB75/BV75</f>
        <v>223481.15151515152</v>
      </c>
      <c r="BN75" s="67"/>
      <c r="BO75" s="67">
        <f t="shared" ref="BO75" si="185">+BO74+BD75</f>
        <v>1434323</v>
      </c>
      <c r="BP75" s="67"/>
      <c r="BQ75" s="74">
        <f t="shared" ref="BQ75" si="186">+BO75/BB75</f>
        <v>9.7243845932095424E-2</v>
      </c>
      <c r="BR75" s="67"/>
      <c r="BS75" s="86"/>
      <c r="BT75" s="185"/>
      <c r="BU75" s="1"/>
      <c r="BV75">
        <f t="shared" si="11"/>
        <v>66</v>
      </c>
    </row>
    <row r="76" spans="2:74" x14ac:dyDescent="0.3">
      <c r="B76" s="173">
        <f t="shared" si="6"/>
        <v>43976</v>
      </c>
      <c r="C76" s="61"/>
      <c r="D76" s="17">
        <v>19790</v>
      </c>
      <c r="E76" s="16"/>
      <c r="F76" s="16"/>
      <c r="G76" s="16"/>
      <c r="H76" s="16">
        <f t="shared" ref="H76" si="187">+H75+D76</f>
        <v>1706435</v>
      </c>
      <c r="I76" s="16"/>
      <c r="J76" s="38">
        <f t="shared" ref="J76" si="188">+D76/H75</f>
        <v>1.1733352305909068E-2</v>
      </c>
      <c r="K76" s="16"/>
      <c r="L76" s="16"/>
      <c r="M76" s="16"/>
      <c r="N76" s="16">
        <f t="shared" ref="N76" si="189">+H76/BV76</f>
        <v>25469.179104477611</v>
      </c>
      <c r="O76" s="41"/>
      <c r="P76" s="17">
        <f t="shared" ref="P76" si="190">SUM(D70:D76)</f>
        <v>156141</v>
      </c>
      <c r="Q76" s="16"/>
      <c r="R76" s="60" t="e">
        <f t="shared" ref="R76" si="191">+(P76-P69)/P69</f>
        <v>#DIV/0!</v>
      </c>
      <c r="S76" s="16"/>
      <c r="T76" s="41"/>
      <c r="U76" s="10"/>
      <c r="V76" s="34">
        <v>505</v>
      </c>
      <c r="W76" s="33"/>
      <c r="X76" s="33"/>
      <c r="Y76" s="33"/>
      <c r="Z76" s="33">
        <f t="shared" ref="Z76" si="192">+Z75+V76</f>
        <v>99805</v>
      </c>
      <c r="AA76" s="33"/>
      <c r="AB76" s="46">
        <f t="shared" ref="AB76" si="193">+Z76/H76</f>
        <v>5.8487431399379411E-2</v>
      </c>
      <c r="AC76" s="33"/>
      <c r="AD76" s="33">
        <f t="shared" ref="AD76" si="194">+Z76/BV76</f>
        <v>1489.6268656716418</v>
      </c>
      <c r="AE76" s="50"/>
      <c r="AF76" s="33">
        <f t="shared" ref="AF76" si="195">SUM(V70:V76)</f>
        <v>7824</v>
      </c>
      <c r="AG76" s="33"/>
      <c r="AH76" s="233" t="e">
        <f t="shared" ref="AH76" si="196">+(AF76-AF69)/AF69</f>
        <v>#DIV/0!</v>
      </c>
      <c r="AI76" s="50"/>
      <c r="AJ76" s="10"/>
      <c r="AK76" s="23">
        <f t="shared" ref="AK76" si="197">+AO76-AO75</f>
        <v>12968</v>
      </c>
      <c r="AL76" s="24"/>
      <c r="AM76" s="24"/>
      <c r="AN76" s="24">
        <v>178263</v>
      </c>
      <c r="AO76" s="24">
        <v>464670</v>
      </c>
      <c r="AP76" s="24"/>
      <c r="AQ76" s="25">
        <f t="shared" ref="AQ76" si="198">+AK76/AO75</f>
        <v>2.8709193229164362E-2</v>
      </c>
      <c r="AR76" s="25"/>
      <c r="AS76" s="25"/>
      <c r="AT76" s="24"/>
      <c r="AU76" s="344">
        <f t="shared" ref="AU76" si="199">+AO76/H76</f>
        <v>0.27230454133910753</v>
      </c>
      <c r="AV76" s="344"/>
      <c r="AW76" s="24">
        <f t="shared" ref="AW76" si="200">+AO76/BV76</f>
        <v>6935.373134328358</v>
      </c>
      <c r="AX76" s="354"/>
      <c r="AY76" s="10"/>
      <c r="AZ76" s="66">
        <f t="shared" ref="AZ76" si="201">+BB76-BB75</f>
        <v>437891</v>
      </c>
      <c r="BA76" s="67"/>
      <c r="BB76" s="67">
        <v>15187647</v>
      </c>
      <c r="BC76" s="67"/>
      <c r="BD76" s="67">
        <f t="shared" ref="BD76" si="202">+D76</f>
        <v>19790</v>
      </c>
      <c r="BE76" s="67"/>
      <c r="BF76" s="157">
        <f t="shared" ref="BF76" si="203">+BD76/AZ76</f>
        <v>4.5193895284442932E-2</v>
      </c>
      <c r="BG76" s="67"/>
      <c r="BH76" s="185"/>
      <c r="BI76" s="67"/>
      <c r="BJ76" s="67">
        <f t="shared" ref="BJ76" si="204">SUM(AZ70:AZ76)</f>
        <v>2886903</v>
      </c>
      <c r="BK76" s="67"/>
      <c r="BL76" s="157">
        <f t="shared" ref="BL76" si="205">+P76/BJ76</f>
        <v>5.4085987648355351E-2</v>
      </c>
      <c r="BM76" s="66">
        <f t="shared" ref="BM76" si="206">+BB76/BV76</f>
        <v>226681.29850746269</v>
      </c>
      <c r="BN76" s="67"/>
      <c r="BO76" s="67">
        <f t="shared" ref="BO76" si="207">+BO75+BD76</f>
        <v>1454113</v>
      </c>
      <c r="BP76" s="67"/>
      <c r="BQ76" s="74">
        <f t="shared" ref="BQ76" si="208">+BO76/BB76</f>
        <v>9.5743139144595604E-2</v>
      </c>
      <c r="BR76" s="67"/>
      <c r="BS76" s="86"/>
      <c r="BT76" s="185"/>
      <c r="BU76" s="1"/>
      <c r="BV76">
        <f t="shared" si="11"/>
        <v>67</v>
      </c>
    </row>
    <row r="77" spans="2:74" x14ac:dyDescent="0.3">
      <c r="B77" s="173">
        <f t="shared" ref="B77:B80" si="209">1+B76</f>
        <v>43977</v>
      </c>
      <c r="C77" s="61"/>
      <c r="D77" s="17"/>
      <c r="E77" s="16"/>
      <c r="F77" s="16"/>
      <c r="G77" s="16"/>
      <c r="H77" s="16"/>
      <c r="I77" s="16"/>
      <c r="J77" s="38"/>
      <c r="K77" s="16"/>
      <c r="L77" s="16"/>
      <c r="M77" s="16"/>
      <c r="N77" s="16"/>
      <c r="O77" s="41"/>
      <c r="P77" s="17"/>
      <c r="Q77" s="16"/>
      <c r="R77" s="60"/>
      <c r="S77" s="16"/>
      <c r="T77" s="41"/>
      <c r="U77" s="10"/>
      <c r="V77" s="34"/>
      <c r="W77" s="33"/>
      <c r="X77" s="33"/>
      <c r="Y77" s="33"/>
      <c r="Z77" s="33"/>
      <c r="AA77" s="33"/>
      <c r="AB77" s="46"/>
      <c r="AC77" s="33"/>
      <c r="AD77" s="33"/>
      <c r="AE77" s="50"/>
      <c r="AF77" s="33"/>
      <c r="AG77" s="33"/>
      <c r="AH77" s="233"/>
      <c r="AI77" s="50"/>
      <c r="AJ77" s="10"/>
      <c r="AK77" s="23"/>
      <c r="AL77" s="24"/>
      <c r="AM77" s="24"/>
      <c r="AN77" s="24"/>
      <c r="AO77" s="24"/>
      <c r="AP77" s="24"/>
      <c r="AQ77" s="25"/>
      <c r="AR77" s="25"/>
      <c r="AS77" s="25"/>
      <c r="AT77" s="24"/>
      <c r="AU77" s="344"/>
      <c r="AV77" s="344"/>
      <c r="AW77" s="24"/>
      <c r="AX77" s="354"/>
      <c r="AY77" s="10"/>
      <c r="AZ77" s="66"/>
      <c r="BA77" s="67"/>
      <c r="BB77" s="67"/>
      <c r="BC77" s="67"/>
      <c r="BD77" s="67"/>
      <c r="BE77" s="67"/>
      <c r="BF77" s="157"/>
      <c r="BG77" s="67"/>
      <c r="BH77" s="185"/>
      <c r="BI77" s="67"/>
      <c r="BJ77" s="67"/>
      <c r="BK77" s="67"/>
      <c r="BL77" s="157"/>
      <c r="BM77" s="66"/>
      <c r="BN77" s="67"/>
      <c r="BO77" s="67"/>
      <c r="BP77" s="67"/>
      <c r="BQ77" s="74"/>
      <c r="BR77" s="67"/>
      <c r="BS77" s="86"/>
      <c r="BT77" s="185"/>
      <c r="BU77" s="1"/>
      <c r="BV77">
        <f t="shared" ref="BV77:BV80" si="210">+BV76+1</f>
        <v>68</v>
      </c>
    </row>
    <row r="78" spans="2:74" x14ac:dyDescent="0.3">
      <c r="B78" s="173">
        <f t="shared" si="209"/>
        <v>43978</v>
      </c>
      <c r="C78" s="61"/>
      <c r="D78" s="17"/>
      <c r="E78" s="16"/>
      <c r="F78" s="16"/>
      <c r="G78" s="16"/>
      <c r="H78" s="16"/>
      <c r="I78" s="16"/>
      <c r="J78" s="38"/>
      <c r="K78" s="16"/>
      <c r="L78" s="16"/>
      <c r="M78" s="16"/>
      <c r="N78" s="16"/>
      <c r="O78" s="41"/>
      <c r="P78" s="457"/>
      <c r="Q78" s="16"/>
      <c r="R78" s="60"/>
      <c r="S78" s="16"/>
      <c r="T78" s="41"/>
      <c r="U78" s="10"/>
      <c r="V78" s="34"/>
      <c r="W78" s="33"/>
      <c r="X78" s="33"/>
      <c r="Y78" s="33"/>
      <c r="Z78" s="33"/>
      <c r="AA78" s="33"/>
      <c r="AB78" s="46"/>
      <c r="AC78" s="33"/>
      <c r="AD78" s="33"/>
      <c r="AE78" s="50"/>
      <c r="AF78" s="33"/>
      <c r="AG78" s="33"/>
      <c r="AH78" s="233"/>
      <c r="AI78" s="50"/>
      <c r="AJ78" s="10"/>
      <c r="AK78" s="23"/>
      <c r="AL78" s="24"/>
      <c r="AM78" s="24"/>
      <c r="AN78" s="24"/>
      <c r="AO78" s="24"/>
      <c r="AP78" s="24"/>
      <c r="AQ78" s="25"/>
      <c r="AR78" s="25"/>
      <c r="AS78" s="25"/>
      <c r="AT78" s="24"/>
      <c r="AU78" s="344"/>
      <c r="AV78" s="344"/>
      <c r="AW78" s="24"/>
      <c r="AX78" s="354"/>
      <c r="AY78" s="10"/>
      <c r="AZ78" s="66"/>
      <c r="BA78" s="67"/>
      <c r="BB78" s="67"/>
      <c r="BC78" s="67"/>
      <c r="BD78" s="67"/>
      <c r="BE78" s="67"/>
      <c r="BF78" s="157"/>
      <c r="BG78" s="67"/>
      <c r="BH78" s="185"/>
      <c r="BI78" s="67"/>
      <c r="BJ78" s="67"/>
      <c r="BK78" s="67"/>
      <c r="BL78" s="157"/>
      <c r="BM78" s="66"/>
      <c r="BN78" s="67"/>
      <c r="BO78" s="67"/>
      <c r="BP78" s="67"/>
      <c r="BQ78" s="74"/>
      <c r="BR78" s="67"/>
      <c r="BS78" s="86"/>
      <c r="BT78" s="185"/>
      <c r="BU78" s="1"/>
      <c r="BV78">
        <f t="shared" si="210"/>
        <v>69</v>
      </c>
    </row>
    <row r="79" spans="2:74" x14ac:dyDescent="0.3">
      <c r="B79" s="173">
        <f t="shared" si="209"/>
        <v>43979</v>
      </c>
      <c r="C79" s="61"/>
      <c r="D79" s="17"/>
      <c r="E79" s="16"/>
      <c r="F79" s="16"/>
      <c r="G79" s="16"/>
      <c r="H79" s="16"/>
      <c r="I79" s="16"/>
      <c r="J79" s="38"/>
      <c r="K79" s="16"/>
      <c r="L79" s="16"/>
      <c r="M79" s="16"/>
      <c r="N79" s="16"/>
      <c r="O79" s="41"/>
      <c r="P79" s="17"/>
      <c r="Q79" s="16"/>
      <c r="R79" s="60"/>
      <c r="S79" s="16"/>
      <c r="T79" s="41"/>
      <c r="U79" s="10"/>
      <c r="V79" s="34"/>
      <c r="W79" s="33"/>
      <c r="X79" s="33"/>
      <c r="Y79" s="33"/>
      <c r="Z79" s="33"/>
      <c r="AA79" s="33"/>
      <c r="AB79" s="46"/>
      <c r="AC79" s="33"/>
      <c r="AD79" s="33"/>
      <c r="AE79" s="50"/>
      <c r="AF79" s="33"/>
      <c r="AG79" s="33"/>
      <c r="AH79" s="233"/>
      <c r="AI79" s="50"/>
      <c r="AJ79" s="10"/>
      <c r="AK79" s="23"/>
      <c r="AL79" s="24"/>
      <c r="AM79" s="24"/>
      <c r="AN79" s="24"/>
      <c r="AO79" s="24"/>
      <c r="AP79" s="24"/>
      <c r="AQ79" s="25"/>
      <c r="AR79" s="25"/>
      <c r="AS79" s="25"/>
      <c r="AT79" s="24"/>
      <c r="AU79" s="344"/>
      <c r="AV79" s="344"/>
      <c r="AW79" s="24"/>
      <c r="AX79" s="354"/>
      <c r="AY79" s="10"/>
      <c r="AZ79" s="66"/>
      <c r="BA79" s="67"/>
      <c r="BB79" s="67"/>
      <c r="BC79" s="67"/>
      <c r="BD79" s="67"/>
      <c r="BE79" s="67"/>
      <c r="BF79" s="157"/>
      <c r="BG79" s="67"/>
      <c r="BH79" s="185"/>
      <c r="BI79" s="67"/>
      <c r="BJ79" s="67"/>
      <c r="BK79" s="67"/>
      <c r="BL79" s="157"/>
      <c r="BM79" s="66"/>
      <c r="BN79" s="67"/>
      <c r="BO79" s="67"/>
      <c r="BP79" s="67"/>
      <c r="BQ79" s="74"/>
      <c r="BR79" s="67"/>
      <c r="BS79" s="86"/>
      <c r="BT79" s="185"/>
      <c r="BU79" s="1"/>
      <c r="BV79">
        <f t="shared" si="210"/>
        <v>70</v>
      </c>
    </row>
    <row r="80" spans="2:74" x14ac:dyDescent="0.3">
      <c r="B80" s="173">
        <f t="shared" si="209"/>
        <v>43980</v>
      </c>
      <c r="D80" s="18"/>
      <c r="E80" s="19"/>
      <c r="F80" s="19"/>
      <c r="G80" s="19"/>
      <c r="H80" s="19"/>
      <c r="I80" s="19"/>
      <c r="J80" s="39"/>
      <c r="K80" s="19"/>
      <c r="L80" s="19"/>
      <c r="M80" s="19"/>
      <c r="N80" s="19"/>
      <c r="O80" s="43"/>
      <c r="P80" s="18"/>
      <c r="Q80" s="19"/>
      <c r="R80" s="19"/>
      <c r="S80" s="19"/>
      <c r="T80" s="43"/>
      <c r="U80" s="1"/>
      <c r="V80" s="35"/>
      <c r="W80" s="36"/>
      <c r="X80" s="36"/>
      <c r="Y80" s="36"/>
      <c r="Z80" s="36"/>
      <c r="AA80" s="36"/>
      <c r="AB80" s="47"/>
      <c r="AC80" s="36"/>
      <c r="AD80" s="36"/>
      <c r="AE80" s="51"/>
      <c r="AF80" s="36"/>
      <c r="AG80" s="36"/>
      <c r="AH80" s="36"/>
      <c r="AI80" s="51"/>
      <c r="AJ80" s="1"/>
      <c r="AK80" s="26"/>
      <c r="AL80" s="27"/>
      <c r="AM80" s="27"/>
      <c r="AN80" s="27"/>
      <c r="AO80" s="27"/>
      <c r="AP80" s="27"/>
      <c r="AQ80" s="27"/>
      <c r="AR80" s="27"/>
      <c r="AS80" s="27"/>
      <c r="AT80" s="27"/>
      <c r="AU80" s="346"/>
      <c r="AV80" s="346"/>
      <c r="AW80" s="27"/>
      <c r="AX80" s="353"/>
      <c r="AY80" s="1"/>
      <c r="AZ80" s="68"/>
      <c r="BA80" s="69"/>
      <c r="BB80" s="69"/>
      <c r="BC80" s="69"/>
      <c r="BD80" s="69"/>
      <c r="BE80" s="69"/>
      <c r="BF80" s="69"/>
      <c r="BG80" s="69"/>
      <c r="BH80" s="186"/>
      <c r="BI80" s="69"/>
      <c r="BJ80" s="69"/>
      <c r="BK80" s="69"/>
      <c r="BL80" s="69"/>
      <c r="BM80" s="68"/>
      <c r="BN80" s="69"/>
      <c r="BO80" s="69"/>
      <c r="BP80" s="69"/>
      <c r="BQ80" s="71"/>
      <c r="BR80" s="69"/>
      <c r="BS80" s="69"/>
      <c r="BT80" s="186"/>
      <c r="BU80" s="1"/>
      <c r="BV80">
        <f t="shared" si="210"/>
        <v>71</v>
      </c>
    </row>
    <row r="81" spans="2:84" x14ac:dyDescent="0.3">
      <c r="B81" s="56"/>
      <c r="D81" s="1"/>
      <c r="E81" s="1"/>
      <c r="F81" s="1"/>
      <c r="G81" s="1"/>
      <c r="H81" s="59"/>
      <c r="I81" s="1"/>
      <c r="J81" s="59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59"/>
      <c r="W81" s="1"/>
      <c r="X81" s="1"/>
      <c r="Y81" s="1"/>
      <c r="Z81" s="1"/>
      <c r="AA81" s="1"/>
      <c r="AB81" s="59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59"/>
      <c r="BC81" s="1"/>
      <c r="BD81" s="59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</row>
    <row r="82" spans="2:84" x14ac:dyDescent="0.3">
      <c r="B82" s="181" t="s">
        <v>84</v>
      </c>
      <c r="D82" s="56">
        <f>+D76</f>
        <v>19790</v>
      </c>
      <c r="E82" s="56"/>
      <c r="F82" s="56"/>
      <c r="G82" s="56"/>
      <c r="H82" s="56">
        <f t="shared" ref="H82:BO82" si="211">+H76</f>
        <v>1706435</v>
      </c>
      <c r="I82" s="56">
        <f t="shared" si="211"/>
        <v>0</v>
      </c>
      <c r="J82" s="56">
        <f t="shared" si="211"/>
        <v>1.1733352305909068E-2</v>
      </c>
      <c r="K82" s="56">
        <f t="shared" si="211"/>
        <v>0</v>
      </c>
      <c r="L82" s="56">
        <f t="shared" si="211"/>
        <v>0</v>
      </c>
      <c r="M82" s="56">
        <f t="shared" si="211"/>
        <v>0</v>
      </c>
      <c r="N82" s="56">
        <f t="shared" si="211"/>
        <v>25469.179104477611</v>
      </c>
      <c r="O82" s="56">
        <f t="shared" si="211"/>
        <v>0</v>
      </c>
      <c r="P82" s="56">
        <f t="shared" si="211"/>
        <v>156141</v>
      </c>
      <c r="Q82" s="56">
        <f t="shared" si="211"/>
        <v>0</v>
      </c>
      <c r="R82" s="56" t="e">
        <f t="shared" si="211"/>
        <v>#DIV/0!</v>
      </c>
      <c r="S82" s="56">
        <f t="shared" si="211"/>
        <v>0</v>
      </c>
      <c r="T82" s="56">
        <f t="shared" si="211"/>
        <v>0</v>
      </c>
      <c r="U82" s="56">
        <f t="shared" si="211"/>
        <v>0</v>
      </c>
      <c r="V82" s="56">
        <f t="shared" si="211"/>
        <v>505</v>
      </c>
      <c r="W82" s="56">
        <f t="shared" si="211"/>
        <v>0</v>
      </c>
      <c r="X82" s="56">
        <f t="shared" si="211"/>
        <v>0</v>
      </c>
      <c r="Y82" s="56">
        <f t="shared" si="211"/>
        <v>0</v>
      </c>
      <c r="Z82" s="56">
        <f t="shared" si="211"/>
        <v>99805</v>
      </c>
      <c r="AA82" s="56">
        <f t="shared" si="211"/>
        <v>0</v>
      </c>
      <c r="AB82" s="56">
        <f t="shared" si="211"/>
        <v>5.8487431399379411E-2</v>
      </c>
      <c r="AC82" s="56">
        <f t="shared" si="211"/>
        <v>0</v>
      </c>
      <c r="AD82" s="56">
        <f t="shared" si="211"/>
        <v>1489.6268656716418</v>
      </c>
      <c r="AE82" s="56">
        <f t="shared" si="211"/>
        <v>0</v>
      </c>
      <c r="AF82" s="56">
        <f t="shared" si="211"/>
        <v>7824</v>
      </c>
      <c r="AG82" s="56">
        <f t="shared" si="211"/>
        <v>0</v>
      </c>
      <c r="AH82" s="56" t="e">
        <f t="shared" si="211"/>
        <v>#DIV/0!</v>
      </c>
      <c r="AI82" s="56">
        <f t="shared" si="211"/>
        <v>0</v>
      </c>
      <c r="AJ82" s="56">
        <f t="shared" si="211"/>
        <v>0</v>
      </c>
      <c r="AK82" s="56">
        <f t="shared" si="211"/>
        <v>12968</v>
      </c>
      <c r="AL82" s="56">
        <f t="shared" si="211"/>
        <v>0</v>
      </c>
      <c r="AM82" s="56">
        <f t="shared" si="211"/>
        <v>0</v>
      </c>
      <c r="AN82" s="56">
        <f t="shared" si="211"/>
        <v>178263</v>
      </c>
      <c r="AO82" s="56">
        <f t="shared" si="211"/>
        <v>464670</v>
      </c>
      <c r="AP82" s="56">
        <f t="shared" si="211"/>
        <v>0</v>
      </c>
      <c r="AQ82" s="56">
        <f t="shared" si="211"/>
        <v>2.8709193229164362E-2</v>
      </c>
      <c r="AR82" s="56">
        <f t="shared" si="211"/>
        <v>0</v>
      </c>
      <c r="AS82" s="56">
        <f t="shared" si="211"/>
        <v>0</v>
      </c>
      <c r="AT82" s="56">
        <f t="shared" si="211"/>
        <v>0</v>
      </c>
      <c r="AU82" s="56">
        <f t="shared" si="211"/>
        <v>0.27230454133910753</v>
      </c>
      <c r="AV82" s="56">
        <f t="shared" si="211"/>
        <v>0</v>
      </c>
      <c r="AW82" s="56">
        <f t="shared" si="211"/>
        <v>6935.373134328358</v>
      </c>
      <c r="AX82" s="56">
        <f t="shared" si="211"/>
        <v>0</v>
      </c>
      <c r="AY82" s="56">
        <f t="shared" si="211"/>
        <v>0</v>
      </c>
      <c r="AZ82" s="56">
        <f t="shared" si="211"/>
        <v>437891</v>
      </c>
      <c r="BA82" s="56">
        <f t="shared" si="211"/>
        <v>0</v>
      </c>
      <c r="BB82" s="56">
        <f t="shared" si="211"/>
        <v>15187647</v>
      </c>
      <c r="BC82" s="56">
        <f t="shared" si="211"/>
        <v>0</v>
      </c>
      <c r="BD82" s="56">
        <f t="shared" si="211"/>
        <v>19790</v>
      </c>
      <c r="BE82" s="56">
        <f t="shared" si="211"/>
        <v>0</v>
      </c>
      <c r="BF82" s="56">
        <f t="shared" si="211"/>
        <v>4.5193895284442932E-2</v>
      </c>
      <c r="BG82" s="56">
        <f t="shared" si="211"/>
        <v>0</v>
      </c>
      <c r="BH82" s="56">
        <f t="shared" si="211"/>
        <v>0</v>
      </c>
      <c r="BI82" s="56">
        <f t="shared" si="211"/>
        <v>0</v>
      </c>
      <c r="BJ82" s="56">
        <f t="shared" si="211"/>
        <v>2886903</v>
      </c>
      <c r="BK82" s="56">
        <f t="shared" si="211"/>
        <v>0</v>
      </c>
      <c r="BL82" s="56">
        <f t="shared" si="211"/>
        <v>5.4085987648355351E-2</v>
      </c>
      <c r="BM82" s="56">
        <f t="shared" si="211"/>
        <v>226681.29850746269</v>
      </c>
      <c r="BN82" s="56">
        <f t="shared" si="211"/>
        <v>0</v>
      </c>
      <c r="BO82" s="56">
        <f t="shared" si="211"/>
        <v>1454113</v>
      </c>
      <c r="BP82" s="10"/>
      <c r="BQ82" s="62"/>
      <c r="BR82" s="10"/>
      <c r="BS82" s="10"/>
      <c r="BT82" s="10"/>
      <c r="BU82" s="10"/>
      <c r="BV82" s="161"/>
      <c r="BW82" s="10"/>
      <c r="BX82" s="62"/>
      <c r="BY82" s="10"/>
      <c r="BZ82" s="161"/>
      <c r="CA82" s="61"/>
      <c r="CB82" s="61"/>
      <c r="CC82" s="61"/>
      <c r="CD82" s="61"/>
      <c r="CE82" s="61"/>
      <c r="CF82" s="158"/>
    </row>
    <row r="83" spans="2:84" x14ac:dyDescent="0.3">
      <c r="B83" t="s">
        <v>120</v>
      </c>
      <c r="D83" s="56">
        <f>+D75-D76</f>
        <v>-173</v>
      </c>
      <c r="H83" s="56">
        <f t="shared" ref="H83:BO83" si="212">+H75-H76</f>
        <v>-19790</v>
      </c>
      <c r="I83" s="56">
        <f t="shared" si="212"/>
        <v>0</v>
      </c>
      <c r="J83" s="56">
        <f t="shared" si="212"/>
        <v>3.4296467836784569E-5</v>
      </c>
      <c r="K83" s="56">
        <f t="shared" si="212"/>
        <v>0</v>
      </c>
      <c r="L83" s="56">
        <f t="shared" si="212"/>
        <v>0</v>
      </c>
      <c r="M83" s="56">
        <f t="shared" si="212"/>
        <v>0</v>
      </c>
      <c r="N83" s="56">
        <f t="shared" si="212"/>
        <v>86.048168249661103</v>
      </c>
      <c r="O83" s="56">
        <f t="shared" si="212"/>
        <v>0</v>
      </c>
      <c r="P83" s="56">
        <f t="shared" si="212"/>
        <v>2840</v>
      </c>
      <c r="Q83" s="56">
        <f t="shared" si="212"/>
        <v>0</v>
      </c>
      <c r="R83" s="56" t="e">
        <f t="shared" si="212"/>
        <v>#DIV/0!</v>
      </c>
      <c r="S83" s="56">
        <f t="shared" si="212"/>
        <v>0</v>
      </c>
      <c r="T83" s="56">
        <f t="shared" si="212"/>
        <v>0</v>
      </c>
      <c r="U83" s="56">
        <f t="shared" si="212"/>
        <v>0</v>
      </c>
      <c r="V83" s="56">
        <f t="shared" si="212"/>
        <v>112</v>
      </c>
      <c r="W83" s="56">
        <f t="shared" si="212"/>
        <v>0</v>
      </c>
      <c r="X83" s="56">
        <f t="shared" si="212"/>
        <v>0</v>
      </c>
      <c r="Y83" s="56">
        <f t="shared" si="212"/>
        <v>0</v>
      </c>
      <c r="Z83" s="56">
        <f t="shared" si="212"/>
        <v>-505</v>
      </c>
      <c r="AA83" s="56">
        <f t="shared" si="212"/>
        <v>0</v>
      </c>
      <c r="AB83" s="56">
        <f t="shared" si="212"/>
        <v>3.8684267726386834E-4</v>
      </c>
      <c r="AC83" s="56">
        <f t="shared" si="212"/>
        <v>0</v>
      </c>
      <c r="AD83" s="56">
        <f t="shared" si="212"/>
        <v>14.918588873812723</v>
      </c>
      <c r="AE83" s="56">
        <f t="shared" si="212"/>
        <v>0</v>
      </c>
      <c r="AF83" s="56">
        <f t="shared" si="212"/>
        <v>498</v>
      </c>
      <c r="AG83" s="56">
        <f t="shared" si="212"/>
        <v>0</v>
      </c>
      <c r="AH83" s="56" t="e">
        <f t="shared" si="212"/>
        <v>#DIV/0!</v>
      </c>
      <c r="AI83" s="56">
        <f t="shared" si="212"/>
        <v>0</v>
      </c>
      <c r="AJ83" s="56">
        <f t="shared" si="212"/>
        <v>0</v>
      </c>
      <c r="AK83" s="56">
        <f t="shared" si="212"/>
        <v>-8180</v>
      </c>
      <c r="AL83" s="56">
        <f t="shared" si="212"/>
        <v>0</v>
      </c>
      <c r="AM83" s="56">
        <f t="shared" si="212"/>
        <v>0</v>
      </c>
      <c r="AN83" s="56">
        <f t="shared" si="212"/>
        <v>0</v>
      </c>
      <c r="AO83" s="56">
        <f t="shared" si="212"/>
        <v>-12968</v>
      </c>
      <c r="AP83" s="56">
        <f t="shared" si="212"/>
        <v>0</v>
      </c>
      <c r="AQ83" s="56">
        <f t="shared" si="212"/>
        <v>-1.7995722628556639E-2</v>
      </c>
      <c r="AR83" s="56">
        <f t="shared" si="212"/>
        <v>0</v>
      </c>
      <c r="AS83" s="56">
        <f t="shared" si="212"/>
        <v>0</v>
      </c>
      <c r="AT83" s="56">
        <f t="shared" si="212"/>
        <v>0</v>
      </c>
      <c r="AU83" s="56">
        <f t="shared" si="212"/>
        <v>-4.4935911984436694E-3</v>
      </c>
      <c r="AV83" s="56">
        <f t="shared" si="212"/>
        <v>0</v>
      </c>
      <c r="AW83" s="56">
        <f t="shared" si="212"/>
        <v>-91.403437358660995</v>
      </c>
      <c r="AX83" s="56">
        <f t="shared" si="212"/>
        <v>0</v>
      </c>
      <c r="AY83" s="56">
        <f t="shared" si="212"/>
        <v>0</v>
      </c>
      <c r="AZ83" s="56">
        <f t="shared" si="212"/>
        <v>-46104</v>
      </c>
      <c r="BA83" s="56">
        <f t="shared" si="212"/>
        <v>0</v>
      </c>
      <c r="BB83" s="56">
        <f t="shared" si="212"/>
        <v>-437891</v>
      </c>
      <c r="BC83" s="56">
        <f t="shared" si="212"/>
        <v>0</v>
      </c>
      <c r="BD83" s="56">
        <f t="shared" si="212"/>
        <v>-173</v>
      </c>
      <c r="BE83" s="56">
        <f t="shared" si="212"/>
        <v>0</v>
      </c>
      <c r="BF83" s="56">
        <f t="shared" si="212"/>
        <v>4.8766787774835729E-3</v>
      </c>
      <c r="BG83" s="56">
        <f t="shared" si="212"/>
        <v>0</v>
      </c>
      <c r="BH83" s="56">
        <f t="shared" si="212"/>
        <v>0</v>
      </c>
      <c r="BI83" s="56">
        <f t="shared" si="212"/>
        <v>0</v>
      </c>
      <c r="BJ83" s="56">
        <f t="shared" si="212"/>
        <v>-12727</v>
      </c>
      <c r="BK83" s="56">
        <f t="shared" si="212"/>
        <v>0</v>
      </c>
      <c r="BL83" s="56">
        <f t="shared" si="212"/>
        <v>1.2276048386739777E-3</v>
      </c>
      <c r="BM83" s="56">
        <f t="shared" si="212"/>
        <v>-3200.1469923111727</v>
      </c>
      <c r="BN83" s="56">
        <f t="shared" si="212"/>
        <v>0</v>
      </c>
      <c r="BO83" s="56">
        <f t="shared" si="212"/>
        <v>-19790</v>
      </c>
      <c r="BP83" s="10"/>
      <c r="BQ83" s="10"/>
      <c r="BR83" s="10"/>
      <c r="BS83" s="10"/>
      <c r="BT83" s="10"/>
      <c r="BU83" s="10"/>
      <c r="BV83" s="62"/>
      <c r="BW83" s="10"/>
      <c r="BX83" s="10"/>
      <c r="BY83" s="10"/>
      <c r="BZ83" s="62"/>
      <c r="CA83" s="61"/>
      <c r="CB83" s="61"/>
      <c r="CC83" s="61"/>
      <c r="CD83" s="61"/>
      <c r="CE83" s="61"/>
      <c r="CF83" s="117"/>
    </row>
    <row r="84" spans="2:84" x14ac:dyDescent="0.3">
      <c r="Z84" s="56"/>
      <c r="AB84" s="59"/>
      <c r="AZ84" s="59"/>
      <c r="BF84" s="59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61"/>
      <c r="CB84" s="117"/>
      <c r="CC84" s="117"/>
      <c r="CD84" s="117"/>
      <c r="CE84" s="117"/>
    </row>
    <row r="85" spans="2:84" x14ac:dyDescent="0.3">
      <c r="D85" s="56"/>
      <c r="H85" s="1"/>
      <c r="N85" s="59"/>
      <c r="V85" s="56"/>
      <c r="Z85" s="1"/>
      <c r="AZ85" s="59"/>
      <c r="BB85" s="56"/>
      <c r="BD85" s="59"/>
      <c r="BI85" s="61"/>
      <c r="BJ85" s="61"/>
      <c r="BK85" s="61"/>
      <c r="BL85" s="61"/>
      <c r="BM85" s="61"/>
      <c r="BN85" s="61"/>
      <c r="BO85" s="61"/>
      <c r="BP85" s="61"/>
      <c r="BQ85" s="61"/>
      <c r="BR85" s="10"/>
      <c r="BS85" s="10"/>
    </row>
    <row r="86" spans="2:84" x14ac:dyDescent="0.3">
      <c r="H86" s="56"/>
      <c r="Z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BG86" s="108"/>
      <c r="BH86" s="108"/>
      <c r="BI86" s="108"/>
      <c r="BJ86" s="108"/>
      <c r="BK86" s="108"/>
      <c r="BL86" s="108"/>
      <c r="BM86" s="108"/>
      <c r="BN86" s="108"/>
      <c r="BO86" s="108"/>
      <c r="BP86" s="108"/>
      <c r="BQ86" s="90"/>
      <c r="BR86" s="1"/>
      <c r="BS86" s="1"/>
    </row>
    <row r="87" spans="2:84" x14ac:dyDescent="0.3">
      <c r="D87" s="1"/>
      <c r="E87" s="123" t="s">
        <v>28</v>
      </c>
      <c r="F87" s="124"/>
      <c r="G87" s="124" t="s">
        <v>68</v>
      </c>
      <c r="H87" s="116"/>
      <c r="I87" s="116"/>
      <c r="J87" s="116"/>
      <c r="K87" s="61"/>
      <c r="L87" s="10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BG87" s="108"/>
      <c r="BH87" s="108"/>
      <c r="BI87" s="108"/>
      <c r="BJ87" s="108"/>
      <c r="BK87" s="108"/>
      <c r="BL87" s="108"/>
      <c r="BM87" s="108"/>
      <c r="BN87" s="108"/>
      <c r="BO87" s="108"/>
      <c r="BP87" s="108"/>
      <c r="BQ87" s="90"/>
      <c r="BR87" s="1"/>
      <c r="BS87" s="1"/>
    </row>
    <row r="88" spans="2:84" x14ac:dyDescent="0.3">
      <c r="D88" s="1"/>
      <c r="E88" s="123" t="s">
        <v>40</v>
      </c>
      <c r="F88" s="124"/>
      <c r="G88" s="124" t="s">
        <v>42</v>
      </c>
      <c r="H88" s="10"/>
      <c r="I88" s="10"/>
      <c r="J88" s="10"/>
      <c r="K88" s="61"/>
      <c r="L88" s="10"/>
      <c r="AC88" s="1"/>
      <c r="AD88" s="1"/>
      <c r="AE88" s="1"/>
      <c r="AF88" s="1"/>
      <c r="AG88" s="1"/>
      <c r="AH88" s="1"/>
      <c r="AI88" s="1"/>
      <c r="AJ88" s="1"/>
      <c r="AK88" s="1" t="s">
        <v>17</v>
      </c>
      <c r="AL88" s="1"/>
      <c r="AM88" s="1"/>
      <c r="AN88" s="1"/>
      <c r="BG88" s="109"/>
      <c r="BH88" s="109"/>
      <c r="BI88" s="109"/>
      <c r="BJ88" s="109"/>
      <c r="BK88" s="109"/>
      <c r="BL88" s="109"/>
      <c r="BM88" s="109"/>
      <c r="BN88" s="109"/>
      <c r="BO88" s="109"/>
      <c r="BP88" s="109"/>
      <c r="BQ88" s="90"/>
      <c r="BR88" s="1"/>
      <c r="BS88" s="1"/>
    </row>
    <row r="89" spans="2:84" x14ac:dyDescent="0.3">
      <c r="D89" s="1"/>
      <c r="E89" s="123" t="s">
        <v>47</v>
      </c>
      <c r="F89" s="124"/>
      <c r="G89" s="124" t="s">
        <v>58</v>
      </c>
      <c r="H89" s="10"/>
      <c r="I89" s="10"/>
      <c r="J89" s="10"/>
      <c r="K89" s="61"/>
      <c r="L89" s="10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BG89" s="109"/>
      <c r="BH89" s="109"/>
      <c r="BI89" s="109"/>
      <c r="BJ89" s="109"/>
      <c r="BK89" s="109"/>
      <c r="BL89" s="109"/>
      <c r="BM89" s="109"/>
      <c r="BN89" s="109"/>
      <c r="BO89" s="109"/>
      <c r="BP89" s="109"/>
      <c r="BQ89" s="90"/>
      <c r="BR89" s="1"/>
      <c r="BS89" s="1"/>
    </row>
    <row r="90" spans="2:84" x14ac:dyDescent="0.3">
      <c r="D90" s="1"/>
      <c r="E90" s="123" t="s">
        <v>69</v>
      </c>
      <c r="F90" s="61"/>
      <c r="G90" s="93" t="s">
        <v>70</v>
      </c>
      <c r="H90" s="61"/>
      <c r="I90" s="61"/>
      <c r="J90" s="61"/>
      <c r="K90" s="61"/>
      <c r="L90" s="6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BG90" s="109"/>
      <c r="BH90" s="109"/>
      <c r="BI90" s="109"/>
      <c r="BJ90" s="109"/>
      <c r="BK90" s="109"/>
      <c r="BL90" s="109"/>
      <c r="BM90" s="109"/>
      <c r="BN90" s="109"/>
      <c r="BO90" s="109"/>
      <c r="BP90" s="109"/>
      <c r="BQ90" s="90"/>
      <c r="BR90" s="1"/>
      <c r="BS90" s="1"/>
    </row>
    <row r="91" spans="2:84" x14ac:dyDescent="0.3">
      <c r="AC91" s="1"/>
      <c r="AD91" s="1"/>
      <c r="AE91" s="1"/>
      <c r="AF91" s="1"/>
      <c r="AG91" s="1"/>
      <c r="AH91" s="1"/>
      <c r="BC91" s="90"/>
      <c r="BD91" s="90"/>
      <c r="BE91" s="90"/>
      <c r="BF91" s="90"/>
      <c r="BG91" s="90"/>
      <c r="BH91" s="90"/>
      <c r="BI91" s="90"/>
      <c r="BJ91" s="90"/>
      <c r="BK91" s="90"/>
      <c r="BL91" s="90"/>
      <c r="BM91" s="90"/>
      <c r="BN91" s="90"/>
      <c r="BO91" s="90"/>
      <c r="BP91" s="90"/>
      <c r="BQ91" s="90"/>
      <c r="BR91" s="1"/>
      <c r="BS91" s="1"/>
    </row>
    <row r="92" spans="2:84" x14ac:dyDescent="0.3">
      <c r="AC92" s="1"/>
      <c r="AD92" s="1"/>
      <c r="AE92" s="1"/>
      <c r="AF92" s="1"/>
      <c r="AG92" s="1"/>
      <c r="AH92" s="1"/>
    </row>
    <row r="93" spans="2:84" x14ac:dyDescent="0.3">
      <c r="D93" s="56"/>
      <c r="AC93" s="1"/>
      <c r="AD93" s="1"/>
      <c r="AE93" s="1"/>
      <c r="AF93" s="1"/>
      <c r="AG93" s="1"/>
      <c r="AH93" s="1"/>
    </row>
    <row r="94" spans="2:84" x14ac:dyDescent="0.3">
      <c r="D94" s="1">
        <v>4900</v>
      </c>
      <c r="AC94" s="1"/>
      <c r="AD94" s="1"/>
      <c r="AE94" s="1"/>
      <c r="AF94" s="1"/>
      <c r="AG94" s="1"/>
      <c r="AH94" s="1"/>
    </row>
    <row r="95" spans="2:84" x14ac:dyDescent="0.3">
      <c r="D95" s="1">
        <v>1000000</v>
      </c>
      <c r="AC95" s="1"/>
      <c r="AD95" s="1"/>
      <c r="AE95" s="1"/>
      <c r="AF95" s="1"/>
      <c r="AG95" s="1"/>
      <c r="AH95" s="1"/>
    </row>
    <row r="96" spans="2:84" x14ac:dyDescent="0.3">
      <c r="AC96" s="1"/>
      <c r="AD96" s="1"/>
      <c r="AE96" s="1"/>
      <c r="AF96" s="1"/>
      <c r="AG96" s="1"/>
      <c r="AH96" s="1"/>
    </row>
    <row r="97" spans="4:86" x14ac:dyDescent="0.3">
      <c r="D97" s="279">
        <f>+D94/D95</f>
        <v>4.8999999999999998E-3</v>
      </c>
      <c r="AC97" s="1"/>
      <c r="AD97" s="1"/>
      <c r="AE97" s="1"/>
      <c r="AF97" s="1"/>
      <c r="AG97" s="1"/>
      <c r="AH97" s="1"/>
    </row>
    <row r="98" spans="4:86" x14ac:dyDescent="0.3">
      <c r="AC98" s="1"/>
      <c r="AD98" s="1"/>
      <c r="AE98" s="1"/>
      <c r="AF98" s="1"/>
      <c r="AG98" s="1"/>
      <c r="AH98" s="1"/>
    </row>
    <row r="99" spans="4:86" x14ac:dyDescent="0.3">
      <c r="AC99" s="1"/>
      <c r="AD99" s="1"/>
      <c r="AE99" s="1"/>
      <c r="AF99" s="1"/>
      <c r="AG99" s="1"/>
      <c r="AH99" s="1"/>
    </row>
    <row r="100" spans="4:86" x14ac:dyDescent="0.3">
      <c r="AC100" s="1"/>
      <c r="AD100" s="1"/>
      <c r="AE100" s="1"/>
      <c r="AF100" s="1"/>
      <c r="AG100" s="1"/>
      <c r="AH100" s="1"/>
    </row>
    <row r="101" spans="4:86" x14ac:dyDescent="0.3">
      <c r="AC101" s="1"/>
      <c r="AD101" s="1"/>
      <c r="AE101" s="1"/>
      <c r="AF101" s="1"/>
      <c r="AG101" s="1"/>
      <c r="AH101" s="1"/>
      <c r="BC101" s="90"/>
      <c r="BD101" s="90"/>
      <c r="BE101" s="90"/>
      <c r="BF101" s="90"/>
      <c r="BG101" s="90"/>
      <c r="BH101" s="90"/>
      <c r="BI101" s="90"/>
      <c r="BJ101" s="90"/>
      <c r="BK101" s="90"/>
      <c r="BL101" s="90"/>
      <c r="BM101" s="90"/>
      <c r="BN101" s="90"/>
      <c r="BO101" s="90"/>
      <c r="BP101" s="90"/>
      <c r="BQ101" s="90"/>
      <c r="BR101" s="1"/>
      <c r="BS101" s="1"/>
      <c r="BT101" s="1"/>
      <c r="BU101" s="1"/>
      <c r="BV101" s="90"/>
      <c r="BW101" s="90"/>
      <c r="BX101" s="90"/>
      <c r="BY101" s="90"/>
      <c r="BZ101" s="90"/>
      <c r="CA101" s="90"/>
      <c r="CB101" s="90"/>
      <c r="CC101" s="90"/>
      <c r="CD101" s="90"/>
      <c r="CE101" s="90"/>
      <c r="CF101" s="90"/>
      <c r="CG101" s="90"/>
      <c r="CH101" s="90"/>
    </row>
    <row r="102" spans="4:86" x14ac:dyDescent="0.3">
      <c r="AC102" s="10"/>
      <c r="AD102" s="10"/>
      <c r="AE102" s="10"/>
      <c r="AF102" s="10"/>
      <c r="AG102" s="10"/>
      <c r="AH102" s="10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89"/>
      <c r="BW102" s="89"/>
      <c r="BX102" s="89"/>
      <c r="BY102" s="89"/>
      <c r="BZ102" s="121"/>
      <c r="CA102" s="1"/>
      <c r="CB102" s="1"/>
      <c r="CC102" s="1"/>
      <c r="CD102" s="1"/>
      <c r="CE102" s="1"/>
      <c r="CF102" s="1"/>
      <c r="CG102" s="1"/>
      <c r="CH102" s="1"/>
    </row>
    <row r="103" spans="4:86" x14ac:dyDescent="0.3">
      <c r="D103">
        <v>10</v>
      </c>
      <c r="AC103" s="10"/>
      <c r="AD103" s="10"/>
      <c r="AE103" s="10"/>
      <c r="AF103" s="10"/>
      <c r="AG103" s="10"/>
      <c r="AH103" s="10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89"/>
      <c r="BW103" s="89"/>
      <c r="BX103" s="89"/>
      <c r="BY103" s="89"/>
      <c r="BZ103" s="89"/>
      <c r="CA103" s="1"/>
      <c r="CB103" s="1"/>
      <c r="CC103" s="1"/>
      <c r="CD103" s="1"/>
      <c r="CE103" s="1"/>
      <c r="CF103" s="1"/>
      <c r="CG103" s="1"/>
      <c r="CH103" s="1"/>
    </row>
    <row r="104" spans="4:86" x14ac:dyDescent="0.3">
      <c r="D104" s="1">
        <v>1000000</v>
      </c>
      <c r="AC104" s="10"/>
      <c r="AD104" s="10"/>
      <c r="AE104" s="10"/>
      <c r="AF104" s="10"/>
      <c r="AG104" s="10"/>
      <c r="AH104" s="10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89"/>
      <c r="BW104" s="89"/>
      <c r="BX104" s="89"/>
      <c r="BY104" s="89"/>
      <c r="BZ104" s="89"/>
      <c r="CA104" s="1"/>
      <c r="CB104" s="1"/>
      <c r="CC104" s="1"/>
      <c r="CD104" s="1"/>
      <c r="CE104" s="1"/>
      <c r="CF104" s="1"/>
    </row>
    <row r="105" spans="4:86" x14ac:dyDescent="0.3">
      <c r="D105" s="57">
        <f>+D103/D104</f>
        <v>1.0000000000000001E-5</v>
      </c>
      <c r="AC105" s="10"/>
      <c r="AD105" s="10"/>
      <c r="AE105" s="10"/>
      <c r="AF105" s="10"/>
      <c r="AG105" s="10"/>
      <c r="AH105" s="10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89"/>
      <c r="BW105" s="89"/>
      <c r="BX105" s="89"/>
      <c r="BY105" s="89"/>
      <c r="BZ105" s="89"/>
      <c r="CA105" s="1"/>
      <c r="CB105" s="1"/>
      <c r="CC105" s="1"/>
      <c r="CD105" s="1"/>
      <c r="CE105" s="1"/>
      <c r="CF105" s="1"/>
    </row>
    <row r="106" spans="4:86" x14ac:dyDescent="0.3">
      <c r="AC106" s="10"/>
      <c r="AD106" s="10"/>
      <c r="AE106" s="10"/>
      <c r="AF106" s="10"/>
      <c r="AG106" s="10"/>
      <c r="AH106" s="10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89"/>
      <c r="BW106" s="89"/>
      <c r="BX106" s="122"/>
      <c r="BY106" s="89"/>
      <c r="BZ106" s="89"/>
    </row>
    <row r="107" spans="4:86" x14ac:dyDescent="0.3">
      <c r="D107" s="1">
        <v>330000000</v>
      </c>
      <c r="AC107" s="10"/>
      <c r="AD107" s="10"/>
      <c r="AE107" s="10"/>
      <c r="AF107" s="10"/>
      <c r="AG107" s="10"/>
      <c r="AH107" s="10"/>
      <c r="AI107" s="90"/>
      <c r="AJ107" s="90"/>
      <c r="AK107" s="155"/>
      <c r="AL107" s="155"/>
      <c r="AM107" s="155"/>
      <c r="AN107" s="155"/>
      <c r="AO107" s="155"/>
      <c r="AP107" s="155"/>
      <c r="AQ107" s="155"/>
      <c r="AR107" s="155"/>
      <c r="AS107" s="155"/>
      <c r="AT107" s="155"/>
      <c r="AU107" s="155"/>
      <c r="AV107" s="155"/>
      <c r="AW107" s="155"/>
      <c r="AX107" s="155"/>
      <c r="AY107" s="155"/>
      <c r="AZ107" s="155"/>
      <c r="BA107" s="90"/>
      <c r="BB107" s="90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89"/>
      <c r="BW107" s="89"/>
      <c r="BX107" s="89"/>
      <c r="BY107" s="89"/>
      <c r="BZ107" s="89"/>
    </row>
    <row r="108" spans="4:86" x14ac:dyDescent="0.3">
      <c r="AC108" s="10"/>
      <c r="AD108" s="10"/>
      <c r="AE108" s="10"/>
      <c r="AF108" s="10"/>
      <c r="AG108" s="10"/>
      <c r="AH108" s="10"/>
      <c r="AI108" s="90"/>
      <c r="AJ108" s="90"/>
      <c r="AK108" s="151"/>
      <c r="AL108" s="151"/>
      <c r="AM108" s="151"/>
      <c r="AN108" s="151"/>
      <c r="AO108" s="151"/>
      <c r="AP108" s="151"/>
      <c r="AQ108" s="151"/>
      <c r="AR108" s="90"/>
      <c r="AS108" s="90"/>
      <c r="AT108" s="90"/>
      <c r="AU108" s="110"/>
      <c r="AV108" s="110"/>
      <c r="AW108" s="110"/>
      <c r="AX108" s="110"/>
      <c r="AY108" s="90"/>
      <c r="AZ108" s="90"/>
      <c r="BA108" s="110"/>
      <c r="BB108" s="90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89"/>
      <c r="BW108" s="89"/>
      <c r="BX108" s="89"/>
      <c r="BY108" s="89"/>
      <c r="BZ108" s="89"/>
    </row>
    <row r="109" spans="4:86" x14ac:dyDescent="0.3">
      <c r="D109" s="472">
        <f>+H72/D107</f>
        <v>4.9118242424242425E-3</v>
      </c>
      <c r="AC109" s="10"/>
      <c r="AD109" s="10"/>
      <c r="AE109" s="10"/>
      <c r="AF109" s="10"/>
      <c r="AG109" s="10"/>
      <c r="AH109" s="10"/>
      <c r="AI109" s="90"/>
      <c r="AJ109" s="90"/>
      <c r="AK109" s="151"/>
      <c r="AL109" s="151"/>
      <c r="AM109" s="151"/>
      <c r="AN109" s="151"/>
      <c r="AO109" s="151"/>
      <c r="AP109" s="151"/>
      <c r="AQ109" s="151"/>
      <c r="AR109" s="151"/>
      <c r="AS109" s="110"/>
      <c r="AT109" s="90"/>
      <c r="AU109" s="110"/>
      <c r="AV109" s="110"/>
      <c r="AW109" s="110"/>
      <c r="AX109" s="110"/>
      <c r="AY109" s="90"/>
      <c r="AZ109" s="90"/>
      <c r="BA109" s="110"/>
      <c r="BB109" s="90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89"/>
      <c r="BW109" s="89"/>
      <c r="BX109" s="89"/>
      <c r="BY109" s="89"/>
      <c r="BZ109" s="89"/>
    </row>
    <row r="110" spans="4:86" x14ac:dyDescent="0.3">
      <c r="D110">
        <v>150000</v>
      </c>
      <c r="AC110" s="10"/>
      <c r="AD110" s="10"/>
      <c r="AE110" s="10"/>
      <c r="AF110" s="10"/>
      <c r="AG110" s="10"/>
      <c r="AH110" s="10"/>
      <c r="AI110" s="90"/>
      <c r="AJ110" s="90"/>
      <c r="AK110" s="90"/>
      <c r="AL110" s="90"/>
      <c r="AM110" s="152"/>
      <c r="AN110" s="152"/>
      <c r="AO110" s="152"/>
      <c r="AP110" s="152"/>
      <c r="AQ110" s="152"/>
      <c r="AR110" s="90"/>
      <c r="AS110" s="90"/>
      <c r="AT110" s="90"/>
      <c r="AU110" s="110"/>
      <c r="AV110" s="110"/>
      <c r="AW110" s="110"/>
      <c r="AX110" s="110"/>
      <c r="AY110" s="90"/>
      <c r="AZ110" s="90"/>
      <c r="BA110" s="110"/>
      <c r="BB110" s="90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89"/>
      <c r="BW110" s="89"/>
      <c r="BX110" s="89"/>
      <c r="BY110" s="89"/>
      <c r="BZ110" s="89"/>
    </row>
    <row r="111" spans="4:86" x14ac:dyDescent="0.3">
      <c r="D111" s="279">
        <f>+D110/D107</f>
        <v>4.5454545454545455E-4</v>
      </c>
      <c r="AC111" s="10"/>
      <c r="AD111" s="10"/>
      <c r="AE111" s="10"/>
      <c r="AF111" s="10"/>
      <c r="AG111" s="10"/>
      <c r="AH111" s="10"/>
      <c r="AI111" s="90"/>
      <c r="AJ111" s="90"/>
      <c r="AK111" s="151"/>
      <c r="AL111" s="151"/>
      <c r="AM111" s="151"/>
      <c r="AN111" s="151"/>
      <c r="AO111" s="151"/>
      <c r="AP111" s="151"/>
      <c r="AQ111" s="151"/>
      <c r="AR111" s="151"/>
      <c r="AS111" s="151"/>
      <c r="AT111" s="151"/>
      <c r="AU111" s="110"/>
      <c r="AV111" s="110"/>
      <c r="AW111" s="110"/>
      <c r="AX111" s="110"/>
      <c r="AY111" s="90"/>
      <c r="AZ111" s="90"/>
      <c r="BA111" s="110"/>
      <c r="BB111" s="90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</row>
    <row r="112" spans="4:86" x14ac:dyDescent="0.3">
      <c r="D112">
        <v>28.59</v>
      </c>
      <c r="AC112" s="10"/>
      <c r="AD112" s="10"/>
      <c r="AE112" s="10"/>
      <c r="AF112" s="10"/>
      <c r="AG112" s="10"/>
      <c r="AH112" s="10"/>
      <c r="AI112" s="90"/>
      <c r="AJ112" s="90"/>
      <c r="AK112" s="90"/>
      <c r="AL112" s="90"/>
      <c r="AM112" s="152"/>
      <c r="AN112" s="152"/>
      <c r="AO112" s="152"/>
      <c r="AP112" s="152"/>
      <c r="AQ112" s="152"/>
      <c r="AR112" s="152"/>
      <c r="AS112" s="152"/>
      <c r="AT112" s="90"/>
      <c r="AU112" s="110"/>
      <c r="AV112" s="110"/>
      <c r="AW112" s="110"/>
      <c r="AX112" s="110"/>
      <c r="AY112" s="90"/>
      <c r="AZ112" s="90"/>
      <c r="BA112" s="110"/>
      <c r="BB112" s="90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</row>
    <row r="113" spans="2:78" x14ac:dyDescent="0.3">
      <c r="AC113" s="10"/>
      <c r="AD113" s="10"/>
      <c r="AE113" s="10"/>
      <c r="AF113" s="10"/>
      <c r="AG113" s="10"/>
      <c r="AH113" s="10"/>
      <c r="AI113" s="90"/>
      <c r="AJ113" s="90"/>
      <c r="AK113" s="90"/>
      <c r="AL113" s="90"/>
      <c r="AM113" s="152"/>
      <c r="AN113" s="152"/>
      <c r="AO113" s="152"/>
      <c r="AP113" s="152"/>
      <c r="AQ113" s="152"/>
      <c r="AR113" s="152"/>
      <c r="AS113" s="152"/>
      <c r="AT113" s="90"/>
      <c r="AU113" s="110"/>
      <c r="AV113" s="110"/>
      <c r="AW113" s="110"/>
      <c r="AX113" s="110"/>
      <c r="AY113" s="90"/>
      <c r="AZ113" s="90"/>
      <c r="BA113" s="110"/>
      <c r="BB113" s="90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</row>
    <row r="114" spans="2:78" x14ac:dyDescent="0.3">
      <c r="D114">
        <f>+D107/100000</f>
        <v>3300</v>
      </c>
      <c r="AC114" s="10"/>
      <c r="AD114" s="10"/>
      <c r="AE114" s="10"/>
      <c r="AF114" s="10"/>
      <c r="AG114" s="10"/>
      <c r="AH114" s="10"/>
      <c r="AI114" s="90"/>
      <c r="AJ114" s="90"/>
      <c r="AK114" s="90"/>
      <c r="AL114" s="90"/>
      <c r="AM114" s="152"/>
      <c r="AN114" s="152"/>
      <c r="AO114" s="152"/>
      <c r="AP114" s="152"/>
      <c r="AQ114" s="152"/>
      <c r="AR114" s="152"/>
      <c r="AS114" s="152"/>
      <c r="AT114" s="90"/>
      <c r="AU114" s="110"/>
      <c r="AV114" s="110"/>
      <c r="AW114" s="110"/>
      <c r="AX114" s="110"/>
      <c r="AY114" s="90"/>
      <c r="AZ114" s="90"/>
      <c r="BA114" s="110"/>
      <c r="BB114" s="90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</row>
    <row r="115" spans="2:78" x14ac:dyDescent="0.3">
      <c r="D115">
        <f>+D114*D112</f>
        <v>94347</v>
      </c>
      <c r="AC115" s="10"/>
      <c r="AD115" s="10"/>
      <c r="AE115" s="10"/>
      <c r="AF115" s="10"/>
      <c r="AG115" s="10"/>
      <c r="AH115" s="10"/>
      <c r="AI115" s="90"/>
      <c r="AJ115" s="90"/>
      <c r="AK115" s="90"/>
      <c r="AL115" s="90"/>
      <c r="AM115" s="152"/>
      <c r="AN115" s="152"/>
      <c r="AO115" s="152"/>
      <c r="AP115" s="152"/>
      <c r="AQ115" s="152"/>
      <c r="AR115" s="152"/>
      <c r="AS115" s="152"/>
      <c r="AT115" s="90"/>
      <c r="AU115" s="110"/>
      <c r="AV115" s="110"/>
      <c r="AW115" s="110"/>
      <c r="AX115" s="110"/>
      <c r="AY115" s="90"/>
      <c r="AZ115" s="90"/>
      <c r="BA115" s="110"/>
      <c r="BB115" s="90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</row>
    <row r="116" spans="2:78" x14ac:dyDescent="0.3">
      <c r="AC116" s="10"/>
      <c r="AD116" s="10"/>
      <c r="AE116" s="10"/>
      <c r="AF116" s="10"/>
      <c r="AG116" s="10"/>
      <c r="AH116" s="10"/>
      <c r="AI116" s="90"/>
      <c r="AJ116" s="90"/>
      <c r="AK116" s="90"/>
      <c r="AL116" s="90"/>
      <c r="AM116" s="152"/>
      <c r="AN116" s="152"/>
      <c r="AO116" s="152"/>
      <c r="AP116" s="152"/>
      <c r="AQ116" s="152"/>
      <c r="AR116" s="152"/>
      <c r="AS116" s="152"/>
      <c r="AT116" s="90"/>
      <c r="AU116" s="110"/>
      <c r="AV116" s="110"/>
      <c r="AW116" s="110"/>
      <c r="AX116" s="110"/>
      <c r="AY116" s="90"/>
      <c r="AZ116" s="90"/>
      <c r="BA116" s="110"/>
      <c r="BB116" s="90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</row>
    <row r="117" spans="2:78" x14ac:dyDescent="0.3">
      <c r="AC117" s="10"/>
      <c r="AD117" s="10"/>
      <c r="AE117" s="10"/>
      <c r="AF117" s="10"/>
      <c r="AG117" s="10"/>
      <c r="AH117" s="10"/>
      <c r="AI117" s="90"/>
      <c r="AJ117" s="90"/>
      <c r="AK117" s="151"/>
      <c r="AL117" s="151"/>
      <c r="AM117" s="151"/>
      <c r="AN117" s="151"/>
      <c r="AO117" s="151"/>
      <c r="AP117" s="151"/>
      <c r="AQ117" s="151"/>
      <c r="AR117" s="151"/>
      <c r="AS117" s="151"/>
      <c r="AT117" s="151"/>
      <c r="AU117" s="90"/>
      <c r="AV117" s="90"/>
      <c r="AW117" s="90"/>
      <c r="AX117" s="90"/>
      <c r="AY117" s="90"/>
      <c r="AZ117" s="110"/>
      <c r="BA117" s="110"/>
      <c r="BB117" s="90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</row>
    <row r="118" spans="2:78" x14ac:dyDescent="0.3">
      <c r="AC118" s="10"/>
      <c r="AD118" s="10"/>
      <c r="AE118" s="10"/>
      <c r="AF118" s="10"/>
      <c r="AG118" s="10"/>
      <c r="AH118" s="10"/>
      <c r="AI118" s="90"/>
      <c r="AJ118" s="90"/>
      <c r="AK118" s="151"/>
      <c r="AL118" s="151"/>
      <c r="AM118" s="151"/>
      <c r="AN118" s="151"/>
      <c r="AO118" s="151"/>
      <c r="AP118" s="151"/>
      <c r="AQ118" s="151"/>
      <c r="AR118" s="151"/>
      <c r="AS118" s="151"/>
      <c r="AT118" s="151"/>
      <c r="AU118" s="151"/>
      <c r="AV118" s="151"/>
      <c r="AW118" s="151"/>
      <c r="AX118" s="151"/>
      <c r="AY118" s="90"/>
      <c r="AZ118" s="90"/>
      <c r="BA118" s="110"/>
      <c r="BB118" s="90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</row>
    <row r="119" spans="2:78" x14ac:dyDescent="0.3">
      <c r="AI119" s="110"/>
      <c r="AJ119" s="110"/>
      <c r="AK119" s="110"/>
      <c r="AL119" s="110"/>
      <c r="AM119" s="110"/>
      <c r="AN119" s="110"/>
      <c r="AO119" s="110"/>
      <c r="AP119" s="110"/>
      <c r="AQ119" s="110"/>
      <c r="AR119" s="110"/>
      <c r="AS119" s="90"/>
      <c r="AT119" s="110"/>
      <c r="AU119" s="153"/>
      <c r="AV119" s="153"/>
      <c r="AW119" s="153"/>
      <c r="AX119" s="153"/>
      <c r="AY119" s="110"/>
      <c r="AZ119" s="110"/>
      <c r="BA119" s="110"/>
      <c r="BB119" s="110"/>
    </row>
    <row r="120" spans="2:78" x14ac:dyDescent="0.3">
      <c r="B120" s="125"/>
      <c r="D120" s="55"/>
      <c r="AI120" s="110"/>
      <c r="AJ120" s="110"/>
      <c r="AK120" s="110"/>
      <c r="AL120" s="110"/>
      <c r="AM120" s="110"/>
      <c r="AN120" s="110"/>
      <c r="AO120" s="110"/>
      <c r="AP120" s="110"/>
      <c r="AQ120" s="110"/>
      <c r="AR120" s="110"/>
      <c r="AS120" s="110"/>
      <c r="AT120" s="110"/>
      <c r="AU120" s="90"/>
      <c r="AV120" s="90"/>
      <c r="AW120" s="90"/>
      <c r="AX120" s="90"/>
      <c r="AY120" s="110"/>
      <c r="AZ120" s="154"/>
      <c r="BA120" s="110"/>
      <c r="BB120" s="110"/>
    </row>
    <row r="121" spans="2:78" x14ac:dyDescent="0.3">
      <c r="B121" s="1"/>
      <c r="D121" s="55"/>
      <c r="W121" s="61"/>
      <c r="X121" s="61"/>
      <c r="Y121" s="110"/>
      <c r="Z121" s="110"/>
      <c r="AA121" s="110"/>
      <c r="AB121" s="110"/>
      <c r="AC121" s="110"/>
      <c r="AD121" s="110"/>
      <c r="AE121" s="110"/>
      <c r="AF121" s="110"/>
      <c r="AG121" s="110"/>
      <c r="AH121" s="110"/>
      <c r="AI121" s="110"/>
      <c r="AJ121" s="110"/>
      <c r="AK121" s="110"/>
      <c r="AL121" s="110"/>
      <c r="AM121" s="110"/>
      <c r="AN121" s="110"/>
      <c r="AO121" s="110"/>
      <c r="AP121" s="110"/>
      <c r="AQ121" s="110"/>
      <c r="AR121" s="110"/>
      <c r="AS121" s="110"/>
      <c r="AT121" s="110"/>
      <c r="AU121" s="110"/>
      <c r="AV121" s="110"/>
      <c r="AW121" s="110"/>
      <c r="AX121" s="110"/>
      <c r="AY121" s="110"/>
      <c r="AZ121" s="110"/>
      <c r="BA121" s="110"/>
      <c r="BB121" s="110"/>
    </row>
    <row r="122" spans="2:78" x14ac:dyDescent="0.3">
      <c r="B122" s="1"/>
      <c r="D122" s="55"/>
      <c r="W122" s="61"/>
      <c r="X122" s="61"/>
      <c r="Y122" s="110"/>
      <c r="Z122" s="110"/>
      <c r="AA122" s="110"/>
      <c r="AB122" s="110"/>
      <c r="AC122" s="110"/>
      <c r="AD122" s="110"/>
      <c r="AE122" s="110"/>
      <c r="AF122" s="110"/>
      <c r="AG122" s="110"/>
      <c r="AH122" s="110"/>
      <c r="AI122" s="110"/>
      <c r="AJ122" s="110"/>
      <c r="AK122" s="110"/>
      <c r="AL122" s="110"/>
      <c r="AM122" s="110"/>
      <c r="AN122" s="110"/>
      <c r="AO122" s="110"/>
      <c r="AP122" s="110"/>
      <c r="AQ122" s="110"/>
      <c r="AR122" s="110"/>
      <c r="AS122" s="110"/>
      <c r="AT122" s="110"/>
      <c r="AU122" s="110"/>
      <c r="AV122" s="110"/>
      <c r="AW122" s="110"/>
      <c r="AX122" s="110"/>
      <c r="AY122" s="110"/>
      <c r="AZ122" s="110"/>
      <c r="BA122" s="110"/>
      <c r="BB122" s="110"/>
    </row>
    <row r="123" spans="2:78" x14ac:dyDescent="0.3">
      <c r="B123" s="1"/>
      <c r="D123" s="55"/>
      <c r="W123" s="61"/>
      <c r="X123" s="61"/>
      <c r="Y123" s="110"/>
      <c r="Z123" s="110"/>
      <c r="AA123" s="110"/>
      <c r="AB123" s="110"/>
      <c r="AC123" s="110"/>
      <c r="AD123" s="110"/>
      <c r="AE123" s="110"/>
      <c r="AF123" s="110"/>
      <c r="AG123" s="110"/>
      <c r="AH123" s="110"/>
      <c r="AI123" s="110"/>
      <c r="AJ123" s="110"/>
      <c r="AK123" s="110"/>
      <c r="AL123" s="110"/>
      <c r="AM123" s="110"/>
      <c r="AN123" s="110"/>
      <c r="AO123" s="110"/>
      <c r="AP123" s="110"/>
      <c r="AQ123" s="110"/>
    </row>
    <row r="124" spans="2:78" x14ac:dyDescent="0.3">
      <c r="B124" s="1"/>
      <c r="D124" s="55"/>
      <c r="W124" s="61"/>
      <c r="X124" s="61"/>
      <c r="Y124" s="110"/>
      <c r="Z124" s="110"/>
      <c r="AA124" s="110"/>
      <c r="AB124" s="110"/>
      <c r="AC124" s="110"/>
      <c r="AD124" s="110"/>
      <c r="AE124" s="110"/>
      <c r="AF124" s="110"/>
      <c r="AG124" s="110"/>
      <c r="AH124" s="110"/>
      <c r="AI124" s="110"/>
      <c r="AJ124" s="110"/>
      <c r="AK124" s="110"/>
      <c r="AL124" s="110"/>
      <c r="AM124" s="110"/>
      <c r="AN124" s="110"/>
      <c r="AO124" s="110"/>
      <c r="AP124" s="110"/>
      <c r="AQ124" s="110"/>
    </row>
    <row r="125" spans="2:78" x14ac:dyDescent="0.3">
      <c r="B125" s="55"/>
      <c r="D125" s="55"/>
      <c r="W125" s="61"/>
      <c r="X125" s="61"/>
      <c r="Y125" s="110"/>
      <c r="Z125" s="110"/>
      <c r="AA125" s="110"/>
      <c r="AB125" s="110"/>
      <c r="AC125" s="110"/>
      <c r="AD125" s="110"/>
      <c r="AE125" s="110"/>
      <c r="AF125" s="110"/>
      <c r="AG125" s="110"/>
      <c r="AH125" s="110"/>
      <c r="AI125" s="110"/>
      <c r="AJ125" s="110"/>
      <c r="AK125" s="110"/>
      <c r="AL125" s="110"/>
      <c r="AM125" s="110"/>
      <c r="AN125" s="110"/>
      <c r="AO125" s="110"/>
      <c r="AP125" s="110"/>
      <c r="AQ125" s="110"/>
    </row>
    <row r="126" spans="2:78" x14ac:dyDescent="0.3">
      <c r="B126" s="57"/>
      <c r="D126" s="55"/>
      <c r="W126" s="61"/>
      <c r="X126" s="61"/>
      <c r="Y126" s="110"/>
      <c r="Z126" s="110"/>
      <c r="AA126" s="110"/>
      <c r="AB126" s="110"/>
      <c r="AC126" s="110"/>
      <c r="AD126" s="110"/>
      <c r="AE126" s="110"/>
      <c r="AF126" s="110"/>
      <c r="AG126" s="110"/>
      <c r="AH126" s="110"/>
      <c r="AI126" s="110"/>
      <c r="AJ126" s="110"/>
      <c r="AK126" s="110"/>
      <c r="AL126" s="110"/>
      <c r="AM126" s="110"/>
      <c r="AN126" s="110"/>
      <c r="AO126" s="110"/>
      <c r="AP126" s="110"/>
      <c r="AQ126" s="110"/>
    </row>
    <row r="127" spans="2:78" x14ac:dyDescent="0.3">
      <c r="B127" s="1"/>
      <c r="D127" s="55"/>
      <c r="W127" s="61"/>
      <c r="X127" s="61"/>
      <c r="Y127" s="110"/>
      <c r="Z127" s="110"/>
      <c r="AA127" s="110"/>
      <c r="AB127" s="110"/>
      <c r="AC127" s="110"/>
      <c r="AD127" s="110"/>
      <c r="AE127" s="110"/>
      <c r="AF127" s="110"/>
      <c r="AG127" s="110"/>
      <c r="AH127" s="110"/>
      <c r="AI127" s="110"/>
      <c r="AJ127" s="110"/>
      <c r="AK127" s="110"/>
      <c r="AL127" s="110"/>
      <c r="AM127" s="110"/>
      <c r="AN127" s="110"/>
      <c r="AO127" s="110"/>
      <c r="AP127" s="110"/>
      <c r="AQ127" s="110"/>
    </row>
    <row r="128" spans="2:78" x14ac:dyDescent="0.3">
      <c r="B128" s="1"/>
      <c r="D128" s="55"/>
      <c r="Y128" s="118"/>
      <c r="Z128" s="118"/>
      <c r="AA128" s="118"/>
      <c r="AB128" s="118"/>
      <c r="AC128" s="118"/>
      <c r="AD128" s="118"/>
      <c r="AE128" s="118"/>
      <c r="AF128" s="118"/>
      <c r="AG128" s="118"/>
      <c r="AH128" s="118"/>
      <c r="AI128" s="118"/>
      <c r="AJ128" s="118"/>
      <c r="AK128" s="118"/>
      <c r="AL128" s="118"/>
      <c r="AM128" s="118"/>
      <c r="AN128" s="118"/>
      <c r="AO128" s="118"/>
      <c r="AP128" s="118"/>
      <c r="AQ128" s="118"/>
    </row>
    <row r="129" spans="2:4" x14ac:dyDescent="0.3">
      <c r="B129" s="1"/>
      <c r="D129" s="55"/>
    </row>
    <row r="130" spans="2:4" x14ac:dyDescent="0.3">
      <c r="B130" s="1"/>
      <c r="D130" s="55"/>
    </row>
    <row r="131" spans="2:4" x14ac:dyDescent="0.3">
      <c r="B131" s="57" t="e">
        <f>+B130/B129</f>
        <v>#DIV/0!</v>
      </c>
      <c r="D131" s="55"/>
    </row>
    <row r="132" spans="2:4" x14ac:dyDescent="0.3">
      <c r="B132" s="1"/>
      <c r="D132" s="55"/>
    </row>
    <row r="133" spans="2:4" x14ac:dyDescent="0.3">
      <c r="B133" s="1"/>
      <c r="D133" s="55"/>
    </row>
    <row r="134" spans="2:4" x14ac:dyDescent="0.3">
      <c r="B134" s="1">
        <f>+B130*50</f>
        <v>0</v>
      </c>
      <c r="D134" s="55"/>
    </row>
    <row r="135" spans="2:4" x14ac:dyDescent="0.3">
      <c r="B135" s="1"/>
      <c r="D135" s="55"/>
    </row>
    <row r="136" spans="2:4" x14ac:dyDescent="0.3">
      <c r="B136" s="1"/>
      <c r="D136" s="55"/>
    </row>
    <row r="137" spans="2:4" x14ac:dyDescent="0.3">
      <c r="B137" s="1"/>
      <c r="D137" s="55"/>
    </row>
    <row r="138" spans="2:4" x14ac:dyDescent="0.3">
      <c r="B138" s="1"/>
      <c r="D138" s="55"/>
    </row>
    <row r="139" spans="2:4" x14ac:dyDescent="0.3">
      <c r="B139" s="1"/>
      <c r="D139" s="55"/>
    </row>
    <row r="140" spans="2:4" x14ac:dyDescent="0.3">
      <c r="B140" s="1"/>
      <c r="D140" s="55"/>
    </row>
    <row r="141" spans="2:4" x14ac:dyDescent="0.3">
      <c r="B141" s="1"/>
      <c r="D141" s="55"/>
    </row>
    <row r="142" spans="2:4" x14ac:dyDescent="0.3">
      <c r="B142" s="1"/>
      <c r="D142" s="55"/>
    </row>
    <row r="143" spans="2:4" x14ac:dyDescent="0.3">
      <c r="B143" s="1"/>
      <c r="D143" s="55"/>
    </row>
    <row r="144" spans="2:4" x14ac:dyDescent="0.3">
      <c r="B144" s="1"/>
    </row>
    <row r="145" spans="2:2" x14ac:dyDescent="0.3">
      <c r="B145" s="1"/>
    </row>
    <row r="146" spans="2:2" x14ac:dyDescent="0.3">
      <c r="B146" s="1"/>
    </row>
    <row r="147" spans="2:2" x14ac:dyDescent="0.3">
      <c r="B147" s="1"/>
    </row>
    <row r="148" spans="2:2" x14ac:dyDescent="0.3">
      <c r="B148" s="1"/>
    </row>
    <row r="149" spans="2:2" x14ac:dyDescent="0.3">
      <c r="B149" s="1"/>
    </row>
    <row r="150" spans="2:2" x14ac:dyDescent="0.3">
      <c r="B150" s="1"/>
    </row>
    <row r="151" spans="2:2" x14ac:dyDescent="0.3">
      <c r="B151" s="1"/>
    </row>
  </sheetData>
  <mergeCells count="19">
    <mergeCell ref="AZ8:BB8"/>
    <mergeCell ref="AK4:BT4"/>
    <mergeCell ref="BD6:BT6"/>
    <mergeCell ref="AZ7:BT7"/>
    <mergeCell ref="AK7:AX7"/>
    <mergeCell ref="AK6:AX6"/>
    <mergeCell ref="AZ6:BB6"/>
    <mergeCell ref="BD8:BH8"/>
    <mergeCell ref="BM8:BO8"/>
    <mergeCell ref="BI8:BL8"/>
    <mergeCell ref="B1:D1"/>
    <mergeCell ref="B2:D2"/>
    <mergeCell ref="J4:AB4"/>
    <mergeCell ref="D7:J7"/>
    <mergeCell ref="B3:C3"/>
    <mergeCell ref="F6:L6"/>
    <mergeCell ref="X6:AI6"/>
    <mergeCell ref="V7:AI7"/>
    <mergeCell ref="P6:T6"/>
  </mergeCells>
  <printOptions horizontalCentered="1"/>
  <pageMargins left="0.45" right="0.45" top="0.5" bottom="0.5" header="0.3" footer="0.3"/>
  <pageSetup scale="4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93"/>
  <sheetViews>
    <sheetView topLeftCell="A49" workbookViewId="0">
      <selection activeCell="AF30" sqref="AF30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8" t="s">
        <v>5</v>
      </c>
      <c r="D1" s="168"/>
      <c r="E1" s="168"/>
    </row>
    <row r="2" spans="3:40" ht="15.6" x14ac:dyDescent="0.3">
      <c r="C2" s="168" t="s">
        <v>6</v>
      </c>
      <c r="D2" s="168"/>
      <c r="E2" s="168"/>
    </row>
    <row r="3" spans="3:40" x14ac:dyDescent="0.3">
      <c r="C3" s="169" t="s">
        <v>13</v>
      </c>
      <c r="D3" s="169"/>
    </row>
    <row r="4" spans="3:40" x14ac:dyDescent="0.3">
      <c r="D4" s="169"/>
      <c r="E4" s="169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80</v>
      </c>
      <c r="E7" s="504" t="s">
        <v>7</v>
      </c>
      <c r="F7" s="505"/>
      <c r="G7" s="509">
        <v>0.7</v>
      </c>
      <c r="H7" s="509"/>
      <c r="I7" s="509"/>
      <c r="J7" s="509"/>
      <c r="K7" s="509"/>
      <c r="L7" s="509"/>
      <c r="M7" s="509"/>
      <c r="N7" s="509"/>
      <c r="O7" s="509"/>
      <c r="P7" s="509"/>
      <c r="Q7" s="509"/>
      <c r="R7" s="509"/>
      <c r="S7" s="509"/>
      <c r="T7" s="509"/>
      <c r="U7" s="510"/>
    </row>
    <row r="8" spans="3:40" x14ac:dyDescent="0.3">
      <c r="E8" s="506" t="s">
        <v>125</v>
      </c>
      <c r="F8" s="507"/>
      <c r="G8" s="507"/>
      <c r="H8" s="507"/>
      <c r="I8" s="507"/>
      <c r="J8" s="507"/>
      <c r="K8" s="507"/>
      <c r="L8" s="507"/>
      <c r="M8" s="507"/>
      <c r="N8" s="507"/>
      <c r="O8" s="507"/>
      <c r="P8" s="507"/>
      <c r="Q8" s="507"/>
      <c r="R8" s="507"/>
      <c r="S8" s="507"/>
      <c r="T8" s="507"/>
      <c r="U8" s="508"/>
    </row>
    <row r="9" spans="3:40" x14ac:dyDescent="0.3">
      <c r="E9" s="524" t="s">
        <v>37</v>
      </c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6"/>
      <c r="Q9" s="522" t="s">
        <v>118</v>
      </c>
      <c r="R9" s="5"/>
      <c r="S9" s="519" t="s">
        <v>4</v>
      </c>
      <c r="T9" s="520"/>
      <c r="U9" s="521"/>
      <c r="W9" s="58" t="s">
        <v>18</v>
      </c>
    </row>
    <row r="10" spans="3:40" x14ac:dyDescent="0.3">
      <c r="E10" s="284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4" t="s">
        <v>81</v>
      </c>
      <c r="N10" s="119"/>
      <c r="O10" s="120" t="s">
        <v>15</v>
      </c>
      <c r="P10" s="374"/>
      <c r="Q10" s="523"/>
      <c r="R10" s="6"/>
      <c r="S10" s="4" t="s">
        <v>4</v>
      </c>
      <c r="T10" s="6"/>
      <c r="U10" s="285" t="s">
        <v>82</v>
      </c>
    </row>
    <row r="11" spans="3:40" x14ac:dyDescent="0.3">
      <c r="C11" s="172">
        <v>43910</v>
      </c>
      <c r="E11" s="286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5"/>
      <c r="R11" s="6"/>
      <c r="S11" s="6"/>
      <c r="T11" s="6"/>
      <c r="U11" s="287"/>
      <c r="W11">
        <v>1</v>
      </c>
      <c r="AL11" s="110"/>
      <c r="AM11" s="110"/>
      <c r="AN11" s="110"/>
    </row>
    <row r="12" spans="3:40" ht="15" thickBot="1" x14ac:dyDescent="0.35">
      <c r="C12" s="172">
        <f>+C11+1</f>
        <v>43911</v>
      </c>
      <c r="E12" s="286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5"/>
      <c r="R12" s="6"/>
      <c r="S12" s="6"/>
      <c r="T12" s="6"/>
      <c r="U12" s="287"/>
      <c r="W12">
        <f t="shared" ref="W12:W79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2">
        <f>+C12+1</f>
        <v>43912</v>
      </c>
      <c r="E13" s="286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5"/>
      <c r="R13" s="6"/>
      <c r="S13" s="6"/>
      <c r="T13" s="6"/>
      <c r="U13" s="287"/>
      <c r="W13">
        <f t="shared" si="0"/>
        <v>3</v>
      </c>
      <c r="Z13" s="1"/>
      <c r="AA13" s="1"/>
      <c r="AB13" s="1"/>
      <c r="AC13" s="204" t="s">
        <v>61</v>
      </c>
      <c r="AD13" s="205"/>
      <c r="AE13" s="205"/>
      <c r="AF13" s="205"/>
      <c r="AG13" s="205"/>
      <c r="AH13" s="205"/>
      <c r="AI13" s="205"/>
      <c r="AJ13" s="205"/>
      <c r="AK13" s="206"/>
      <c r="AL13" s="155"/>
      <c r="AM13" s="155"/>
      <c r="AN13" s="110"/>
    </row>
    <row r="14" spans="3:40" ht="15" thickBot="1" x14ac:dyDescent="0.35">
      <c r="C14" s="172">
        <f t="shared" ref="C14:C79" si="1">+C13+1</f>
        <v>43913</v>
      </c>
      <c r="E14" s="286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5"/>
      <c r="R14" s="6"/>
      <c r="S14" s="6"/>
      <c r="T14" s="6"/>
      <c r="U14" s="287"/>
      <c r="W14">
        <f t="shared" si="0"/>
        <v>4</v>
      </c>
      <c r="Z14" s="1"/>
      <c r="AA14" s="1"/>
      <c r="AB14" s="1"/>
      <c r="AC14" s="207"/>
      <c r="AD14" s="516" t="s">
        <v>48</v>
      </c>
      <c r="AE14" s="517"/>
      <c r="AF14" s="518"/>
      <c r="AG14" s="208"/>
      <c r="AH14" s="514" t="s">
        <v>32</v>
      </c>
      <c r="AI14" s="209"/>
      <c r="AJ14" s="209"/>
      <c r="AK14" s="210"/>
      <c r="AL14" s="110"/>
      <c r="AM14" s="110"/>
      <c r="AN14" s="110"/>
    </row>
    <row r="15" spans="3:40" ht="15" thickBot="1" x14ac:dyDescent="0.35">
      <c r="C15" s="172">
        <f t="shared" si="1"/>
        <v>43914</v>
      </c>
      <c r="E15" s="286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5"/>
      <c r="R15" s="6"/>
      <c r="S15" s="6"/>
      <c r="T15" s="6"/>
      <c r="U15" s="287"/>
      <c r="W15">
        <f t="shared" si="0"/>
        <v>5</v>
      </c>
      <c r="Z15" s="1"/>
      <c r="AA15" s="1"/>
      <c r="AB15" s="1"/>
      <c r="AC15" s="191"/>
      <c r="AD15" s="170"/>
      <c r="AE15" s="170"/>
      <c r="AF15" s="211" t="s">
        <v>20</v>
      </c>
      <c r="AG15" s="212"/>
      <c r="AH15" s="515"/>
      <c r="AI15" s="213"/>
      <c r="AJ15" s="214" t="s">
        <v>4</v>
      </c>
      <c r="AK15" s="215"/>
      <c r="AL15" s="110"/>
      <c r="AM15" s="110"/>
      <c r="AN15" s="110"/>
    </row>
    <row r="16" spans="3:40" x14ac:dyDescent="0.3">
      <c r="C16" s="172">
        <f t="shared" si="1"/>
        <v>43915</v>
      </c>
      <c r="E16" s="286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5"/>
      <c r="R16" s="6"/>
      <c r="S16" s="6"/>
      <c r="T16" s="6"/>
      <c r="U16" s="287"/>
      <c r="W16">
        <f t="shared" si="0"/>
        <v>6</v>
      </c>
      <c r="Z16" s="1"/>
      <c r="AA16" s="1"/>
      <c r="AB16" s="1"/>
      <c r="AC16" s="191"/>
      <c r="AD16" s="203" t="s">
        <v>39</v>
      </c>
      <c r="AE16" s="170"/>
      <c r="AF16" s="203">
        <f>+K81</f>
        <v>556137</v>
      </c>
      <c r="AG16" s="202"/>
      <c r="AH16" s="216">
        <f>+AJ31</f>
        <v>1718.4117688725732</v>
      </c>
      <c r="AI16" s="216"/>
      <c r="AJ16" s="217">
        <f>+S81</f>
        <v>43975</v>
      </c>
      <c r="AK16" s="218"/>
      <c r="AL16" s="110"/>
      <c r="AM16" s="110"/>
      <c r="AN16" s="110"/>
    </row>
    <row r="17" spans="3:41" x14ac:dyDescent="0.3">
      <c r="C17" s="172">
        <f t="shared" si="1"/>
        <v>43916</v>
      </c>
      <c r="E17" s="286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5"/>
      <c r="R17" s="6"/>
      <c r="S17" s="6"/>
      <c r="T17" s="6"/>
      <c r="U17" s="287"/>
      <c r="W17">
        <f t="shared" si="0"/>
        <v>7</v>
      </c>
      <c r="Z17" s="61"/>
      <c r="AA17" s="61"/>
      <c r="AB17" s="10"/>
      <c r="AC17" s="191"/>
      <c r="AD17" s="219" t="s">
        <v>59</v>
      </c>
      <c r="AE17" s="170"/>
      <c r="AF17" s="163">
        <v>93271</v>
      </c>
      <c r="AG17" s="203"/>
      <c r="AH17" s="164">
        <v>1353</v>
      </c>
      <c r="AI17" s="216"/>
      <c r="AJ17" s="163">
        <v>6416</v>
      </c>
      <c r="AK17" s="220"/>
      <c r="AL17" s="110"/>
      <c r="AM17" s="90"/>
      <c r="AN17" s="90"/>
    </row>
    <row r="18" spans="3:41" x14ac:dyDescent="0.3">
      <c r="C18" s="172">
        <f t="shared" si="1"/>
        <v>43917</v>
      </c>
      <c r="E18" s="286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6"/>
      <c r="R18" s="44"/>
      <c r="S18" s="6"/>
      <c r="T18" s="6"/>
      <c r="U18" s="288"/>
      <c r="W18">
        <f t="shared" si="0"/>
        <v>8</v>
      </c>
      <c r="Z18" s="1"/>
      <c r="AA18" s="1"/>
      <c r="AB18" s="1"/>
      <c r="AC18" s="191"/>
      <c r="AD18" s="203" t="s">
        <v>92</v>
      </c>
      <c r="AE18" s="170"/>
      <c r="AF18" s="163">
        <v>71925</v>
      </c>
      <c r="AG18" s="203"/>
      <c r="AH18" s="164">
        <v>562</v>
      </c>
      <c r="AI18" s="216"/>
      <c r="AJ18" s="163">
        <v>5146</v>
      </c>
      <c r="AK18" s="220"/>
      <c r="AL18" s="110"/>
      <c r="AM18" s="90"/>
      <c r="AN18" s="90"/>
    </row>
    <row r="19" spans="3:41" ht="15" thickBot="1" x14ac:dyDescent="0.35">
      <c r="C19" s="172">
        <f t="shared" si="1"/>
        <v>43918</v>
      </c>
      <c r="E19" s="286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8">
        <f>+K19-K18</f>
        <v>9747</v>
      </c>
      <c r="R19" s="44"/>
      <c r="S19" s="7">
        <f>728+140</f>
        <v>868</v>
      </c>
      <c r="T19" s="6"/>
      <c r="U19" s="288">
        <f>+S19/K19</f>
        <v>1.3681788089908893E-2</v>
      </c>
      <c r="W19">
        <f t="shared" si="0"/>
        <v>9</v>
      </c>
      <c r="Z19" s="1"/>
      <c r="AA19" s="1"/>
      <c r="AB19" s="10"/>
      <c r="AC19" s="191"/>
      <c r="AD19" s="170"/>
      <c r="AE19" s="170"/>
      <c r="AF19" s="221">
        <f>SUM(AF16:AF18)</f>
        <v>721333</v>
      </c>
      <c r="AG19" s="203"/>
      <c r="AH19" s="203"/>
      <c r="AI19" s="203"/>
      <c r="AJ19" s="221">
        <f>SUM(AJ16:AJ18)</f>
        <v>55537</v>
      </c>
      <c r="AK19" s="220"/>
      <c r="AL19" s="110"/>
      <c r="AM19" s="90"/>
      <c r="AN19" s="90"/>
    </row>
    <row r="20" spans="3:41" ht="15" thickTop="1" x14ac:dyDescent="0.3">
      <c r="C20" s="172">
        <f t="shared" si="1"/>
        <v>43919</v>
      </c>
      <c r="E20" s="286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8">
        <f t="shared" ref="Q20:Q61" si="4">+K20-K19</f>
        <v>9457</v>
      </c>
      <c r="R20" s="44"/>
      <c r="S20" s="7">
        <f>965+161</f>
        <v>1126</v>
      </c>
      <c r="T20" s="6"/>
      <c r="U20" s="288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91"/>
      <c r="AD20" s="170"/>
      <c r="AE20" s="170"/>
      <c r="AF20" s="203"/>
      <c r="AG20" s="203"/>
      <c r="AH20" s="203"/>
      <c r="AI20" s="203"/>
      <c r="AJ20" s="203"/>
      <c r="AK20" s="220"/>
      <c r="AL20" s="110"/>
      <c r="AM20" s="90"/>
      <c r="AN20" s="90"/>
    </row>
    <row r="21" spans="3:41" ht="15" thickBot="1" x14ac:dyDescent="0.35">
      <c r="C21" s="172">
        <f t="shared" si="1"/>
        <v>43920</v>
      </c>
      <c r="E21" s="286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8">
        <f t="shared" si="4"/>
        <v>10204</v>
      </c>
      <c r="R21" s="44"/>
      <c r="S21" s="7">
        <f>1218+198</f>
        <v>1416</v>
      </c>
      <c r="T21" s="6"/>
      <c r="U21" s="288">
        <f t="shared" si="5"/>
        <v>1.7039096061514023E-2</v>
      </c>
      <c r="W21">
        <f t="shared" si="0"/>
        <v>11</v>
      </c>
      <c r="Z21" s="1"/>
      <c r="AA21" s="1"/>
      <c r="AB21" s="1"/>
      <c r="AC21" s="191"/>
      <c r="AD21" s="222" t="s">
        <v>29</v>
      </c>
      <c r="AE21" s="170"/>
      <c r="AF21" s="223">
        <f>+AF19/'Main Table'!H82</f>
        <v>0.4227134347338164</v>
      </c>
      <c r="AG21" s="203"/>
      <c r="AH21" s="203"/>
      <c r="AI21" s="203"/>
      <c r="AJ21" s="223">
        <f>+AJ19/'Main Table'!Z82</f>
        <v>0.5564550874204699</v>
      </c>
      <c r="AK21" s="220"/>
      <c r="AL21" s="110"/>
      <c r="AM21" s="90"/>
      <c r="AN21" s="90"/>
    </row>
    <row r="22" spans="3:41" ht="15.6" thickTop="1" thickBot="1" x14ac:dyDescent="0.35">
      <c r="C22" s="172">
        <f t="shared" si="1"/>
        <v>43921</v>
      </c>
      <c r="E22" s="286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8">
        <f t="shared" si="4"/>
        <v>11388</v>
      </c>
      <c r="R22" s="6"/>
      <c r="S22" s="7">
        <f>1550+267</f>
        <v>1817</v>
      </c>
      <c r="T22" s="6"/>
      <c r="U22" s="288">
        <f t="shared" si="5"/>
        <v>1.9229344593665005E-2</v>
      </c>
      <c r="W22">
        <f t="shared" si="0"/>
        <v>12</v>
      </c>
      <c r="Z22" s="1"/>
      <c r="AA22" s="1"/>
      <c r="AB22" s="1"/>
      <c r="AC22" s="196"/>
      <c r="AD22" s="224"/>
      <c r="AE22" s="197"/>
      <c r="AF22" s="225"/>
      <c r="AG22" s="226"/>
      <c r="AH22" s="226"/>
      <c r="AI22" s="226"/>
      <c r="AJ22" s="225"/>
      <c r="AK22" s="227"/>
      <c r="AL22" s="110"/>
      <c r="AM22" s="90"/>
      <c r="AN22" s="90"/>
    </row>
    <row r="23" spans="3:41" x14ac:dyDescent="0.3">
      <c r="C23" s="172">
        <f t="shared" si="1"/>
        <v>43922</v>
      </c>
      <c r="E23" s="286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8">
        <f t="shared" si="4"/>
        <v>11476</v>
      </c>
      <c r="R23" s="6"/>
      <c r="S23" s="7">
        <f>1941+355</f>
        <v>2296</v>
      </c>
      <c r="T23" s="6"/>
      <c r="U23" s="288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/>
      <c r="AN23" s="90"/>
    </row>
    <row r="24" spans="3:41" ht="15" thickBot="1" x14ac:dyDescent="0.35">
      <c r="C24" s="172">
        <f t="shared" si="1"/>
        <v>43923</v>
      </c>
      <c r="E24" s="286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8">
        <f t="shared" si="4"/>
        <v>12129</v>
      </c>
      <c r="R24" s="6"/>
      <c r="S24" s="7">
        <f>2373+537</f>
        <v>2910</v>
      </c>
      <c r="T24" s="6"/>
      <c r="U24" s="288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M24" s="90"/>
      <c r="AN24" s="90"/>
      <c r="AO24" s="118"/>
    </row>
    <row r="25" spans="3:41" ht="15" thickBot="1" x14ac:dyDescent="0.35">
      <c r="C25" s="172">
        <f t="shared" si="1"/>
        <v>43924</v>
      </c>
      <c r="E25" s="286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8">
        <f t="shared" si="4"/>
        <v>14859</v>
      </c>
      <c r="R25" s="6"/>
      <c r="S25" s="7">
        <f>2935+646</f>
        <v>3581</v>
      </c>
      <c r="T25" s="6"/>
      <c r="U25" s="288">
        <f t="shared" si="5"/>
        <v>2.6933925012222179E-2</v>
      </c>
      <c r="W25">
        <f t="shared" si="0"/>
        <v>15</v>
      </c>
      <c r="Z25" s="1"/>
      <c r="AA25" s="516" t="s">
        <v>57</v>
      </c>
      <c r="AB25" s="517"/>
      <c r="AC25" s="517"/>
      <c r="AD25" s="517"/>
      <c r="AE25" s="517"/>
      <c r="AF25" s="517"/>
      <c r="AG25" s="517"/>
      <c r="AH25" s="517"/>
      <c r="AI25" s="517"/>
      <c r="AJ25" s="517"/>
      <c r="AK25" s="518"/>
      <c r="AL25" s="155"/>
      <c r="AM25" s="155"/>
      <c r="AN25" s="90"/>
      <c r="AO25" s="118"/>
    </row>
    <row r="26" spans="3:41" x14ac:dyDescent="0.3">
      <c r="C26" s="172">
        <f t="shared" si="1"/>
        <v>43925</v>
      </c>
      <c r="E26" s="286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8">
        <f t="shared" si="4"/>
        <v>15002</v>
      </c>
      <c r="R26" s="6"/>
      <c r="S26" s="7">
        <f>3565+846</f>
        <v>4411</v>
      </c>
      <c r="T26" s="6"/>
      <c r="U26" s="288">
        <f t="shared" si="5"/>
        <v>2.9812715856634021E-2</v>
      </c>
      <c r="W26">
        <f t="shared" si="0"/>
        <v>16</v>
      </c>
      <c r="Z26" s="1"/>
      <c r="AA26" s="187"/>
      <c r="AB26" s="188" t="s">
        <v>53</v>
      </c>
      <c r="AC26" s="189"/>
      <c r="AD26" s="188" t="s">
        <v>20</v>
      </c>
      <c r="AE26" s="189"/>
      <c r="AF26" s="188" t="s">
        <v>54</v>
      </c>
      <c r="AG26" s="189"/>
      <c r="AH26" s="188" t="s">
        <v>56</v>
      </c>
      <c r="AI26" s="189"/>
      <c r="AJ26" s="188" t="s">
        <v>55</v>
      </c>
      <c r="AK26" s="190"/>
      <c r="AL26" s="118"/>
      <c r="AM26" s="118"/>
      <c r="AN26" s="90"/>
      <c r="AO26" s="118"/>
    </row>
    <row r="27" spans="3:41" x14ac:dyDescent="0.3">
      <c r="C27" s="172">
        <f t="shared" si="1"/>
        <v>43926</v>
      </c>
      <c r="E27" s="286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8">
        <f t="shared" si="4"/>
        <v>12708</v>
      </c>
      <c r="R27" s="6"/>
      <c r="S27" s="7">
        <f>4150+914</f>
        <v>5064</v>
      </c>
      <c r="T27" s="6"/>
      <c r="U27" s="288">
        <f t="shared" si="5"/>
        <v>3.1518999159742322E-2</v>
      </c>
      <c r="W27">
        <f t="shared" si="0"/>
        <v>17</v>
      </c>
      <c r="Z27" s="1"/>
      <c r="AA27" s="191"/>
      <c r="AB27" s="170" t="s">
        <v>50</v>
      </c>
      <c r="AC27" s="170"/>
      <c r="AD27" s="170">
        <f>+E81</f>
        <v>361515</v>
      </c>
      <c r="AE27" s="170"/>
      <c r="AF27" s="201">
        <v>1865</v>
      </c>
      <c r="AG27" s="170"/>
      <c r="AH27" s="192">
        <f>+AD27/AD$31</f>
        <v>0.55668393367497782</v>
      </c>
      <c r="AI27" s="192"/>
      <c r="AJ27" s="170">
        <f>+AF27*AH27</f>
        <v>1038.2155363038337</v>
      </c>
      <c r="AK27" s="193"/>
      <c r="AL27" s="118"/>
      <c r="AM27" s="90"/>
      <c r="AN27" s="90"/>
      <c r="AO27" s="118"/>
    </row>
    <row r="28" spans="3:41" x14ac:dyDescent="0.3">
      <c r="C28" s="172">
        <f t="shared" si="1"/>
        <v>43927</v>
      </c>
      <c r="E28" s="286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8">
        <f t="shared" si="4"/>
        <v>11985</v>
      </c>
      <c r="R28" s="6"/>
      <c r="S28" s="7">
        <f>4758+1003</f>
        <v>5761</v>
      </c>
      <c r="T28" s="6"/>
      <c r="U28" s="288">
        <f t="shared" si="5"/>
        <v>3.3368085722560094E-2</v>
      </c>
      <c r="W28">
        <f t="shared" si="0"/>
        <v>18</v>
      </c>
      <c r="Z28" s="1"/>
      <c r="AA28" s="191"/>
      <c r="AB28" s="170" t="s">
        <v>51</v>
      </c>
      <c r="AC28" s="170"/>
      <c r="AD28" s="170">
        <f>+G81</f>
        <v>154154</v>
      </c>
      <c r="AE28" s="170"/>
      <c r="AF28" s="201">
        <v>1746</v>
      </c>
      <c r="AG28" s="170"/>
      <c r="AH28" s="192">
        <f>+AD28/AD$31</f>
        <v>0.23737619493446338</v>
      </c>
      <c r="AI28" s="192"/>
      <c r="AJ28" s="170">
        <f>+AF28*AH28</f>
        <v>414.45883635557306</v>
      </c>
      <c r="AK28" s="193"/>
      <c r="AL28" s="118"/>
      <c r="AM28" s="90"/>
      <c r="AN28" s="90"/>
      <c r="AO28" s="118"/>
    </row>
    <row r="29" spans="3:41" x14ac:dyDescent="0.3">
      <c r="C29" s="172">
        <f t="shared" si="1"/>
        <v>43928</v>
      </c>
      <c r="E29" s="286">
        <v>139876</v>
      </c>
      <c r="F29" s="7"/>
      <c r="G29" s="7">
        <f>44416</f>
        <v>44416</v>
      </c>
      <c r="H29" s="7"/>
      <c r="I29" s="7"/>
      <c r="J29" s="289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8">
        <f t="shared" si="4"/>
        <v>11642</v>
      </c>
      <c r="R29" s="6"/>
      <c r="S29" s="7">
        <f>5489+1232+277</f>
        <v>6998</v>
      </c>
      <c r="T29" s="6"/>
      <c r="U29" s="288">
        <f t="shared" si="5"/>
        <v>3.7972348229982855E-2</v>
      </c>
      <c r="W29">
        <f t="shared" si="0"/>
        <v>19</v>
      </c>
      <c r="Z29" s="1"/>
      <c r="AA29" s="191"/>
      <c r="AB29" s="170" t="s">
        <v>52</v>
      </c>
      <c r="AC29" s="170"/>
      <c r="AD29" s="170">
        <f>+I81</f>
        <v>40468</v>
      </c>
      <c r="AE29" s="170"/>
      <c r="AF29" s="201">
        <v>1146</v>
      </c>
      <c r="AG29" s="170"/>
      <c r="AH29" s="192">
        <f>+AD29/AD$31</f>
        <v>6.231521632009461E-2</v>
      </c>
      <c r="AI29" s="192"/>
      <c r="AJ29" s="170">
        <f>+AF29*AH29</f>
        <v>71.413237902828428</v>
      </c>
      <c r="AK29" s="193"/>
      <c r="AL29" s="118"/>
      <c r="AM29" s="90"/>
      <c r="AN29" s="90"/>
      <c r="AO29" s="118"/>
    </row>
    <row r="30" spans="3:41" x14ac:dyDescent="0.3">
      <c r="C30" s="172">
        <f t="shared" si="1"/>
        <v>43929</v>
      </c>
      <c r="E30" s="286">
        <v>151069</v>
      </c>
      <c r="F30" s="7"/>
      <c r="G30" s="7">
        <f>47437</f>
        <v>47437</v>
      </c>
      <c r="H30" s="7"/>
      <c r="I30" s="7">
        <v>8781</v>
      </c>
      <c r="J30" s="289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8">
        <f t="shared" si="4"/>
        <v>22995</v>
      </c>
      <c r="R30" s="6"/>
      <c r="S30" s="7">
        <f>6268+1504+335</f>
        <v>8107</v>
      </c>
      <c r="T30" s="6"/>
      <c r="U30" s="288">
        <f t="shared" si="5"/>
        <v>3.9110026195564605E-2</v>
      </c>
      <c r="W30">
        <f t="shared" si="0"/>
        <v>20</v>
      </c>
      <c r="Z30" s="1"/>
      <c r="AA30" s="187"/>
      <c r="AB30" s="170" t="s">
        <v>107</v>
      </c>
      <c r="AC30" s="282"/>
      <c r="AD30" s="170">
        <f>+AF17</f>
        <v>93271</v>
      </c>
      <c r="AE30" s="282"/>
      <c r="AF30" s="170">
        <f>+AH17</f>
        <v>1353</v>
      </c>
      <c r="AG30" s="282"/>
      <c r="AH30" s="192">
        <f>+AD30/AD$31</f>
        <v>0.14362465507046418</v>
      </c>
      <c r="AI30" s="282"/>
      <c r="AJ30" s="170">
        <f>+AF30*AH30</f>
        <v>194.32415831033805</v>
      </c>
      <c r="AK30" s="193"/>
      <c r="AL30" s="118"/>
      <c r="AM30" s="90"/>
      <c r="AN30" s="90"/>
      <c r="AO30" s="118"/>
    </row>
    <row r="31" spans="3:41" ht="15" thickBot="1" x14ac:dyDescent="0.35">
      <c r="C31" s="172">
        <f t="shared" si="1"/>
        <v>43930</v>
      </c>
      <c r="E31" s="286">
        <v>161790</v>
      </c>
      <c r="F31" s="7"/>
      <c r="G31" s="7">
        <f>51027</f>
        <v>51027</v>
      </c>
      <c r="H31" s="7"/>
      <c r="I31" s="7">
        <v>9784</v>
      </c>
      <c r="J31" s="289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8">
        <f t="shared" si="4"/>
        <v>15314</v>
      </c>
      <c r="R31" s="6"/>
      <c r="S31" s="7">
        <f>7067+1209+380</f>
        <v>8656</v>
      </c>
      <c r="T31" s="6"/>
      <c r="U31" s="288">
        <f t="shared" si="5"/>
        <v>3.8885719291467696E-2</v>
      </c>
      <c r="W31">
        <f t="shared" si="0"/>
        <v>21</v>
      </c>
      <c r="Z31" s="1"/>
      <c r="AA31" s="191"/>
      <c r="AB31" s="170"/>
      <c r="AC31" s="170"/>
      <c r="AD31" s="194">
        <f>SUM(AD27:AD30)</f>
        <v>649408</v>
      </c>
      <c r="AE31" s="170"/>
      <c r="AF31" s="170"/>
      <c r="AG31" s="170"/>
      <c r="AH31" s="195">
        <f>SUM(AH27:AH30)</f>
        <v>1</v>
      </c>
      <c r="AI31" s="192"/>
      <c r="AJ31" s="194">
        <f>SUM(AJ27:AJ30)</f>
        <v>1718.4117688725732</v>
      </c>
      <c r="AK31" s="193"/>
      <c r="AL31" s="118"/>
      <c r="AM31" s="90"/>
      <c r="AN31" s="90"/>
      <c r="AO31" s="118"/>
    </row>
    <row r="32" spans="3:41" ht="15.6" thickTop="1" thickBot="1" x14ac:dyDescent="0.35">
      <c r="C32" s="172">
        <f t="shared" si="1"/>
        <v>43931</v>
      </c>
      <c r="E32" s="286">
        <v>174481</v>
      </c>
      <c r="F32" s="7"/>
      <c r="G32" s="7">
        <f>54588</f>
        <v>54588</v>
      </c>
      <c r="H32" s="7"/>
      <c r="I32" s="7">
        <v>10538</v>
      </c>
      <c r="J32" s="289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8">
        <f t="shared" si="4"/>
        <v>17006</v>
      </c>
      <c r="R32" s="6"/>
      <c r="S32" s="7">
        <f>7884+1932+448</f>
        <v>10264</v>
      </c>
      <c r="T32" s="6"/>
      <c r="U32" s="288">
        <f t="shared" si="5"/>
        <v>4.2836811946228619E-2</v>
      </c>
      <c r="W32">
        <f t="shared" si="0"/>
        <v>22</v>
      </c>
      <c r="Z32" s="1"/>
      <c r="AA32" s="196"/>
      <c r="AB32" s="197"/>
      <c r="AC32" s="197"/>
      <c r="AD32" s="197"/>
      <c r="AE32" s="197"/>
      <c r="AF32" s="197"/>
      <c r="AG32" s="197"/>
      <c r="AH32" s="198"/>
      <c r="AI32" s="198"/>
      <c r="AJ32" s="199"/>
      <c r="AK32" s="200"/>
      <c r="AL32" s="118"/>
      <c r="AM32" s="90"/>
      <c r="AN32" s="90"/>
      <c r="AO32" s="118"/>
    </row>
    <row r="33" spans="3:40" x14ac:dyDescent="0.3">
      <c r="C33" s="172">
        <f t="shared" si="1"/>
        <v>43932</v>
      </c>
      <c r="E33" s="286">
        <v>181825</v>
      </c>
      <c r="F33" s="7"/>
      <c r="G33" s="7">
        <f>58151</f>
        <v>58151</v>
      </c>
      <c r="H33" s="7"/>
      <c r="I33" s="7">
        <v>11510</v>
      </c>
      <c r="J33" s="289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8">
        <f t="shared" si="4"/>
        <v>11879</v>
      </c>
      <c r="R33" s="6"/>
      <c r="S33" s="7">
        <f>8650+2183+494</f>
        <v>11327</v>
      </c>
      <c r="T33" s="6"/>
      <c r="U33" s="288">
        <f t="shared" si="5"/>
        <v>4.5040280572278379E-2</v>
      </c>
      <c r="W33">
        <f t="shared" si="0"/>
        <v>23</v>
      </c>
    </row>
    <row r="34" spans="3:40" x14ac:dyDescent="0.3">
      <c r="C34" s="172">
        <f t="shared" si="1"/>
        <v>43933</v>
      </c>
      <c r="E34" s="286">
        <v>189033</v>
      </c>
      <c r="F34" s="7"/>
      <c r="G34" s="7">
        <f>61850</f>
        <v>61850</v>
      </c>
      <c r="H34" s="7"/>
      <c r="I34" s="7">
        <v>12035</v>
      </c>
      <c r="J34" s="289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8">
        <f t="shared" si="4"/>
        <v>11432</v>
      </c>
      <c r="R34" s="6"/>
      <c r="S34" s="7">
        <f>9385+2350+554</f>
        <v>12289</v>
      </c>
      <c r="T34" s="6"/>
      <c r="U34" s="288">
        <f t="shared" si="5"/>
        <v>4.674080892141276E-2</v>
      </c>
      <c r="W34">
        <f t="shared" si="0"/>
        <v>24</v>
      </c>
    </row>
    <row r="35" spans="3:40" ht="15" thickBot="1" x14ac:dyDescent="0.35">
      <c r="C35" s="172">
        <f t="shared" si="1"/>
        <v>43934</v>
      </c>
      <c r="E35" s="286">
        <v>195749</v>
      </c>
      <c r="F35" s="7"/>
      <c r="G35" s="7">
        <f>64584</f>
        <v>64584</v>
      </c>
      <c r="H35" s="7"/>
      <c r="I35" s="7">
        <v>13381</v>
      </c>
      <c r="J35" s="289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8">
        <f t="shared" si="4"/>
        <v>10796</v>
      </c>
      <c r="R35" s="6"/>
      <c r="S35" s="7">
        <f>10058+2443+602</f>
        <v>13103</v>
      </c>
      <c r="T35" s="6"/>
      <c r="U35" s="288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2">
        <f t="shared" si="1"/>
        <v>43935</v>
      </c>
      <c r="E36" s="286">
        <v>203020</v>
      </c>
      <c r="F36" s="7"/>
      <c r="G36" s="7">
        <f>68824</f>
        <v>68824</v>
      </c>
      <c r="H36" s="7"/>
      <c r="I36" s="7">
        <v>13989</v>
      </c>
      <c r="J36" s="289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8">
        <f t="shared" si="4"/>
        <v>12119</v>
      </c>
      <c r="R36" s="6"/>
      <c r="S36" s="7">
        <f>10842+2805+671+3778</f>
        <v>18096</v>
      </c>
      <c r="T36" s="6"/>
      <c r="U36" s="288">
        <f t="shared" si="5"/>
        <v>6.3309694821801543E-2</v>
      </c>
      <c r="W36">
        <f t="shared" si="0"/>
        <v>26</v>
      </c>
      <c r="Z36" s="1"/>
      <c r="AA36" s="511" t="s">
        <v>31</v>
      </c>
      <c r="AB36" s="512"/>
      <c r="AC36" s="512"/>
      <c r="AD36" s="512"/>
      <c r="AE36" s="512"/>
      <c r="AF36" s="512"/>
      <c r="AG36" s="512"/>
      <c r="AH36" s="512"/>
      <c r="AI36" s="513"/>
      <c r="AJ36" s="155"/>
      <c r="AK36" s="155"/>
      <c r="AL36" s="155"/>
      <c r="AM36" s="95"/>
      <c r="AN36" s="95"/>
    </row>
    <row r="37" spans="3:40" x14ac:dyDescent="0.3">
      <c r="C37" s="172">
        <f t="shared" si="1"/>
        <v>43936</v>
      </c>
      <c r="E37" s="286">
        <v>214639</v>
      </c>
      <c r="F37" s="7"/>
      <c r="G37" s="7">
        <f>71030</f>
        <v>71030</v>
      </c>
      <c r="H37" s="7"/>
      <c r="I37" s="7">
        <v>14755</v>
      </c>
      <c r="J37" s="289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8">
        <f t="shared" si="4"/>
        <v>14591</v>
      </c>
      <c r="R37" s="6"/>
      <c r="S37" s="7">
        <f>11620+3156+868-145</f>
        <v>15499</v>
      </c>
      <c r="T37" s="6"/>
      <c r="U37" s="288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8" t="s">
        <v>30</v>
      </c>
      <c r="AG37" s="166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2">
        <f t="shared" si="1"/>
        <v>43937</v>
      </c>
      <c r="E38" s="286">
        <v>223691</v>
      </c>
      <c r="F38" s="7"/>
      <c r="G38" s="7">
        <f>75317</f>
        <v>75317</v>
      </c>
      <c r="H38" s="7"/>
      <c r="I38" s="7">
        <v>15884</v>
      </c>
      <c r="J38" s="289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8">
        <f t="shared" si="4"/>
        <v>14468</v>
      </c>
      <c r="R38" s="6"/>
      <c r="S38" s="7">
        <f>14832+3518+446</f>
        <v>18796</v>
      </c>
      <c r="T38" s="6"/>
      <c r="U38" s="288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7">
        <v>20100000</v>
      </c>
      <c r="AG38" s="166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2">
        <f t="shared" si="1"/>
        <v>43938</v>
      </c>
      <c r="E39" s="286">
        <v>230597</v>
      </c>
      <c r="F39" s="7"/>
      <c r="G39" s="7">
        <f>78467</f>
        <v>78467</v>
      </c>
      <c r="H39" s="7"/>
      <c r="I39" s="7">
        <v>16809</v>
      </c>
      <c r="J39" s="289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8">
        <f t="shared" si="4"/>
        <v>10981</v>
      </c>
      <c r="R39" s="6"/>
      <c r="S39" s="7">
        <f>17131+3840+1036</f>
        <v>22007</v>
      </c>
      <c r="T39" s="6"/>
      <c r="U39" s="288">
        <f t="shared" si="5"/>
        <v>6.7532443620674315E-2</v>
      </c>
      <c r="W39">
        <f t="shared" si="0"/>
        <v>29</v>
      </c>
      <c r="Z39" s="75"/>
      <c r="AA39" s="91"/>
      <c r="AB39" s="102" t="s">
        <v>59</v>
      </c>
      <c r="AC39" s="102"/>
      <c r="AD39" s="102"/>
      <c r="AE39" s="102"/>
      <c r="AF39" s="166">
        <v>4900000</v>
      </c>
      <c r="AG39" s="166"/>
      <c r="AH39" s="100">
        <f>+AF39/AF$43</f>
        <v>1.4848484848484849E-2</v>
      </c>
      <c r="AI39" s="179"/>
      <c r="AJ39" s="177"/>
      <c r="AK39" s="177"/>
      <c r="AL39" s="110"/>
      <c r="AM39" s="108"/>
      <c r="AN39" s="108"/>
    </row>
    <row r="40" spans="3:40" x14ac:dyDescent="0.3">
      <c r="C40" s="335">
        <f t="shared" si="1"/>
        <v>43939</v>
      </c>
      <c r="D40" s="110"/>
      <c r="E40" s="286">
        <v>238767</v>
      </c>
      <c r="F40" s="7"/>
      <c r="G40" s="7">
        <f>81420</f>
        <v>81420</v>
      </c>
      <c r="H40" s="7"/>
      <c r="I40" s="7">
        <v>17550</v>
      </c>
      <c r="J40" s="289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8">
        <f t="shared" si="4"/>
        <v>11864</v>
      </c>
      <c r="R40" s="6"/>
      <c r="S40" s="7">
        <f>17671+4070+1086</f>
        <v>22827</v>
      </c>
      <c r="T40" s="6"/>
      <c r="U40" s="288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93</v>
      </c>
      <c r="AC40" s="102"/>
      <c r="AD40" s="102"/>
      <c r="AE40" s="102"/>
      <c r="AF40" s="166">
        <v>6000000</v>
      </c>
      <c r="AG40" s="166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2">
        <f t="shared" si="1"/>
        <v>43940</v>
      </c>
      <c r="E41" s="286">
        <v>242570</v>
      </c>
      <c r="F41" s="7"/>
      <c r="G41" s="7">
        <f>85301</f>
        <v>85301</v>
      </c>
      <c r="H41" s="7"/>
      <c r="I41" s="7">
        <v>17550</v>
      </c>
      <c r="J41" s="289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8">
        <f t="shared" si="4"/>
        <v>7684</v>
      </c>
      <c r="R41" s="6"/>
      <c r="S41" s="7">
        <f>17428+4362+1086</f>
        <v>22876</v>
      </c>
      <c r="T41" s="6"/>
      <c r="U41" s="288">
        <f t="shared" si="5"/>
        <v>6.6226430935003952E-2</v>
      </c>
      <c r="W41">
        <f t="shared" si="0"/>
        <v>31</v>
      </c>
      <c r="Z41" s="75"/>
      <c r="AA41" s="91"/>
      <c r="AB41" s="166" t="s">
        <v>33</v>
      </c>
      <c r="AC41" s="166"/>
      <c r="AD41" s="166"/>
      <c r="AE41" s="166"/>
      <c r="AF41" s="165">
        <f>SUM(AF38:AG40)</f>
        <v>31000000</v>
      </c>
      <c r="AG41" s="166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2">
        <f t="shared" si="1"/>
        <v>43941</v>
      </c>
      <c r="E42" s="286">
        <v>253060</v>
      </c>
      <c r="F42" s="7"/>
      <c r="G42" s="7">
        <f>88722</f>
        <v>88722</v>
      </c>
      <c r="H42" s="7"/>
      <c r="I42" s="7">
        <v>19815</v>
      </c>
      <c r="J42" s="289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8">
        <f t="shared" si="4"/>
        <v>16176</v>
      </c>
      <c r="R42" s="6"/>
      <c r="S42" s="7">
        <f>18611+4496+1331</f>
        <v>24438</v>
      </c>
      <c r="T42" s="6"/>
      <c r="U42" s="288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3">
        <f t="shared" si="1"/>
        <v>43942</v>
      </c>
      <c r="E43" s="286">
        <v>258361</v>
      </c>
      <c r="F43" s="7"/>
      <c r="G43" s="7">
        <f>92387</f>
        <v>92387</v>
      </c>
      <c r="H43" s="7"/>
      <c r="I43" s="7">
        <v>20360</v>
      </c>
      <c r="J43" s="289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8">
        <f t="shared" si="4"/>
        <v>9511</v>
      </c>
      <c r="R43" s="6"/>
      <c r="S43" s="7">
        <f>18821+4520+1423</f>
        <v>24764</v>
      </c>
      <c r="T43" s="6"/>
      <c r="U43" s="288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5">
        <v>330000000</v>
      </c>
      <c r="AG43" s="166"/>
      <c r="AH43" s="175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3">
        <f t="shared" si="1"/>
        <v>43943</v>
      </c>
      <c r="E44" s="286">
        <v>263292</v>
      </c>
      <c r="F44" s="7"/>
      <c r="G44" s="7">
        <f>95418</f>
        <v>95418</v>
      </c>
      <c r="H44" s="7"/>
      <c r="I44" s="7">
        <v>22469</v>
      </c>
      <c r="J44" s="289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8">
        <f t="shared" si="4"/>
        <v>10071</v>
      </c>
      <c r="R44" s="6"/>
      <c r="S44" s="7">
        <f>19413+5129+1544</f>
        <v>26086</v>
      </c>
      <c r="T44" s="6"/>
      <c r="U44" s="288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80"/>
      <c r="AI44" s="112"/>
      <c r="AJ44" s="109"/>
      <c r="AK44" s="109"/>
      <c r="AL44" s="109"/>
      <c r="AM44" s="109"/>
      <c r="AN44" s="109"/>
    </row>
    <row r="45" spans="3:40" x14ac:dyDescent="0.3">
      <c r="C45" s="173">
        <f t="shared" si="1"/>
        <v>43944</v>
      </c>
      <c r="E45" s="286">
        <v>271145</v>
      </c>
      <c r="F45" s="7"/>
      <c r="G45" s="7">
        <f>99989</f>
        <v>99989</v>
      </c>
      <c r="H45" s="7"/>
      <c r="I45" s="7">
        <v>23128</v>
      </c>
      <c r="J45" s="289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8">
        <f t="shared" si="4"/>
        <v>13083</v>
      </c>
      <c r="R45" s="6"/>
      <c r="S45" s="7">
        <f>20971+5426+1637</f>
        <v>28034</v>
      </c>
      <c r="T45" s="6"/>
      <c r="U45" s="288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3">
        <f t="shared" si="1"/>
        <v>43945</v>
      </c>
      <c r="E46" s="286">
        <v>271590</v>
      </c>
      <c r="F46" s="7"/>
      <c r="G46" s="7">
        <f>100025</f>
        <v>100025</v>
      </c>
      <c r="H46" s="7"/>
      <c r="I46" s="7">
        <v>23936</v>
      </c>
      <c r="J46" s="289"/>
      <c r="K46" s="7">
        <f t="shared" si="6"/>
        <v>395551</v>
      </c>
      <c r="L46" s="6"/>
      <c r="M46" s="29">
        <f t="shared" si="7"/>
        <v>3.2693995363489254E-3</v>
      </c>
      <c r="N46" s="29"/>
      <c r="O46" s="29"/>
      <c r="P46" s="29"/>
      <c r="Q46" s="378">
        <f t="shared" si="4"/>
        <v>1289</v>
      </c>
      <c r="R46" s="6"/>
      <c r="S46" s="7">
        <f>21349+5426+1767</f>
        <v>28542</v>
      </c>
      <c r="T46" s="6"/>
      <c r="U46" s="288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3">
        <f t="shared" si="1"/>
        <v>43946</v>
      </c>
      <c r="E47" s="286">
        <v>282143</v>
      </c>
      <c r="F47" s="7"/>
      <c r="G47" s="7">
        <f>105498</f>
        <v>105498</v>
      </c>
      <c r="H47" s="7"/>
      <c r="I47" s="7">
        <v>24583</v>
      </c>
      <c r="J47" s="289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8">
        <f t="shared" si="4"/>
        <v>16673</v>
      </c>
      <c r="R47" s="6"/>
      <c r="S47" s="7">
        <f>22009+5914+1865</f>
        <v>29788</v>
      </c>
      <c r="T47" s="6"/>
      <c r="U47" s="288">
        <f t="shared" si="5"/>
        <v>7.2261682968483149E-2</v>
      </c>
      <c r="W47">
        <f t="shared" si="0"/>
        <v>37</v>
      </c>
    </row>
    <row r="48" spans="3:40" x14ac:dyDescent="0.3">
      <c r="C48" s="173">
        <f t="shared" si="1"/>
        <v>43947</v>
      </c>
      <c r="E48" s="286">
        <v>288045</v>
      </c>
      <c r="F48" s="7"/>
      <c r="G48" s="7">
        <f>109038</f>
        <v>109038</v>
      </c>
      <c r="H48" s="7"/>
      <c r="I48" s="7">
        <v>25269</v>
      </c>
      <c r="J48" s="289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8">
        <f t="shared" si="4"/>
        <v>10128</v>
      </c>
      <c r="R48" s="6"/>
      <c r="S48" s="7">
        <f>22269+5938+1924</f>
        <v>30131</v>
      </c>
      <c r="T48" s="6"/>
      <c r="U48" s="288">
        <f t="shared" si="5"/>
        <v>7.134096677652764E-2</v>
      </c>
      <c r="W48">
        <f t="shared" si="0"/>
        <v>38</v>
      </c>
      <c r="AF48" s="56"/>
    </row>
    <row r="49" spans="3:32" x14ac:dyDescent="0.3">
      <c r="C49" s="173">
        <f t="shared" si="1"/>
        <v>43948</v>
      </c>
      <c r="E49" s="286">
        <v>291996</v>
      </c>
      <c r="F49" s="7"/>
      <c r="G49" s="7">
        <f>111188</f>
        <v>111188</v>
      </c>
      <c r="H49" s="7"/>
      <c r="I49" s="7">
        <v>25269</v>
      </c>
      <c r="J49" s="289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8">
        <f t="shared" si="4"/>
        <v>6101</v>
      </c>
      <c r="R49" s="6"/>
      <c r="S49" s="7">
        <f>22668+6044+1924</f>
        <v>30636</v>
      </c>
      <c r="T49" s="6"/>
      <c r="U49" s="288">
        <f t="shared" si="5"/>
        <v>7.1503758872034973E-2</v>
      </c>
      <c r="W49">
        <f t="shared" si="0"/>
        <v>39</v>
      </c>
    </row>
    <row r="50" spans="3:32" x14ac:dyDescent="0.3">
      <c r="C50" s="173">
        <f t="shared" si="1"/>
        <v>43949</v>
      </c>
      <c r="E50" s="286">
        <v>295106</v>
      </c>
      <c r="F50" s="7"/>
      <c r="G50" s="7">
        <f>113856</f>
        <v>113856</v>
      </c>
      <c r="H50" s="7"/>
      <c r="I50" s="7">
        <v>26312</v>
      </c>
      <c r="J50" s="289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8">
        <f t="shared" si="4"/>
        <v>6821</v>
      </c>
      <c r="R50" s="6"/>
      <c r="S50" s="7">
        <f>22912+6442+2087</f>
        <v>31441</v>
      </c>
      <c r="T50" s="6"/>
      <c r="U50" s="288">
        <f t="shared" si="5"/>
        <v>7.223266264467898E-2</v>
      </c>
      <c r="W50">
        <f t="shared" si="0"/>
        <v>40</v>
      </c>
      <c r="AF50" s="275"/>
    </row>
    <row r="51" spans="3:32" x14ac:dyDescent="0.3">
      <c r="C51" s="172">
        <f t="shared" si="1"/>
        <v>43950</v>
      </c>
      <c r="E51" s="286">
        <v>299691</v>
      </c>
      <c r="F51" s="7"/>
      <c r="G51" s="7">
        <f>116365</f>
        <v>116365</v>
      </c>
      <c r="H51" s="7"/>
      <c r="I51" s="7">
        <v>26751</v>
      </c>
      <c r="J51" s="289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8">
        <f t="shared" si="4"/>
        <v>7533</v>
      </c>
      <c r="R51" s="6"/>
      <c r="S51" s="7">
        <f>23477+6711+2169</f>
        <v>32357</v>
      </c>
      <c r="T51" s="6"/>
      <c r="U51" s="288">
        <f t="shared" si="5"/>
        <v>7.3072467237419461E-2</v>
      </c>
      <c r="W51">
        <f t="shared" si="0"/>
        <v>41</v>
      </c>
    </row>
    <row r="52" spans="3:32" x14ac:dyDescent="0.3">
      <c r="C52" s="172">
        <f t="shared" si="1"/>
        <v>43951</v>
      </c>
      <c r="E52" s="286">
        <v>304372</v>
      </c>
      <c r="F52" s="7"/>
      <c r="G52" s="7">
        <v>118652</v>
      </c>
      <c r="H52" s="7"/>
      <c r="I52" s="7">
        <v>27700</v>
      </c>
      <c r="J52" s="289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8">
        <f t="shared" si="4"/>
        <v>7917</v>
      </c>
      <c r="R52" s="6"/>
      <c r="S52" s="7">
        <f>23545+7228+2257</f>
        <v>33030</v>
      </c>
      <c r="T52" s="6"/>
      <c r="U52" s="288">
        <f t="shared" si="5"/>
        <v>7.3282097247983249E-2</v>
      </c>
      <c r="W52">
        <f t="shared" si="0"/>
        <v>42</v>
      </c>
    </row>
    <row r="53" spans="3:32" x14ac:dyDescent="0.3">
      <c r="C53" s="172">
        <f t="shared" si="1"/>
        <v>43952</v>
      </c>
      <c r="E53" s="286">
        <v>308314</v>
      </c>
      <c r="F53" s="7"/>
      <c r="G53" s="7">
        <v>121190</v>
      </c>
      <c r="H53" s="7"/>
      <c r="I53" s="7">
        <v>28855</v>
      </c>
      <c r="J53" s="289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8">
        <f t="shared" si="4"/>
        <v>7635</v>
      </c>
      <c r="R53" s="6"/>
      <c r="S53" s="7">
        <f>23981+7538+2341</f>
        <v>33860</v>
      </c>
      <c r="T53" s="6"/>
      <c r="U53" s="288">
        <f t="shared" ref="U53:U65" si="10">+S53/K53</f>
        <v>7.3872226791663304E-2</v>
      </c>
      <c r="W53">
        <f t="shared" si="0"/>
        <v>43</v>
      </c>
    </row>
    <row r="54" spans="3:32" x14ac:dyDescent="0.3">
      <c r="C54" s="172">
        <f t="shared" si="1"/>
        <v>43953</v>
      </c>
      <c r="E54" s="286">
        <v>312977</v>
      </c>
      <c r="F54" s="7"/>
      <c r="G54" s="7">
        <v>123717</v>
      </c>
      <c r="H54" s="7"/>
      <c r="I54" s="7">
        <v>29346</v>
      </c>
      <c r="J54" s="289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8">
        <f t="shared" si="4"/>
        <v>7681</v>
      </c>
      <c r="R54" s="6"/>
      <c r="S54" s="7">
        <f>24198+7742+2437</f>
        <v>34377</v>
      </c>
      <c r="T54" s="6"/>
      <c r="U54" s="288">
        <f t="shared" si="10"/>
        <v>7.3764054587589042E-2</v>
      </c>
      <c r="W54">
        <f t="shared" si="0"/>
        <v>44</v>
      </c>
    </row>
    <row r="55" spans="3:32" x14ac:dyDescent="0.3">
      <c r="C55" s="172">
        <f t="shared" si="1"/>
        <v>43954</v>
      </c>
      <c r="E55" s="286">
        <v>316415</v>
      </c>
      <c r="F55" s="7"/>
      <c r="G55" s="7">
        <v>126744</v>
      </c>
      <c r="H55" s="7"/>
      <c r="I55" s="7">
        <v>29087</v>
      </c>
      <c r="J55" s="289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8">
        <f t="shared" si="4"/>
        <v>6206</v>
      </c>
      <c r="R55" s="6"/>
      <c r="S55" s="7">
        <f>24708+7871+2436</f>
        <v>35015</v>
      </c>
      <c r="T55" s="6"/>
      <c r="U55" s="288">
        <f t="shared" si="10"/>
        <v>7.4145678311727359E-2</v>
      </c>
      <c r="W55">
        <f t="shared" si="0"/>
        <v>45</v>
      </c>
    </row>
    <row r="56" spans="3:32" x14ac:dyDescent="0.3">
      <c r="C56" s="173">
        <f t="shared" si="1"/>
        <v>43955</v>
      </c>
      <c r="E56" s="286">
        <v>318953</v>
      </c>
      <c r="F56" s="7"/>
      <c r="G56" s="7">
        <v>128269</v>
      </c>
      <c r="H56" s="7"/>
      <c r="I56" s="7">
        <v>29973</v>
      </c>
      <c r="J56" s="289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8">
        <f t="shared" si="4"/>
        <v>4949</v>
      </c>
      <c r="R56" s="6"/>
      <c r="S56" s="7">
        <f>24999+7910+2556</f>
        <v>35465</v>
      </c>
      <c r="T56" s="6"/>
      <c r="U56" s="288">
        <f t="shared" si="10"/>
        <v>7.4319722545290706E-2</v>
      </c>
      <c r="W56">
        <f t="shared" si="0"/>
        <v>46</v>
      </c>
    </row>
    <row r="57" spans="3:32" x14ac:dyDescent="0.3">
      <c r="C57" s="173">
        <f t="shared" si="1"/>
        <v>43956</v>
      </c>
      <c r="E57" s="286">
        <v>321192</v>
      </c>
      <c r="F57" s="7"/>
      <c r="G57" s="7">
        <v>130593</v>
      </c>
      <c r="H57" s="7"/>
      <c r="I57" s="7">
        <v>30621</v>
      </c>
      <c r="J57" s="289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8">
        <f t="shared" si="4"/>
        <v>5211</v>
      </c>
      <c r="R57" s="6"/>
      <c r="S57" s="7">
        <f>25124+8244+2633</f>
        <v>36001</v>
      </c>
      <c r="T57" s="6"/>
      <c r="U57" s="288">
        <f t="shared" si="10"/>
        <v>7.4628010431047706E-2</v>
      </c>
      <c r="W57">
        <f t="shared" si="0"/>
        <v>47</v>
      </c>
    </row>
    <row r="58" spans="3:32" x14ac:dyDescent="0.3">
      <c r="C58" s="173">
        <f t="shared" si="1"/>
        <v>43957</v>
      </c>
      <c r="E58" s="286">
        <v>323978</v>
      </c>
      <c r="F58" s="7"/>
      <c r="G58" s="7">
        <v>131890</v>
      </c>
      <c r="H58" s="7"/>
      <c r="I58" s="7">
        <v>30995</v>
      </c>
      <c r="J58" s="289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8">
        <f t="shared" si="4"/>
        <v>4457</v>
      </c>
      <c r="R58" s="6"/>
      <c r="S58" s="7">
        <f>25346+8549+2718</f>
        <v>36613</v>
      </c>
      <c r="T58" s="6"/>
      <c r="U58" s="288">
        <f t="shared" si="10"/>
        <v>7.5201853498828214E-2</v>
      </c>
      <c r="W58">
        <f t="shared" si="0"/>
        <v>48</v>
      </c>
    </row>
    <row r="59" spans="3:32" x14ac:dyDescent="0.3">
      <c r="C59" s="173">
        <f t="shared" si="1"/>
        <v>43958</v>
      </c>
      <c r="E59" s="286">
        <v>327469</v>
      </c>
      <c r="F59" s="7"/>
      <c r="G59" s="7">
        <v>133991</v>
      </c>
      <c r="H59" s="7"/>
      <c r="I59" s="7">
        <v>31784</v>
      </c>
      <c r="J59" s="289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8">
        <f t="shared" si="4"/>
        <v>6381</v>
      </c>
      <c r="R59" s="6"/>
      <c r="S59" s="7">
        <f>26144+8807+2797</f>
        <v>37748</v>
      </c>
      <c r="T59" s="6"/>
      <c r="U59" s="288">
        <f t="shared" si="10"/>
        <v>7.6530074364817416E-2</v>
      </c>
      <c r="W59">
        <f t="shared" si="0"/>
        <v>49</v>
      </c>
    </row>
    <row r="60" spans="3:32" x14ac:dyDescent="0.3">
      <c r="C60" s="173">
        <f t="shared" si="1"/>
        <v>43959</v>
      </c>
      <c r="E60" s="286">
        <v>330407</v>
      </c>
      <c r="F60" s="7"/>
      <c r="G60" s="7">
        <v>135840</v>
      </c>
      <c r="H60" s="7"/>
      <c r="I60" s="7">
        <v>32411</v>
      </c>
      <c r="J60" s="289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8">
        <f t="shared" si="4"/>
        <v>5414</v>
      </c>
      <c r="R60" s="6"/>
      <c r="S60" s="7">
        <f>26243+8960+2874</f>
        <v>38077</v>
      </c>
      <c r="T60" s="6"/>
      <c r="U60" s="288">
        <f t="shared" si="10"/>
        <v>7.6358947414861489E-2</v>
      </c>
      <c r="W60">
        <f t="shared" si="0"/>
        <v>50</v>
      </c>
    </row>
    <row r="61" spans="3:32" x14ac:dyDescent="0.3">
      <c r="C61" s="173">
        <f t="shared" si="1"/>
        <v>43960</v>
      </c>
      <c r="E61" s="286">
        <v>333122</v>
      </c>
      <c r="F61" s="7"/>
      <c r="G61" s="7">
        <v>137397</v>
      </c>
      <c r="H61" s="7"/>
      <c r="I61" s="7">
        <v>32984</v>
      </c>
      <c r="J61" s="289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8">
        <f t="shared" si="4"/>
        <v>4845</v>
      </c>
      <c r="R61" s="6"/>
      <c r="S61" s="7">
        <f>26563+9116+2932</f>
        <v>38611</v>
      </c>
      <c r="T61" s="6"/>
      <c r="U61" s="288">
        <f t="shared" si="10"/>
        <v>7.6684746664865952E-2</v>
      </c>
      <c r="W61">
        <f t="shared" si="0"/>
        <v>51</v>
      </c>
    </row>
    <row r="62" spans="3:32" x14ac:dyDescent="0.3">
      <c r="C62" s="173">
        <f t="shared" si="1"/>
        <v>43961</v>
      </c>
      <c r="E62" s="286">
        <v>335395</v>
      </c>
      <c r="F62" s="7"/>
      <c r="G62" s="7">
        <v>138754</v>
      </c>
      <c r="H62" s="7"/>
      <c r="I62" s="7">
        <v>33554</v>
      </c>
      <c r="J62" s="289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8">
        <f>+K62-K61</f>
        <v>4200</v>
      </c>
      <c r="R62" s="6"/>
      <c r="S62" s="7">
        <f>26641+9256+2967</f>
        <v>38864</v>
      </c>
      <c r="T62" s="6"/>
      <c r="U62" s="288">
        <f t="shared" si="10"/>
        <v>7.6548690868480193E-2</v>
      </c>
      <c r="W62">
        <f t="shared" si="0"/>
        <v>52</v>
      </c>
    </row>
    <row r="63" spans="3:32" x14ac:dyDescent="0.3">
      <c r="C63" s="173">
        <f t="shared" si="1"/>
        <v>43962</v>
      </c>
      <c r="E63" s="286">
        <v>337055</v>
      </c>
      <c r="F63" s="7"/>
      <c r="G63" s="7">
        <v>140206</v>
      </c>
      <c r="H63" s="7"/>
      <c r="I63" s="7">
        <v>33765</v>
      </c>
      <c r="J63" s="289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8">
        <f>+K63-K62</f>
        <v>3323</v>
      </c>
      <c r="R63" s="6"/>
      <c r="S63" s="7">
        <f>26721+9340+3008</f>
        <v>39069</v>
      </c>
      <c r="T63" s="6"/>
      <c r="U63" s="288">
        <f t="shared" si="10"/>
        <v>7.6452078759202069E-2</v>
      </c>
      <c r="W63">
        <f t="shared" si="0"/>
        <v>53</v>
      </c>
    </row>
    <row r="64" spans="3:32" x14ac:dyDescent="0.3">
      <c r="C64" s="172">
        <f t="shared" si="1"/>
        <v>43963</v>
      </c>
      <c r="E64" s="286">
        <v>338485</v>
      </c>
      <c r="F64" s="7"/>
      <c r="G64" s="7">
        <v>140917</v>
      </c>
      <c r="H64" s="7"/>
      <c r="I64" s="7">
        <v>34333</v>
      </c>
      <c r="J64" s="289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8">
        <f>+K64-K63</f>
        <v>2709</v>
      </c>
      <c r="R64" s="6"/>
      <c r="S64" s="7">
        <f>27284+9531+3041</f>
        <v>39856</v>
      </c>
      <c r="T64" s="6"/>
      <c r="U64" s="288">
        <f t="shared" si="10"/>
        <v>7.7580853942207553E-2</v>
      </c>
      <c r="W64">
        <f t="shared" si="0"/>
        <v>54</v>
      </c>
    </row>
    <row r="65" spans="3:23" x14ac:dyDescent="0.3">
      <c r="C65" s="172">
        <f t="shared" si="1"/>
        <v>43964</v>
      </c>
      <c r="E65" s="286">
        <v>340661</v>
      </c>
      <c r="F65" s="7"/>
      <c r="G65" s="7">
        <v>141560</v>
      </c>
      <c r="H65" s="7"/>
      <c r="I65" s="7">
        <v>34895</v>
      </c>
      <c r="J65" s="289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8">
        <f>+K65-K64</f>
        <v>3381</v>
      </c>
      <c r="R65" s="6"/>
      <c r="S65" s="7">
        <f>27477+9714+3125</f>
        <v>40316</v>
      </c>
      <c r="T65" s="6"/>
      <c r="U65" s="288">
        <f t="shared" si="10"/>
        <v>7.7963164937847607E-2</v>
      </c>
      <c r="W65">
        <f t="shared" si="0"/>
        <v>55</v>
      </c>
    </row>
    <row r="66" spans="3:23" x14ac:dyDescent="0.3">
      <c r="C66" s="172">
        <f t="shared" si="1"/>
        <v>43965</v>
      </c>
      <c r="E66" s="286">
        <v>343051</v>
      </c>
      <c r="F66" s="7"/>
      <c r="G66" s="7">
        <v>142704</v>
      </c>
      <c r="H66" s="7"/>
      <c r="I66" s="7">
        <v>35464</v>
      </c>
      <c r="J66" s="289"/>
      <c r="K66" s="7">
        <f t="shared" ref="K66" si="11">SUM(E66:I66)</f>
        <v>521219</v>
      </c>
      <c r="L66" s="6"/>
      <c r="M66" s="29">
        <f t="shared" ref="M66" si="12">+(K66-K65)/K65</f>
        <v>7.9343899627936487E-3</v>
      </c>
      <c r="N66" s="29"/>
      <c r="O66" s="29"/>
      <c r="P66" s="29"/>
      <c r="Q66" s="378">
        <f>+K66-K65</f>
        <v>4103</v>
      </c>
      <c r="R66" s="6"/>
      <c r="S66" s="7">
        <f>27607+9946+3219</f>
        <v>40772</v>
      </c>
      <c r="T66" s="6"/>
      <c r="U66" s="288">
        <f t="shared" ref="U66" si="13">+S66/K66</f>
        <v>7.8224316458149076E-2</v>
      </c>
      <c r="W66">
        <f t="shared" si="0"/>
        <v>56</v>
      </c>
    </row>
    <row r="67" spans="3:23" x14ac:dyDescent="0.3">
      <c r="C67" s="172">
        <f t="shared" si="1"/>
        <v>43966</v>
      </c>
      <c r="E67" s="286">
        <v>345813</v>
      </c>
      <c r="F67" s="7"/>
      <c r="G67" s="7">
        <v>143984</v>
      </c>
      <c r="H67" s="7"/>
      <c r="I67" s="7">
        <v>36805</v>
      </c>
      <c r="J67" s="289"/>
      <c r="K67" s="7">
        <f t="shared" ref="K67" si="14">SUM(E67:I67)</f>
        <v>526602</v>
      </c>
      <c r="L67" s="6"/>
      <c r="M67" s="29">
        <f t="shared" ref="M67" si="15">+(K67-K66)/K66</f>
        <v>1.032771253542177E-2</v>
      </c>
      <c r="N67" s="29"/>
      <c r="O67" s="29"/>
      <c r="P67" s="29"/>
      <c r="Q67" s="378">
        <f t="shared" ref="Q67:Q68" si="16">+K67-K66</f>
        <v>5383</v>
      </c>
      <c r="R67" s="6"/>
      <c r="S67" s="7">
        <f>27607+9946+3219</f>
        <v>40772</v>
      </c>
      <c r="T67" s="6"/>
      <c r="U67" s="288">
        <f t="shared" ref="U67" si="17">+S67/K67</f>
        <v>7.7424696450070454E-2</v>
      </c>
      <c r="W67">
        <f t="shared" si="0"/>
        <v>57</v>
      </c>
    </row>
    <row r="68" spans="3:23" x14ac:dyDescent="0.3">
      <c r="C68" s="172">
        <f t="shared" si="1"/>
        <v>43967</v>
      </c>
      <c r="E68" s="286">
        <v>348232</v>
      </c>
      <c r="F68" s="7"/>
      <c r="G68" s="7">
        <v>145089</v>
      </c>
      <c r="H68" s="7"/>
      <c r="I68" s="7">
        <v>36703</v>
      </c>
      <c r="J68" s="289"/>
      <c r="K68" s="7">
        <f t="shared" ref="K68" si="18">SUM(E68:I68)</f>
        <v>530024</v>
      </c>
      <c r="L68" s="6"/>
      <c r="M68" s="29">
        <f t="shared" ref="M68" si="19">+(K68-K67)/K67</f>
        <v>6.4982662428171561E-3</v>
      </c>
      <c r="N68" s="29"/>
      <c r="O68" s="29"/>
      <c r="P68" s="29"/>
      <c r="Q68" s="378">
        <f t="shared" si="16"/>
        <v>3422</v>
      </c>
      <c r="R68" s="6"/>
      <c r="S68" s="7">
        <f>28049+10261+3339</f>
        <v>41649</v>
      </c>
      <c r="T68" s="6"/>
      <c r="U68" s="288">
        <f t="shared" ref="U68" si="20">+S68/K68</f>
        <v>7.8579460552729685E-2</v>
      </c>
      <c r="W68">
        <f t="shared" si="0"/>
        <v>58</v>
      </c>
    </row>
    <row r="69" spans="3:23" x14ac:dyDescent="0.3">
      <c r="C69" s="172">
        <f t="shared" si="1"/>
        <v>43968</v>
      </c>
      <c r="E69" s="286">
        <v>350121</v>
      </c>
      <c r="F69" s="7"/>
      <c r="G69" s="7">
        <v>146504</v>
      </c>
      <c r="H69" s="7"/>
      <c r="I69" s="7">
        <v>37419</v>
      </c>
      <c r="J69" s="289"/>
      <c r="K69" s="7">
        <f t="shared" ref="K69" si="21">SUM(E69:I69)</f>
        <v>534044</v>
      </c>
      <c r="L69" s="6"/>
      <c r="M69" s="29">
        <f t="shared" ref="M69" si="22">+(K69-K68)/K68</f>
        <v>7.5845622085037659E-3</v>
      </c>
      <c r="N69" s="29"/>
      <c r="O69" s="29"/>
      <c r="P69" s="29"/>
      <c r="Q69" s="378">
        <f t="shared" ref="Q69" si="23">+K69-K68</f>
        <v>4020</v>
      </c>
      <c r="R69" s="6"/>
      <c r="S69" s="7">
        <f>28232+10363+3408</f>
        <v>42003</v>
      </c>
      <c r="T69" s="6"/>
      <c r="U69" s="288">
        <f t="shared" ref="U69" si="24">+S69/K69</f>
        <v>7.8650822778647447E-2</v>
      </c>
      <c r="W69">
        <f t="shared" si="0"/>
        <v>59</v>
      </c>
    </row>
    <row r="70" spans="3:23" x14ac:dyDescent="0.3">
      <c r="C70" s="172">
        <f t="shared" si="1"/>
        <v>43969</v>
      </c>
      <c r="E70" s="286">
        <v>351371</v>
      </c>
      <c r="F70" s="7"/>
      <c r="G70" s="7">
        <v>148240</v>
      </c>
      <c r="H70" s="7"/>
      <c r="I70" s="7">
        <v>38116</v>
      </c>
      <c r="J70" s="289"/>
      <c r="K70" s="7">
        <f t="shared" ref="K70" si="25">SUM(E70:I70)</f>
        <v>537727</v>
      </c>
      <c r="L70" s="6"/>
      <c r="M70" s="29">
        <f t="shared" ref="M70" si="26">+(K70-K69)/K69</f>
        <v>6.8964354996966541E-3</v>
      </c>
      <c r="N70" s="29"/>
      <c r="O70" s="29"/>
      <c r="P70" s="29"/>
      <c r="Q70" s="378">
        <f t="shared" ref="Q70" si="27">+K70-K69</f>
        <v>3683</v>
      </c>
      <c r="R70" s="6"/>
      <c r="S70" s="7">
        <f>28339+10439+5862</f>
        <v>44640</v>
      </c>
      <c r="T70" s="6"/>
      <c r="U70" s="288">
        <f t="shared" ref="U70" si="28">+S70/K70</f>
        <v>8.3016102966747066E-2</v>
      </c>
      <c r="W70">
        <f t="shared" si="0"/>
        <v>60</v>
      </c>
    </row>
    <row r="71" spans="3:23" x14ac:dyDescent="0.3">
      <c r="C71" s="172">
        <f t="shared" si="1"/>
        <v>43970</v>
      </c>
      <c r="E71" s="286">
        <v>352845</v>
      </c>
      <c r="F71" s="7"/>
      <c r="G71" s="7">
        <v>149356</v>
      </c>
      <c r="H71" s="7"/>
      <c r="I71" s="7">
        <v>38430</v>
      </c>
      <c r="J71" s="289"/>
      <c r="K71" s="7">
        <f t="shared" ref="K71" si="29">SUM(E71:I71)</f>
        <v>540631</v>
      </c>
      <c r="L71" s="6"/>
      <c r="M71" s="29">
        <f t="shared" ref="M71" si="30">+(K71-K70)/K70</f>
        <v>5.4005099241808572E-3</v>
      </c>
      <c r="N71" s="29"/>
      <c r="O71" s="29"/>
      <c r="P71" s="29"/>
      <c r="Q71" s="378">
        <f t="shared" ref="Q71" si="31">+K71-K70</f>
        <v>2904</v>
      </c>
      <c r="R71" s="6"/>
      <c r="S71" s="7">
        <f>28558+10587+3472</f>
        <v>42617</v>
      </c>
      <c r="T71" s="6"/>
      <c r="U71" s="288">
        <f t="shared" ref="U71" si="32">+S71/K71</f>
        <v>7.8828258091008463E-2</v>
      </c>
      <c r="W71">
        <f t="shared" si="0"/>
        <v>61</v>
      </c>
    </row>
    <row r="72" spans="3:23" x14ac:dyDescent="0.3">
      <c r="C72" s="172">
        <f t="shared" si="1"/>
        <v>43971</v>
      </c>
      <c r="E72" s="286">
        <v>354370</v>
      </c>
      <c r="F72" s="7"/>
      <c r="G72" s="7">
        <v>150776</v>
      </c>
      <c r="H72" s="7"/>
      <c r="I72" s="7">
        <v>39017</v>
      </c>
      <c r="J72" s="289"/>
      <c r="K72" s="7">
        <f t="shared" ref="K72" si="33">SUM(E72:I72)</f>
        <v>544163</v>
      </c>
      <c r="L72" s="6"/>
      <c r="M72" s="29">
        <f t="shared" ref="M72" si="34">+(K72-K71)/K71</f>
        <v>6.5331066845963331E-3</v>
      </c>
      <c r="N72" s="29"/>
      <c r="O72" s="29"/>
      <c r="P72" s="29"/>
      <c r="Q72" s="378">
        <f t="shared" ref="Q72" si="35">+K72-K71</f>
        <v>3532</v>
      </c>
      <c r="R72" s="6"/>
      <c r="S72" s="7">
        <f>28636+10749+3529</f>
        <v>42914</v>
      </c>
      <c r="T72" s="6"/>
      <c r="U72" s="288">
        <f t="shared" ref="U72" si="36">+S72/K72</f>
        <v>7.8862399685388385E-2</v>
      </c>
      <c r="W72">
        <f t="shared" si="0"/>
        <v>62</v>
      </c>
    </row>
    <row r="73" spans="3:23" x14ac:dyDescent="0.3">
      <c r="C73" s="172">
        <f t="shared" si="1"/>
        <v>43972</v>
      </c>
      <c r="E73" s="286">
        <v>356458</v>
      </c>
      <c r="F73" s="7"/>
      <c r="G73" s="7">
        <v>151586</v>
      </c>
      <c r="H73" s="7"/>
      <c r="I73" s="7">
        <v>39208</v>
      </c>
      <c r="J73" s="289"/>
      <c r="K73" s="7">
        <f t="shared" ref="K73" si="37">SUM(E73:I73)</f>
        <v>547252</v>
      </c>
      <c r="L73" s="6"/>
      <c r="M73" s="29">
        <f t="shared" ref="M73" si="38">+(K73-K72)/K72</f>
        <v>5.6766079281391785E-3</v>
      </c>
      <c r="N73" s="29"/>
      <c r="O73" s="29"/>
      <c r="P73" s="29"/>
      <c r="Q73" s="378">
        <f t="shared" ref="Q73" si="39">+K73-K72</f>
        <v>3089</v>
      </c>
      <c r="R73" s="6"/>
      <c r="S73" s="7">
        <f>28743+10846+3583</f>
        <v>43172</v>
      </c>
      <c r="T73" s="6"/>
      <c r="U73" s="288">
        <f t="shared" ref="U73" si="40">+S73/K73</f>
        <v>7.888870209702295E-2</v>
      </c>
      <c r="W73">
        <f t="shared" si="0"/>
        <v>63</v>
      </c>
    </row>
    <row r="74" spans="3:23" x14ac:dyDescent="0.3">
      <c r="C74" s="172">
        <f t="shared" si="1"/>
        <v>43973</v>
      </c>
      <c r="E74" s="286">
        <v>358154</v>
      </c>
      <c r="F74" s="7"/>
      <c r="G74" s="7">
        <v>152579</v>
      </c>
      <c r="H74" s="7"/>
      <c r="I74" s="7">
        <v>39640</v>
      </c>
      <c r="J74" s="289"/>
      <c r="K74" s="7">
        <f t="shared" ref="K74" si="41">SUM(E74:I74)</f>
        <v>550373</v>
      </c>
      <c r="L74" s="6"/>
      <c r="M74" s="29">
        <f t="shared" ref="M74" si="42">+(K74-K73)/K73</f>
        <v>5.7030399157974752E-3</v>
      </c>
      <c r="N74" s="29"/>
      <c r="O74" s="29"/>
      <c r="P74" s="29"/>
      <c r="Q74" s="378">
        <f t="shared" ref="Q74" si="43">+K74-K73</f>
        <v>3121</v>
      </c>
      <c r="R74" s="6"/>
      <c r="S74" s="7">
        <f>28853+10985+3637</f>
        <v>43475</v>
      </c>
      <c r="T74" s="6"/>
      <c r="U74" s="288">
        <f t="shared" ref="U74" si="44">+S74/K74</f>
        <v>7.899188368615466E-2</v>
      </c>
      <c r="W74">
        <f t="shared" si="0"/>
        <v>64</v>
      </c>
    </row>
    <row r="75" spans="3:23" x14ac:dyDescent="0.3">
      <c r="C75" s="172">
        <f t="shared" si="1"/>
        <v>43974</v>
      </c>
      <c r="E75" s="286">
        <v>359926</v>
      </c>
      <c r="F75" s="7"/>
      <c r="G75" s="7">
        <v>153140</v>
      </c>
      <c r="H75" s="7"/>
      <c r="I75" s="7">
        <v>39640</v>
      </c>
      <c r="J75" s="289"/>
      <c r="K75" s="7">
        <f t="shared" ref="K75" si="45">SUM(E75:I75)</f>
        <v>552706</v>
      </c>
      <c r="L75" s="6"/>
      <c r="M75" s="29">
        <f t="shared" ref="M75" si="46">+(K75-K74)/K74</f>
        <v>4.2389434074709331E-3</v>
      </c>
      <c r="N75" s="29"/>
      <c r="O75" s="29"/>
      <c r="P75" s="29"/>
      <c r="Q75" s="378">
        <f t="shared" ref="Q75" si="47">+K75-K74</f>
        <v>2333</v>
      </c>
      <c r="R75" s="6"/>
      <c r="S75" s="7">
        <f>28926+11082+3637</f>
        <v>43645</v>
      </c>
      <c r="T75" s="6"/>
      <c r="U75" s="288">
        <f t="shared" ref="U75" si="48">+S75/K75</f>
        <v>7.896603257427999E-2</v>
      </c>
      <c r="W75">
        <f t="shared" si="0"/>
        <v>65</v>
      </c>
    </row>
    <row r="76" spans="3:23" x14ac:dyDescent="0.3">
      <c r="C76" s="172">
        <f t="shared" si="1"/>
        <v>43975</v>
      </c>
      <c r="E76" s="286">
        <v>361515</v>
      </c>
      <c r="F76" s="7"/>
      <c r="G76" s="7">
        <v>154154</v>
      </c>
      <c r="H76" s="7"/>
      <c r="I76" s="7">
        <v>40468</v>
      </c>
      <c r="J76" s="289"/>
      <c r="K76" s="7">
        <f t="shared" ref="K76" si="49">SUM(E76:I76)</f>
        <v>556137</v>
      </c>
      <c r="L76" s="6"/>
      <c r="M76" s="29">
        <f t="shared" ref="M76" si="50">+(K76-K75)/K75</f>
        <v>6.2076402282587846E-3</v>
      </c>
      <c r="N76" s="29"/>
      <c r="O76" s="29"/>
      <c r="P76" s="29"/>
      <c r="Q76" s="378">
        <f t="shared" ref="Q76" si="51">+K76-K75</f>
        <v>3431</v>
      </c>
      <c r="R76" s="6"/>
      <c r="S76" s="7">
        <f>29141+11138+3696</f>
        <v>43975</v>
      </c>
      <c r="T76" s="6"/>
      <c r="U76" s="288">
        <f t="shared" ref="U76" si="52">+S76/K76</f>
        <v>7.9072242990486152E-2</v>
      </c>
      <c r="W76">
        <f t="shared" si="0"/>
        <v>66</v>
      </c>
    </row>
    <row r="77" spans="3:23" x14ac:dyDescent="0.3">
      <c r="C77" s="172">
        <f t="shared" si="1"/>
        <v>43976</v>
      </c>
      <c r="E77" s="286">
        <v>362764</v>
      </c>
      <c r="F77" s="7"/>
      <c r="G77" s="7">
        <v>155092</v>
      </c>
      <c r="H77" s="7"/>
      <c r="I77" s="7">
        <v>40873</v>
      </c>
      <c r="J77" s="289"/>
      <c r="K77" s="7">
        <f t="shared" ref="K77" si="53">SUM(E77:I77)</f>
        <v>558729</v>
      </c>
      <c r="L77" s="6"/>
      <c r="M77" s="29">
        <f t="shared" ref="M77" si="54">+(K77-K76)/K76</f>
        <v>4.6607220882624242E-3</v>
      </c>
      <c r="N77" s="29"/>
      <c r="O77" s="29"/>
      <c r="P77" s="29"/>
      <c r="Q77" s="378">
        <f t="shared" ref="Q77" si="55">+K77-K76</f>
        <v>2592</v>
      </c>
      <c r="R77" s="6"/>
      <c r="S77" s="7">
        <f>29229+11147+3742</f>
        <v>44118</v>
      </c>
      <c r="T77" s="6"/>
      <c r="U77" s="288">
        <f t="shared" ref="U77" si="56">+S77/K77</f>
        <v>7.8961356936905008E-2</v>
      </c>
      <c r="W77">
        <f t="shared" si="0"/>
        <v>67</v>
      </c>
    </row>
    <row r="78" spans="3:23" x14ac:dyDescent="0.3">
      <c r="C78" s="172">
        <f t="shared" si="1"/>
        <v>43977</v>
      </c>
      <c r="E78" s="286"/>
      <c r="F78" s="7"/>
      <c r="G78" s="7"/>
      <c r="H78" s="7"/>
      <c r="I78" s="7"/>
      <c r="J78" s="289"/>
      <c r="K78" s="7"/>
      <c r="L78" s="6"/>
      <c r="M78" s="29"/>
      <c r="N78" s="29"/>
      <c r="O78" s="29"/>
      <c r="P78" s="29"/>
      <c r="Q78" s="378"/>
      <c r="R78" s="6"/>
      <c r="S78" s="7"/>
      <c r="T78" s="6"/>
      <c r="U78" s="288"/>
      <c r="W78">
        <f t="shared" si="0"/>
        <v>68</v>
      </c>
    </row>
    <row r="79" spans="3:23" ht="15" thickBot="1" x14ac:dyDescent="0.35">
      <c r="C79" s="172">
        <f t="shared" si="1"/>
        <v>43978</v>
      </c>
      <c r="E79" s="290"/>
      <c r="F79" s="291"/>
      <c r="G79" s="291"/>
      <c r="H79" s="291"/>
      <c r="I79" s="291"/>
      <c r="J79" s="291"/>
      <c r="K79" s="291"/>
      <c r="L79" s="292"/>
      <c r="M79" s="293"/>
      <c r="N79" s="293"/>
      <c r="O79" s="293"/>
      <c r="P79" s="293"/>
      <c r="Q79" s="377"/>
      <c r="R79" s="292"/>
      <c r="S79" s="292"/>
      <c r="T79" s="292"/>
      <c r="U79" s="294"/>
      <c r="W79">
        <f t="shared" si="0"/>
        <v>69</v>
      </c>
    </row>
    <row r="80" spans="3:23" x14ac:dyDescent="0.3">
      <c r="E80" s="56"/>
      <c r="F80" s="1"/>
      <c r="G80" s="56"/>
      <c r="H80" s="56"/>
      <c r="I80" s="56"/>
      <c r="J80" s="1"/>
      <c r="K80" s="56"/>
      <c r="S80" s="56"/>
    </row>
    <row r="81" spans="3:41" x14ac:dyDescent="0.3">
      <c r="C81" s="181" t="s">
        <v>83</v>
      </c>
      <c r="E81" s="56">
        <f>+E76</f>
        <v>361515</v>
      </c>
      <c r="F81" s="56">
        <f>+F52</f>
        <v>0</v>
      </c>
      <c r="G81" s="56">
        <f t="shared" ref="G81:S81" si="57">+G76</f>
        <v>154154</v>
      </c>
      <c r="H81" s="56">
        <f t="shared" si="57"/>
        <v>0</v>
      </c>
      <c r="I81" s="56">
        <f t="shared" si="57"/>
        <v>40468</v>
      </c>
      <c r="J81" s="56">
        <f t="shared" si="57"/>
        <v>0</v>
      </c>
      <c r="K81" s="56">
        <f t="shared" si="57"/>
        <v>556137</v>
      </c>
      <c r="L81" s="56">
        <f t="shared" si="57"/>
        <v>0</v>
      </c>
      <c r="M81" s="56">
        <f t="shared" si="57"/>
        <v>6.2076402282587846E-3</v>
      </c>
      <c r="N81" s="56">
        <f t="shared" si="57"/>
        <v>0</v>
      </c>
      <c r="O81" s="56">
        <f t="shared" si="57"/>
        <v>0</v>
      </c>
      <c r="P81" s="56">
        <f t="shared" si="57"/>
        <v>0</v>
      </c>
      <c r="Q81" s="56">
        <f t="shared" si="57"/>
        <v>3431</v>
      </c>
      <c r="R81" s="56">
        <f t="shared" si="57"/>
        <v>0</v>
      </c>
      <c r="S81" s="56">
        <f t="shared" si="57"/>
        <v>43975</v>
      </c>
      <c r="T81" s="56">
        <f>+T60</f>
        <v>0</v>
      </c>
    </row>
    <row r="82" spans="3:41" x14ac:dyDescent="0.3">
      <c r="E82" s="56"/>
      <c r="G82" s="56"/>
      <c r="H82" s="56"/>
      <c r="I82" s="56"/>
      <c r="J82" s="56"/>
      <c r="K82" s="56"/>
      <c r="L82" s="56"/>
      <c r="M82" s="59"/>
      <c r="N82" s="56"/>
      <c r="O82" s="56"/>
      <c r="P82" s="56"/>
      <c r="Q82" s="56"/>
      <c r="R82" s="56"/>
      <c r="S82" s="56"/>
    </row>
    <row r="83" spans="3:41" x14ac:dyDescent="0.3">
      <c r="E83" s="59"/>
      <c r="K83" s="1"/>
    </row>
    <row r="84" spans="3:41" x14ac:dyDescent="0.3">
      <c r="C84" s="123"/>
      <c r="D84" s="124"/>
      <c r="E84" s="395"/>
      <c r="F84" s="10"/>
      <c r="G84" s="10"/>
      <c r="H84" s="10"/>
      <c r="I84" s="61"/>
      <c r="J84" s="10"/>
      <c r="K84" s="10"/>
      <c r="L84" s="10"/>
      <c r="M84" s="10"/>
      <c r="N84" s="10"/>
      <c r="O84" s="10"/>
      <c r="P84" s="10"/>
      <c r="Q84" s="395"/>
      <c r="R84" s="10"/>
      <c r="S84" s="10"/>
    </row>
    <row r="85" spans="3:41" x14ac:dyDescent="0.3">
      <c r="E85" s="56"/>
      <c r="K85" s="56">
        <f>+K73-K59</f>
        <v>54008</v>
      </c>
      <c r="Q85" s="56"/>
    </row>
    <row r="86" spans="3:41" x14ac:dyDescent="0.3">
      <c r="Q86" s="56"/>
      <c r="S86" s="59"/>
    </row>
    <row r="89" spans="3:41" x14ac:dyDescent="0.3">
      <c r="AO89" s="1">
        <v>3797000</v>
      </c>
    </row>
    <row r="90" spans="3:41" x14ac:dyDescent="0.3">
      <c r="C90" s="1"/>
    </row>
    <row r="91" spans="3:41" x14ac:dyDescent="0.3">
      <c r="C91" s="1"/>
      <c r="AO91" s="1">
        <v>30000</v>
      </c>
    </row>
    <row r="92" spans="3:41" x14ac:dyDescent="0.3">
      <c r="C92" s="59"/>
    </row>
    <row r="93" spans="3:41" x14ac:dyDescent="0.3">
      <c r="AO93" s="279">
        <f>+AO91/AO89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B99"/>
  <sheetViews>
    <sheetView topLeftCell="A16" workbookViewId="0">
      <selection activeCell="AB47" sqref="AB47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9.5546875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9.6640625" customWidth="1"/>
    <col min="18" max="18" width="2.33203125" customWidth="1"/>
    <col min="20" max="20" width="2.21875" customWidth="1"/>
    <col min="21" max="21" width="14.6640625" bestFit="1" customWidth="1"/>
    <col min="22" max="22" width="1.88671875" customWidth="1"/>
    <col min="24" max="24" width="2" customWidth="1"/>
    <col min="26" max="26" width="2.33203125" customWidth="1"/>
    <col min="27" max="27" width="1.88671875" customWidth="1"/>
    <col min="28" max="28" width="2.44140625" customWidth="1"/>
  </cols>
  <sheetData>
    <row r="1" spans="2:28" ht="15.6" x14ac:dyDescent="0.3">
      <c r="B1" s="260" t="s">
        <v>5</v>
      </c>
      <c r="C1" s="260"/>
      <c r="D1" s="260"/>
    </row>
    <row r="2" spans="2:28" ht="16.2" thickBot="1" x14ac:dyDescent="0.35">
      <c r="B2" s="260" t="s">
        <v>6</v>
      </c>
      <c r="C2" s="260"/>
      <c r="D2" s="260"/>
    </row>
    <row r="3" spans="2:28" ht="16.2" thickBot="1" x14ac:dyDescent="0.35">
      <c r="B3" s="258" t="s">
        <v>13</v>
      </c>
      <c r="C3" s="258"/>
      <c r="D3" s="168"/>
      <c r="R3" s="532" t="s">
        <v>116</v>
      </c>
      <c r="S3" s="533"/>
      <c r="T3" s="533"/>
      <c r="U3" s="533"/>
      <c r="V3" s="533"/>
      <c r="W3" s="533"/>
      <c r="X3" s="533"/>
      <c r="Y3" s="533"/>
      <c r="Z3" s="533"/>
      <c r="AA3" s="533"/>
      <c r="AB3" s="534"/>
    </row>
    <row r="4" spans="2:28" ht="15.6" x14ac:dyDescent="0.3">
      <c r="B4" s="258"/>
      <c r="C4" s="258"/>
      <c r="D4" s="168"/>
      <c r="R4" s="295"/>
      <c r="S4" s="396" t="s">
        <v>80</v>
      </c>
      <c r="T4" s="6"/>
      <c r="U4" s="396" t="s">
        <v>108</v>
      </c>
      <c r="V4" s="5"/>
      <c r="W4" s="396" t="s">
        <v>109</v>
      </c>
      <c r="X4" s="5"/>
      <c r="Y4" s="396" t="s">
        <v>75</v>
      </c>
      <c r="Z4" s="6"/>
      <c r="AA4" s="296" t="s">
        <v>15</v>
      </c>
      <c r="AB4" s="297"/>
    </row>
    <row r="5" spans="2:28" ht="15.6" x14ac:dyDescent="0.3">
      <c r="B5" s="258"/>
      <c r="C5" t="s">
        <v>94</v>
      </c>
      <c r="D5" s="168"/>
      <c r="E5" t="s">
        <v>95</v>
      </c>
      <c r="R5" s="295"/>
      <c r="S5" s="6"/>
      <c r="T5" s="6"/>
      <c r="U5" s="6"/>
      <c r="V5" s="6"/>
      <c r="W5" s="6"/>
      <c r="X5" s="6"/>
      <c r="Y5" s="6"/>
      <c r="Z5" s="6"/>
      <c r="AA5" s="6"/>
      <c r="AB5" s="297"/>
    </row>
    <row r="6" spans="2:28" ht="15.6" x14ac:dyDescent="0.3">
      <c r="B6" s="258"/>
      <c r="C6" s="258"/>
      <c r="D6" s="171"/>
      <c r="E6" t="s">
        <v>96</v>
      </c>
      <c r="F6" t="s">
        <v>113</v>
      </c>
      <c r="R6" s="295"/>
      <c r="S6" s="298">
        <v>43951</v>
      </c>
      <c r="T6" s="6"/>
      <c r="U6" s="7">
        <v>427734</v>
      </c>
      <c r="V6" s="6"/>
      <c r="W6" s="44">
        <v>0.39100000000000001</v>
      </c>
      <c r="X6" s="6"/>
      <c r="Y6" s="6"/>
      <c r="Z6" s="6"/>
      <c r="AA6" s="6"/>
      <c r="AB6" s="297"/>
    </row>
    <row r="7" spans="2:28" ht="15.6" x14ac:dyDescent="0.3">
      <c r="B7" s="258"/>
      <c r="C7" s="258"/>
      <c r="D7" s="171"/>
      <c r="E7" t="s">
        <v>97</v>
      </c>
      <c r="F7" t="s">
        <v>99</v>
      </c>
      <c r="R7" s="295"/>
      <c r="S7" s="298">
        <f>+S6+1</f>
        <v>43952</v>
      </c>
      <c r="T7" s="6"/>
      <c r="U7" s="7">
        <v>432831</v>
      </c>
      <c r="V7" s="6"/>
      <c r="W7" s="44">
        <v>0.38300000000000001</v>
      </c>
      <c r="X7" s="6"/>
      <c r="Y7" s="300">
        <f t="shared" ref="Y7:Y19" si="0">+U6-U7</f>
        <v>-5097</v>
      </c>
      <c r="Z7" s="6"/>
      <c r="AA7" s="6"/>
      <c r="AB7" s="297"/>
    </row>
    <row r="8" spans="2:28" ht="15.6" x14ac:dyDescent="0.3">
      <c r="B8" s="258"/>
      <c r="C8" s="258"/>
      <c r="D8" s="171"/>
      <c r="E8" t="s">
        <v>98</v>
      </c>
      <c r="F8" t="s">
        <v>114</v>
      </c>
      <c r="R8" s="295"/>
      <c r="S8" s="298">
        <f t="shared" ref="S8:S40" si="1">+S7+1</f>
        <v>43953</v>
      </c>
      <c r="T8" s="6"/>
      <c r="U8" s="7">
        <v>433512</v>
      </c>
      <c r="V8" s="6"/>
      <c r="W8" s="44">
        <v>0.373</v>
      </c>
      <c r="X8" s="6"/>
      <c r="Y8" s="300">
        <f t="shared" si="0"/>
        <v>-681</v>
      </c>
      <c r="Z8" s="6"/>
      <c r="AA8" s="6"/>
      <c r="AB8" s="297"/>
    </row>
    <row r="9" spans="2:28" ht="15.6" x14ac:dyDescent="0.3">
      <c r="B9" s="258"/>
      <c r="C9" s="258"/>
      <c r="D9" s="171"/>
      <c r="R9" s="295"/>
      <c r="S9" s="298">
        <f t="shared" si="1"/>
        <v>43954</v>
      </c>
      <c r="T9" s="6"/>
      <c r="U9" s="7">
        <v>434345</v>
      </c>
      <c r="V9" s="6"/>
      <c r="W9" s="44">
        <v>0.36599999999999999</v>
      </c>
      <c r="X9" s="6"/>
      <c r="Y9" s="300">
        <f t="shared" si="0"/>
        <v>-833</v>
      </c>
      <c r="Z9" s="6"/>
      <c r="AA9" s="6"/>
      <c r="AB9" s="297"/>
    </row>
    <row r="10" spans="2:28" ht="15.6" x14ac:dyDescent="0.3">
      <c r="B10" s="258"/>
      <c r="C10" s="280" t="s">
        <v>100</v>
      </c>
      <c r="D10" s="171"/>
      <c r="E10" t="s">
        <v>103</v>
      </c>
      <c r="R10" s="295"/>
      <c r="S10" s="298">
        <f t="shared" si="1"/>
        <v>43955</v>
      </c>
      <c r="T10" s="6"/>
      <c r="U10" s="7">
        <v>458962</v>
      </c>
      <c r="V10" s="6"/>
      <c r="W10" s="44">
        <v>0.378</v>
      </c>
      <c r="X10" s="6"/>
      <c r="Y10" s="300">
        <f t="shared" si="0"/>
        <v>-24617</v>
      </c>
      <c r="Z10" s="6"/>
      <c r="AA10" s="6"/>
      <c r="AB10" s="297"/>
    </row>
    <row r="11" spans="2:28" ht="15.6" x14ac:dyDescent="0.3">
      <c r="B11" s="258"/>
      <c r="C11" s="258"/>
      <c r="D11" s="171"/>
      <c r="E11" t="s">
        <v>96</v>
      </c>
      <c r="F11" t="s">
        <v>101</v>
      </c>
      <c r="R11" s="295"/>
      <c r="S11" s="298">
        <f t="shared" si="1"/>
        <v>43956</v>
      </c>
      <c r="T11" s="6"/>
      <c r="U11" s="299">
        <v>455743</v>
      </c>
      <c r="V11" s="6"/>
      <c r="W11" s="44">
        <v>0.36799999999999999</v>
      </c>
      <c r="X11" s="6"/>
      <c r="Y11" s="300">
        <f t="shared" si="0"/>
        <v>3219</v>
      </c>
      <c r="Z11" s="6"/>
      <c r="AA11" s="304"/>
      <c r="AB11" s="297"/>
    </row>
    <row r="12" spans="2:28" ht="15.6" x14ac:dyDescent="0.3">
      <c r="B12" s="258"/>
      <c r="C12" s="258"/>
      <c r="D12" s="171"/>
      <c r="E12" t="s">
        <v>97</v>
      </c>
      <c r="F12" t="s">
        <v>102</v>
      </c>
      <c r="R12" s="295"/>
      <c r="S12" s="298">
        <f t="shared" si="1"/>
        <v>43957</v>
      </c>
      <c r="T12" s="6"/>
      <c r="U12" s="299">
        <v>454697</v>
      </c>
      <c r="V12" s="6"/>
      <c r="W12" s="44">
        <f>+L$36</f>
        <v>0.19791905346526531</v>
      </c>
      <c r="X12" s="6"/>
      <c r="Y12" s="300">
        <f t="shared" si="0"/>
        <v>1046</v>
      </c>
      <c r="Z12" s="6"/>
      <c r="AA12" s="304"/>
      <c r="AB12" s="297"/>
    </row>
    <row r="13" spans="2:28" ht="15.6" x14ac:dyDescent="0.3">
      <c r="B13" s="258"/>
      <c r="C13" s="258"/>
      <c r="D13" s="171"/>
      <c r="R13" s="295"/>
      <c r="S13" s="298">
        <f t="shared" si="1"/>
        <v>43958</v>
      </c>
      <c r="T13" s="6"/>
      <c r="U13" s="299">
        <v>454838</v>
      </c>
      <c r="V13" s="6"/>
      <c r="W13" s="44">
        <f t="shared" ref="W13:W18" si="2">+L37</f>
        <v>0</v>
      </c>
      <c r="X13" s="6"/>
      <c r="Y13" s="300">
        <f t="shared" si="0"/>
        <v>-141</v>
      </c>
      <c r="Z13" s="6"/>
      <c r="AA13" s="304"/>
      <c r="AB13" s="297"/>
    </row>
    <row r="14" spans="2:28" ht="15.6" x14ac:dyDescent="0.3">
      <c r="B14" s="258"/>
      <c r="C14" s="280" t="s">
        <v>104</v>
      </c>
      <c r="D14" s="171"/>
      <c r="E14" t="s">
        <v>105</v>
      </c>
      <c r="R14" s="295"/>
      <c r="S14" s="298">
        <f t="shared" si="1"/>
        <v>43959</v>
      </c>
      <c r="T14" s="6"/>
      <c r="U14" s="299">
        <v>452043</v>
      </c>
      <c r="V14" s="6"/>
      <c r="W14" s="44">
        <f t="shared" si="2"/>
        <v>0</v>
      </c>
      <c r="X14" s="6"/>
      <c r="Y14" s="300">
        <f t="shared" si="0"/>
        <v>2795</v>
      </c>
      <c r="Z14" s="6"/>
      <c r="AA14" s="304"/>
      <c r="AB14" s="297"/>
    </row>
    <row r="15" spans="2:28" x14ac:dyDescent="0.3">
      <c r="B15" s="258"/>
      <c r="E15" s="535" t="s">
        <v>106</v>
      </c>
      <c r="F15" s="535"/>
      <c r="G15" s="535"/>
      <c r="H15" s="535"/>
      <c r="I15" s="535"/>
      <c r="R15" s="295"/>
      <c r="S15" s="298">
        <f t="shared" si="1"/>
        <v>43960</v>
      </c>
      <c r="T15" s="6"/>
      <c r="U15" s="299">
        <v>439209</v>
      </c>
      <c r="V15" s="6"/>
      <c r="W15" s="44">
        <f t="shared" si="2"/>
        <v>0</v>
      </c>
      <c r="X15" s="6"/>
      <c r="Y15" s="300">
        <f t="shared" si="0"/>
        <v>12834</v>
      </c>
      <c r="Z15" s="6"/>
      <c r="AA15" s="304"/>
      <c r="AB15" s="297"/>
    </row>
    <row r="16" spans="2:28" x14ac:dyDescent="0.3">
      <c r="R16" s="295"/>
      <c r="S16" s="298">
        <f t="shared" si="1"/>
        <v>43961</v>
      </c>
      <c r="T16" s="6"/>
      <c r="U16" s="299">
        <v>423501</v>
      </c>
      <c r="V16" s="6"/>
      <c r="W16" s="44">
        <f t="shared" si="2"/>
        <v>0</v>
      </c>
      <c r="X16" s="6"/>
      <c r="Y16" s="300">
        <f t="shared" si="0"/>
        <v>15708</v>
      </c>
      <c r="Z16" s="6"/>
      <c r="AA16" s="304"/>
      <c r="AB16" s="297"/>
    </row>
    <row r="17" spans="3:28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295"/>
      <c r="S17" s="298">
        <f t="shared" si="1"/>
        <v>43962</v>
      </c>
      <c r="T17" s="6"/>
      <c r="U17" s="299">
        <v>415158</v>
      </c>
      <c r="V17" s="6"/>
      <c r="W17" s="44">
        <f t="shared" si="2"/>
        <v>0</v>
      </c>
      <c r="X17" s="6"/>
      <c r="Y17" s="300">
        <f t="shared" si="0"/>
        <v>8343</v>
      </c>
      <c r="Z17" s="6"/>
      <c r="AA17" s="304"/>
      <c r="AB17" s="297"/>
    </row>
    <row r="18" spans="3:28" ht="15" thickBot="1" x14ac:dyDescent="0.35">
      <c r="C18" s="1"/>
      <c r="D18" s="541" t="s">
        <v>46</v>
      </c>
      <c r="E18" s="542"/>
      <c r="F18" s="542"/>
      <c r="G18" s="542"/>
      <c r="H18" s="542"/>
      <c r="I18" s="542"/>
      <c r="J18" s="542"/>
      <c r="K18" s="542"/>
      <c r="L18" s="542"/>
      <c r="M18" s="542"/>
      <c r="N18" s="542"/>
      <c r="O18" s="543"/>
      <c r="P18" s="90"/>
      <c r="Q18" s="90"/>
      <c r="R18" s="295"/>
      <c r="S18" s="298">
        <f t="shared" si="1"/>
        <v>43963</v>
      </c>
      <c r="T18" s="6"/>
      <c r="U18" s="299">
        <v>413524</v>
      </c>
      <c r="V18" s="6"/>
      <c r="W18" s="44">
        <f t="shared" si="2"/>
        <v>0</v>
      </c>
      <c r="X18" s="6"/>
      <c r="Y18" s="300">
        <f t="shared" si="0"/>
        <v>1634</v>
      </c>
      <c r="Z18" s="6"/>
      <c r="AA18" s="304"/>
      <c r="AB18" s="297"/>
    </row>
    <row r="19" spans="3:28" ht="15" thickBot="1" x14ac:dyDescent="0.35">
      <c r="C19" s="1"/>
      <c r="D19" s="146"/>
      <c r="E19" s="544" t="s">
        <v>77</v>
      </c>
      <c r="F19" s="544"/>
      <c r="G19" s="544"/>
      <c r="H19" s="544"/>
      <c r="I19" s="147" t="s">
        <v>76</v>
      </c>
      <c r="J19" s="148"/>
      <c r="K19" s="549" t="s">
        <v>74</v>
      </c>
      <c r="L19" s="549"/>
      <c r="M19" s="141"/>
      <c r="N19" s="145" t="s">
        <v>75</v>
      </c>
      <c r="O19" s="142"/>
      <c r="P19" s="114"/>
      <c r="Q19" s="114"/>
      <c r="R19" s="295"/>
      <c r="S19" s="298">
        <f t="shared" si="1"/>
        <v>43964</v>
      </c>
      <c r="T19" s="6"/>
      <c r="U19" s="299">
        <v>410932</v>
      </c>
      <c r="V19" s="6"/>
      <c r="W19" s="44">
        <f>+L43</f>
        <v>0</v>
      </c>
      <c r="X19" s="6"/>
      <c r="Y19" s="300">
        <f t="shared" si="0"/>
        <v>2592</v>
      </c>
      <c r="Z19" s="6"/>
      <c r="AA19" s="304"/>
      <c r="AB19" s="297"/>
    </row>
    <row r="20" spans="3:28" x14ac:dyDescent="0.3">
      <c r="C20" s="1"/>
      <c r="D20" s="126"/>
      <c r="E20" s="127" t="s">
        <v>43</v>
      </c>
      <c r="F20" s="128"/>
      <c r="G20" s="127"/>
      <c r="H20" s="127"/>
      <c r="I20" s="93">
        <f>+'Main Table'!H62</f>
        <v>1385834</v>
      </c>
      <c r="J20" s="129"/>
      <c r="K20" s="140"/>
      <c r="L20" s="140"/>
      <c r="M20" s="140"/>
      <c r="N20" s="140"/>
      <c r="O20" s="136"/>
      <c r="P20" s="90"/>
      <c r="Q20" s="90"/>
      <c r="R20" s="295"/>
      <c r="S20" s="298">
        <f t="shared" si="1"/>
        <v>43965</v>
      </c>
      <c r="T20" s="6"/>
      <c r="U20" s="299">
        <v>409640</v>
      </c>
      <c r="V20" s="6"/>
      <c r="W20" s="44">
        <v>0</v>
      </c>
      <c r="X20" s="6"/>
      <c r="Y20" s="300">
        <f t="shared" ref="Y20" si="3">+U19-U20</f>
        <v>1292</v>
      </c>
      <c r="Z20" s="6"/>
      <c r="AA20" s="304"/>
      <c r="AB20" s="297"/>
    </row>
    <row r="21" spans="3:28" x14ac:dyDescent="0.3">
      <c r="C21" s="1"/>
      <c r="D21" s="126"/>
      <c r="E21" s="127" t="s">
        <v>44</v>
      </c>
      <c r="F21" s="127" t="s">
        <v>4</v>
      </c>
      <c r="G21" s="127"/>
      <c r="H21" s="127"/>
      <c r="I21" s="130">
        <f>+'Main Table'!Z82</f>
        <v>99805</v>
      </c>
      <c r="J21" s="129"/>
      <c r="K21" s="140"/>
      <c r="L21" s="140"/>
      <c r="M21" s="140"/>
      <c r="N21" s="140"/>
      <c r="O21" s="136"/>
      <c r="P21" s="90"/>
      <c r="Q21" s="90"/>
      <c r="R21" s="295"/>
      <c r="S21" s="298">
        <f t="shared" si="1"/>
        <v>43966</v>
      </c>
      <c r="T21" s="6"/>
      <c r="U21" s="299">
        <v>405327</v>
      </c>
      <c r="V21" s="6"/>
      <c r="W21" s="44">
        <v>0.27300000000000002</v>
      </c>
      <c r="X21" s="6"/>
      <c r="Y21" s="300">
        <f t="shared" ref="Y21" si="4">+U20-U21</f>
        <v>4313</v>
      </c>
      <c r="Z21" s="6"/>
      <c r="AA21" s="304"/>
      <c r="AB21" s="297"/>
    </row>
    <row r="22" spans="3:28" x14ac:dyDescent="0.3">
      <c r="C22" s="1"/>
      <c r="D22" s="126"/>
      <c r="E22" s="127"/>
      <c r="F22" s="127" t="s">
        <v>45</v>
      </c>
      <c r="G22" s="127"/>
      <c r="H22" s="127"/>
      <c r="I22" s="159">
        <v>17135</v>
      </c>
      <c r="J22" s="129"/>
      <c r="K22" s="140"/>
      <c r="L22" s="283">
        <v>17135</v>
      </c>
      <c r="M22" s="140"/>
      <c r="N22" s="160">
        <f>+(I22-L22)/I22</f>
        <v>0</v>
      </c>
      <c r="O22" s="136"/>
      <c r="P22" s="90"/>
      <c r="Q22" s="90"/>
      <c r="R22" s="295"/>
      <c r="S22" s="298">
        <f t="shared" si="1"/>
        <v>43967</v>
      </c>
      <c r="T22" s="6"/>
      <c r="U22" s="299">
        <v>393991</v>
      </c>
      <c r="V22" s="6"/>
      <c r="W22" s="44">
        <v>0.26100000000000001</v>
      </c>
      <c r="X22" s="6"/>
      <c r="Y22" s="300">
        <f t="shared" ref="Y22" si="5">+U21-U22</f>
        <v>11336</v>
      </c>
      <c r="Z22" s="6"/>
      <c r="AA22" s="304"/>
      <c r="AB22" s="297"/>
    </row>
    <row r="23" spans="3:28" x14ac:dyDescent="0.3">
      <c r="C23" s="1"/>
      <c r="D23" s="126"/>
      <c r="E23" s="127"/>
      <c r="F23" s="137" t="s">
        <v>72</v>
      </c>
      <c r="G23" s="137"/>
      <c r="H23" s="137"/>
      <c r="I23" s="130">
        <f>+I20-I21-I22</f>
        <v>1268894</v>
      </c>
      <c r="J23" s="129"/>
      <c r="K23" s="140"/>
      <c r="L23" s="140"/>
      <c r="M23" s="140"/>
      <c r="N23" s="140"/>
      <c r="O23" s="136"/>
      <c r="P23" s="113"/>
      <c r="Q23" s="113"/>
      <c r="R23" s="295"/>
      <c r="S23" s="298">
        <f t="shared" si="1"/>
        <v>43968</v>
      </c>
      <c r="T23" s="6"/>
      <c r="U23" s="299">
        <v>384245</v>
      </c>
      <c r="V23" s="6"/>
      <c r="W23" s="44">
        <v>0.251</v>
      </c>
      <c r="X23" s="6"/>
      <c r="Y23" s="300">
        <f t="shared" ref="Y23" si="6">+U22-U23</f>
        <v>9746</v>
      </c>
      <c r="Z23" s="6"/>
      <c r="AA23" s="304"/>
      <c r="AB23" s="297"/>
    </row>
    <row r="24" spans="3:28" x14ac:dyDescent="0.3">
      <c r="C24" s="1"/>
      <c r="D24" s="126"/>
      <c r="E24" s="127" t="s">
        <v>79</v>
      </c>
      <c r="F24" s="129"/>
      <c r="G24" s="129"/>
      <c r="H24" s="129"/>
      <c r="I24" s="131">
        <f>+'Main Table'!AO82</f>
        <v>464670</v>
      </c>
      <c r="J24" s="129"/>
      <c r="K24" s="140"/>
      <c r="L24" s="140"/>
      <c r="M24" s="140"/>
      <c r="N24" s="140"/>
      <c r="O24" s="136"/>
      <c r="P24" s="113"/>
      <c r="Q24" s="113"/>
      <c r="R24" s="295"/>
      <c r="S24" s="298">
        <f t="shared" si="1"/>
        <v>43969</v>
      </c>
      <c r="T24" s="6"/>
      <c r="U24" s="299">
        <v>379527</v>
      </c>
      <c r="V24" s="6"/>
      <c r="W24" s="44">
        <v>0.245</v>
      </c>
      <c r="X24" s="6"/>
      <c r="Y24" s="300">
        <f t="shared" ref="Y24" si="7">+U23-U24</f>
        <v>4718</v>
      </c>
      <c r="Z24" s="6"/>
      <c r="AA24" s="304"/>
      <c r="AB24" s="297"/>
    </row>
    <row r="25" spans="3:28" x14ac:dyDescent="0.3">
      <c r="C25" s="1"/>
      <c r="D25" s="545" t="s">
        <v>49</v>
      </c>
      <c r="E25" s="546"/>
      <c r="F25" s="546"/>
      <c r="G25" s="546"/>
      <c r="H25" s="546"/>
      <c r="I25" s="132">
        <f>+I23-I24</f>
        <v>804224</v>
      </c>
      <c r="J25" s="129"/>
      <c r="K25" s="140"/>
      <c r="L25" s="140"/>
      <c r="M25" s="140"/>
      <c r="N25" s="140"/>
      <c r="O25" s="136"/>
      <c r="P25" s="113"/>
      <c r="Q25" s="113"/>
      <c r="R25" s="295"/>
      <c r="S25" s="298">
        <f t="shared" si="1"/>
        <v>43970</v>
      </c>
      <c r="T25" s="6"/>
      <c r="U25" s="299">
        <v>375997</v>
      </c>
      <c r="V25" s="6"/>
      <c r="W25" s="44">
        <v>0.23899999999999999</v>
      </c>
      <c r="X25" s="6"/>
      <c r="Y25" s="300">
        <f t="shared" ref="Y25" si="8">+U24-U25</f>
        <v>3530</v>
      </c>
      <c r="Z25" s="6"/>
      <c r="AA25" s="304"/>
      <c r="AB25" s="297"/>
    </row>
    <row r="26" spans="3:28" x14ac:dyDescent="0.3">
      <c r="C26" s="1"/>
      <c r="D26" s="126"/>
      <c r="E26" s="127" t="s">
        <v>73</v>
      </c>
      <c r="F26" s="129"/>
      <c r="G26" s="129"/>
      <c r="H26" s="129"/>
      <c r="I26" s="131">
        <f>+I24</f>
        <v>464670</v>
      </c>
      <c r="J26" s="129"/>
      <c r="K26" s="140"/>
      <c r="L26" s="140"/>
      <c r="M26" s="140"/>
      <c r="N26" s="140"/>
      <c r="O26" s="136"/>
      <c r="P26" s="90"/>
      <c r="Q26" s="90"/>
      <c r="R26" s="295"/>
      <c r="S26" s="298">
        <f t="shared" si="1"/>
        <v>43971</v>
      </c>
      <c r="T26" s="6"/>
      <c r="U26" s="299">
        <v>373168</v>
      </c>
      <c r="V26" s="6"/>
      <c r="W26" s="44">
        <v>0.23400000000000001</v>
      </c>
      <c r="X26" s="6"/>
      <c r="Y26" s="300">
        <f t="shared" ref="Y26" si="9">+U25-U26</f>
        <v>2829</v>
      </c>
      <c r="Z26" s="6"/>
      <c r="AA26" s="304"/>
      <c r="AB26" s="297"/>
    </row>
    <row r="27" spans="3:28" ht="15" thickBot="1" x14ac:dyDescent="0.35">
      <c r="C27" s="1"/>
      <c r="D27" s="545" t="s">
        <v>46</v>
      </c>
      <c r="E27" s="546"/>
      <c r="F27" s="546"/>
      <c r="G27" s="546"/>
      <c r="H27" s="546"/>
      <c r="I27" s="149">
        <f>+I25+I26</f>
        <v>1268894</v>
      </c>
      <c r="J27" s="129"/>
      <c r="K27" s="550">
        <v>1251203</v>
      </c>
      <c r="L27" s="550"/>
      <c r="M27" s="140"/>
      <c r="N27" s="150">
        <f>+I27-K27</f>
        <v>17691</v>
      </c>
      <c r="O27" s="136"/>
      <c r="P27" s="90"/>
      <c r="Q27" s="90"/>
      <c r="R27" s="295"/>
      <c r="S27" s="298">
        <f t="shared" si="1"/>
        <v>43972</v>
      </c>
      <c r="T27" s="6"/>
      <c r="U27" s="299">
        <v>346181</v>
      </c>
      <c r="V27" s="6"/>
      <c r="W27" s="44">
        <v>0.214</v>
      </c>
      <c r="X27" s="6"/>
      <c r="Y27" s="300">
        <f t="shared" ref="Y27" si="10">+U26-U27</f>
        <v>26987</v>
      </c>
      <c r="Z27" s="6"/>
      <c r="AA27" s="304"/>
      <c r="AB27" s="297"/>
    </row>
    <row r="28" spans="3:28" ht="15.6" thickTop="1" thickBot="1" x14ac:dyDescent="0.35">
      <c r="C28" s="10"/>
      <c r="D28" s="135"/>
      <c r="E28" s="547" t="s">
        <v>71</v>
      </c>
      <c r="F28" s="547"/>
      <c r="G28" s="547"/>
      <c r="H28" s="137"/>
      <c r="I28" s="276">
        <f>+I27/I32</f>
        <v>0.74359351513535532</v>
      </c>
      <c r="J28" s="140"/>
      <c r="K28" s="140"/>
      <c r="L28" s="140"/>
      <c r="M28" s="110"/>
      <c r="N28" s="162">
        <f>+N27/K27</f>
        <v>1.4139192441194595E-2</v>
      </c>
      <c r="O28" s="136"/>
      <c r="P28" s="1"/>
      <c r="Q28" s="1"/>
      <c r="R28" s="295"/>
      <c r="S28" s="298">
        <f t="shared" si="1"/>
        <v>43973</v>
      </c>
      <c r="T28" s="6"/>
      <c r="U28" s="299">
        <v>341216</v>
      </c>
      <c r="V28" s="6"/>
      <c r="W28" s="44">
        <v>0.20699999999999999</v>
      </c>
      <c r="X28" s="6"/>
      <c r="Y28" s="300">
        <f t="shared" ref="Y28" si="11">+U27-U28</f>
        <v>4965</v>
      </c>
      <c r="Z28" s="6"/>
      <c r="AA28" s="304"/>
      <c r="AB28" s="297"/>
    </row>
    <row r="29" spans="3:28" ht="15.6" thickTop="1" thickBot="1" x14ac:dyDescent="0.35">
      <c r="C29" s="10"/>
      <c r="D29" s="133"/>
      <c r="E29" s="138"/>
      <c r="F29" s="138"/>
      <c r="G29" s="138"/>
      <c r="H29" s="138"/>
      <c r="I29" s="139"/>
      <c r="J29" s="134"/>
      <c r="K29" s="143"/>
      <c r="L29" s="143"/>
      <c r="M29" s="143"/>
      <c r="N29" s="143"/>
      <c r="O29" s="144"/>
      <c r="P29" s="1"/>
      <c r="Q29" s="1"/>
      <c r="R29" s="295"/>
      <c r="S29" s="298">
        <f t="shared" si="1"/>
        <v>43974</v>
      </c>
      <c r="T29" s="6"/>
      <c r="U29" s="299">
        <v>336852</v>
      </c>
      <c r="V29" s="6"/>
      <c r="W29" s="44">
        <v>0.20200000000000001</v>
      </c>
      <c r="X29" s="6"/>
      <c r="Y29" s="300">
        <f t="shared" ref="Y29" si="12">+U28-U29</f>
        <v>4364</v>
      </c>
      <c r="Z29" s="6"/>
      <c r="AA29" s="304"/>
      <c r="AB29" s="297"/>
    </row>
    <row r="30" spans="3:28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295"/>
      <c r="S30" s="298">
        <f t="shared" si="1"/>
        <v>43975</v>
      </c>
      <c r="T30" s="6"/>
      <c r="U30" s="299">
        <v>336142</v>
      </c>
      <c r="V30" s="6"/>
      <c r="W30" s="44">
        <v>0.19900000000000001</v>
      </c>
      <c r="X30" s="6"/>
      <c r="Y30" s="300">
        <f t="shared" ref="Y30" si="13">+U29-U30</f>
        <v>710</v>
      </c>
      <c r="Z30" s="6"/>
      <c r="AA30" s="304"/>
      <c r="AB30" s="297"/>
    </row>
    <row r="31" spans="3:28" ht="16.2" thickBot="1" x14ac:dyDescent="0.35">
      <c r="C31" s="90"/>
      <c r="D31" s="274"/>
      <c r="E31" s="556" t="s">
        <v>116</v>
      </c>
      <c r="F31" s="557"/>
      <c r="G31" s="557"/>
      <c r="H31" s="557"/>
      <c r="I31" s="557"/>
      <c r="J31" s="558"/>
      <c r="K31" s="273"/>
      <c r="L31" s="272" t="s">
        <v>10</v>
      </c>
      <c r="M31" s="271"/>
      <c r="N31" s="270"/>
      <c r="O31" s="110"/>
      <c r="P31" s="90"/>
      <c r="Q31" s="90"/>
      <c r="R31" s="295"/>
      <c r="S31" s="298">
        <f t="shared" si="1"/>
        <v>43976</v>
      </c>
      <c r="T31" s="6"/>
      <c r="U31" s="299">
        <f>+I$36</f>
        <v>337736</v>
      </c>
      <c r="V31" s="6"/>
      <c r="W31" s="44">
        <f>+L$36</f>
        <v>0.19791905346526531</v>
      </c>
      <c r="X31" s="6"/>
      <c r="Y31" s="300">
        <f t="shared" ref="Y31" si="14">+U30-U31</f>
        <v>-1594</v>
      </c>
      <c r="Z31" s="6"/>
      <c r="AA31" s="304"/>
      <c r="AB31" s="297"/>
    </row>
    <row r="32" spans="3:28" x14ac:dyDescent="0.3">
      <c r="C32" s="10"/>
      <c r="D32" s="261"/>
      <c r="E32" s="262" t="s">
        <v>90</v>
      </c>
      <c r="F32" s="24"/>
      <c r="G32" s="24"/>
      <c r="H32" s="24"/>
      <c r="I32" s="551">
        <f>+'Main Table'!H82</f>
        <v>1706435</v>
      </c>
      <c r="J32" s="551"/>
      <c r="K32" s="24"/>
      <c r="L32" s="25">
        <f>+I32/$I$32</f>
        <v>1</v>
      </c>
      <c r="M32" s="263"/>
      <c r="N32" s="90"/>
      <c r="O32" s="90"/>
      <c r="P32" s="90"/>
      <c r="Q32" s="90"/>
      <c r="R32" s="295"/>
      <c r="S32" s="298">
        <f t="shared" si="1"/>
        <v>43977</v>
      </c>
      <c r="T32" s="6"/>
      <c r="U32" s="299"/>
      <c r="V32" s="6"/>
      <c r="W32" s="44"/>
      <c r="X32" s="6"/>
      <c r="Y32" s="300"/>
      <c r="Z32" s="6"/>
      <c r="AA32" s="304"/>
      <c r="AB32" s="297"/>
    </row>
    <row r="33" spans="3:28" x14ac:dyDescent="0.3">
      <c r="C33" s="10"/>
      <c r="D33" s="261"/>
      <c r="E33" s="262"/>
      <c r="F33" s="24"/>
      <c r="G33" s="24"/>
      <c r="H33" s="24"/>
      <c r="I33" s="24"/>
      <c r="J33" s="24"/>
      <c r="K33" s="24"/>
      <c r="L33" s="24"/>
      <c r="M33" s="263"/>
      <c r="N33" s="90"/>
      <c r="O33" s="90"/>
      <c r="P33" s="90"/>
      <c r="Q33" s="90"/>
      <c r="R33" s="295"/>
      <c r="S33" s="298">
        <f t="shared" si="1"/>
        <v>43978</v>
      </c>
      <c r="T33" s="6"/>
      <c r="U33" s="299"/>
      <c r="V33" s="6"/>
      <c r="W33" s="44"/>
      <c r="X33" s="6"/>
      <c r="Y33" s="300"/>
      <c r="Z33" s="6"/>
      <c r="AA33" s="304"/>
      <c r="AB33" s="297"/>
    </row>
    <row r="34" spans="3:28" x14ac:dyDescent="0.3">
      <c r="D34" s="264"/>
      <c r="E34" s="22"/>
      <c r="F34" s="265" t="s">
        <v>115</v>
      </c>
      <c r="G34" s="265"/>
      <c r="H34" s="22"/>
      <c r="I34" s="552">
        <f>+I27</f>
        <v>1268894</v>
      </c>
      <c r="J34" s="553"/>
      <c r="K34" s="22"/>
      <c r="L34" s="25">
        <f>+I34/$I$32</f>
        <v>0.74359351513535532</v>
      </c>
      <c r="M34" s="266"/>
      <c r="P34" s="234"/>
      <c r="Q34" s="234"/>
      <c r="R34" s="295"/>
      <c r="S34" s="298">
        <f t="shared" si="1"/>
        <v>43979</v>
      </c>
      <c r="T34" s="6"/>
      <c r="U34" s="299"/>
      <c r="V34" s="6"/>
      <c r="W34" s="44"/>
      <c r="X34" s="6"/>
      <c r="Y34" s="300"/>
      <c r="Z34" s="6"/>
      <c r="AA34" s="304"/>
      <c r="AB34" s="297"/>
    </row>
    <row r="35" spans="3:28" x14ac:dyDescent="0.3">
      <c r="D35" s="264"/>
      <c r="E35" s="22"/>
      <c r="F35" s="22" t="s">
        <v>91</v>
      </c>
      <c r="G35" s="22"/>
      <c r="H35" s="22"/>
      <c r="I35" s="559">
        <f>+I21</f>
        <v>99805</v>
      </c>
      <c r="J35" s="560"/>
      <c r="K35" s="22"/>
      <c r="L35" s="25">
        <f>+I35/$I$32</f>
        <v>5.8487431399379411E-2</v>
      </c>
      <c r="M35" s="266"/>
      <c r="P35" s="275"/>
      <c r="Q35" s="275"/>
      <c r="R35" s="295"/>
      <c r="S35" s="298">
        <f t="shared" si="1"/>
        <v>43980</v>
      </c>
      <c r="T35" s="6"/>
      <c r="U35" s="299"/>
      <c r="V35" s="6"/>
      <c r="W35" s="44"/>
      <c r="X35" s="6"/>
      <c r="Y35" s="300"/>
      <c r="Z35" s="6"/>
      <c r="AA35" s="304"/>
      <c r="AB35" s="297"/>
    </row>
    <row r="36" spans="3:28" ht="15" thickBot="1" x14ac:dyDescent="0.35">
      <c r="D36" s="264"/>
      <c r="E36" s="548" t="s">
        <v>116</v>
      </c>
      <c r="F36" s="548"/>
      <c r="G36" s="548"/>
      <c r="H36" s="277"/>
      <c r="I36" s="554">
        <f>+I32-I34-I35</f>
        <v>337736</v>
      </c>
      <c r="J36" s="555"/>
      <c r="K36" s="305"/>
      <c r="L36" s="278">
        <f>+I36/$I$32</f>
        <v>0.19791905346526531</v>
      </c>
      <c r="M36" s="266"/>
      <c r="R36" s="295"/>
      <c r="S36" s="298">
        <f t="shared" si="1"/>
        <v>43981</v>
      </c>
      <c r="T36" s="6"/>
      <c r="U36" s="299"/>
      <c r="V36" s="6"/>
      <c r="W36" s="44"/>
      <c r="X36" s="6"/>
      <c r="Y36" s="300"/>
      <c r="Z36" s="6"/>
      <c r="AA36" s="304"/>
      <c r="AB36" s="297"/>
    </row>
    <row r="37" spans="3:28" ht="15.6" thickTop="1" thickBot="1" x14ac:dyDescent="0.35">
      <c r="D37" s="267"/>
      <c r="E37" s="268"/>
      <c r="F37" s="268"/>
      <c r="G37" s="268"/>
      <c r="H37" s="268"/>
      <c r="I37" s="268"/>
      <c r="J37" s="268"/>
      <c r="K37" s="268"/>
      <c r="L37" s="268"/>
      <c r="M37" s="269"/>
      <c r="R37" s="295"/>
      <c r="S37" s="298">
        <f t="shared" si="1"/>
        <v>43982</v>
      </c>
      <c r="T37" s="6"/>
      <c r="U37" s="299"/>
      <c r="V37" s="6"/>
      <c r="W37" s="44"/>
      <c r="X37" s="6"/>
      <c r="Y37" s="300"/>
      <c r="Z37" s="6"/>
      <c r="AA37" s="304"/>
      <c r="AB37" s="297"/>
    </row>
    <row r="38" spans="3:28" x14ac:dyDescent="0.3">
      <c r="R38" s="295"/>
      <c r="S38" s="298">
        <f t="shared" si="1"/>
        <v>43983</v>
      </c>
      <c r="T38" s="6"/>
      <c r="U38" s="299"/>
      <c r="V38" s="6"/>
      <c r="W38" s="44"/>
      <c r="X38" s="6"/>
      <c r="Y38" s="300"/>
      <c r="Z38" s="6"/>
      <c r="AA38" s="304"/>
      <c r="AB38" s="297"/>
    </row>
    <row r="39" spans="3:28" ht="15" thickBot="1" x14ac:dyDescent="0.35">
      <c r="R39" s="295"/>
      <c r="S39" s="298">
        <f t="shared" si="1"/>
        <v>43984</v>
      </c>
      <c r="T39" s="6"/>
      <c r="U39" s="299"/>
      <c r="V39" s="6"/>
      <c r="W39" s="44"/>
      <c r="X39" s="6"/>
      <c r="Y39" s="300"/>
      <c r="Z39" s="6"/>
      <c r="AA39" s="304"/>
      <c r="AB39" s="297"/>
    </row>
    <row r="40" spans="3:28" ht="15" thickBot="1" x14ac:dyDescent="0.35">
      <c r="D40" s="536" t="s">
        <v>129</v>
      </c>
      <c r="E40" s="537"/>
      <c r="F40" s="537"/>
      <c r="G40" s="537"/>
      <c r="H40" s="537"/>
      <c r="I40" s="537"/>
      <c r="J40" s="537"/>
      <c r="K40" s="537"/>
      <c r="L40" s="537"/>
      <c r="M40" s="537"/>
      <c r="N40" s="537"/>
      <c r="O40" s="538"/>
      <c r="R40" s="301"/>
      <c r="S40" s="397">
        <f t="shared" si="1"/>
        <v>43985</v>
      </c>
      <c r="T40" s="292"/>
      <c r="U40" s="398"/>
      <c r="V40" s="292"/>
      <c r="W40" s="302"/>
      <c r="X40" s="292"/>
      <c r="Y40" s="399"/>
      <c r="Z40" s="292"/>
      <c r="AA40" s="400"/>
      <c r="AB40" s="303"/>
    </row>
    <row r="41" spans="3:28" ht="15" thickBot="1" x14ac:dyDescent="0.35">
      <c r="D41" s="323"/>
      <c r="E41" s="539" t="s">
        <v>77</v>
      </c>
      <c r="F41" s="539"/>
      <c r="G41" s="539"/>
      <c r="H41" s="539"/>
      <c r="I41" s="306" t="s">
        <v>76</v>
      </c>
      <c r="J41" s="307"/>
      <c r="K41" s="540" t="s">
        <v>37</v>
      </c>
      <c r="L41" s="540"/>
      <c r="M41" s="308"/>
      <c r="N41" s="309" t="s">
        <v>75</v>
      </c>
      <c r="O41" s="324"/>
    </row>
    <row r="42" spans="3:28" x14ac:dyDescent="0.3">
      <c r="D42" s="325"/>
      <c r="E42" s="310" t="s">
        <v>43</v>
      </c>
      <c r="F42" s="311"/>
      <c r="G42" s="310"/>
      <c r="H42" s="310"/>
      <c r="I42" s="382">
        <v>25405</v>
      </c>
      <c r="J42" s="382"/>
      <c r="K42" s="383"/>
      <c r="L42" s="383"/>
      <c r="M42" s="383"/>
      <c r="N42" s="383"/>
      <c r="O42" s="317"/>
    </row>
    <row r="43" spans="3:28" x14ac:dyDescent="0.3">
      <c r="D43" s="325"/>
      <c r="E43" s="310" t="s">
        <v>44</v>
      </c>
      <c r="F43" s="310" t="s">
        <v>4</v>
      </c>
      <c r="G43" s="310"/>
      <c r="H43" s="310"/>
      <c r="I43" s="382">
        <v>1836</v>
      </c>
      <c r="J43" s="382"/>
      <c r="K43" s="383"/>
      <c r="L43" s="383"/>
      <c r="M43" s="383"/>
      <c r="N43" s="383"/>
      <c r="O43" s="317"/>
    </row>
    <row r="44" spans="3:28" x14ac:dyDescent="0.3">
      <c r="D44" s="325"/>
      <c r="E44" s="310"/>
      <c r="F44" s="310" t="s">
        <v>45</v>
      </c>
      <c r="G44" s="310"/>
      <c r="H44" s="310"/>
      <c r="I44" s="384">
        <v>1397</v>
      </c>
      <c r="J44" s="382"/>
      <c r="K44" s="383"/>
      <c r="L44" s="382"/>
      <c r="M44" s="383"/>
      <c r="N44" s="385"/>
      <c r="O44" s="317"/>
    </row>
    <row r="45" spans="3:28" x14ac:dyDescent="0.3">
      <c r="D45" s="325"/>
      <c r="E45" s="310"/>
      <c r="F45" s="314" t="s">
        <v>72</v>
      </c>
      <c r="G45" s="314"/>
      <c r="H45" s="314"/>
      <c r="I45" s="382">
        <f>+I42-I43-I44</f>
        <v>22172</v>
      </c>
      <c r="J45" s="382"/>
      <c r="K45" s="383"/>
      <c r="L45" s="383"/>
      <c r="M45" s="383"/>
      <c r="N45" s="383"/>
      <c r="O45" s="317"/>
      <c r="U45" s="1">
        <v>330000000</v>
      </c>
    </row>
    <row r="46" spans="3:28" x14ac:dyDescent="0.3">
      <c r="D46" s="325"/>
      <c r="E46" s="310" t="s">
        <v>79</v>
      </c>
      <c r="F46" s="312"/>
      <c r="G46" s="312"/>
      <c r="H46" s="312"/>
      <c r="I46" s="384">
        <f>+'Main Table'!AO99</f>
        <v>0</v>
      </c>
      <c r="J46" s="382"/>
      <c r="K46" s="383"/>
      <c r="L46" s="383"/>
      <c r="M46" s="383"/>
      <c r="N46" s="383"/>
      <c r="O46" s="317"/>
      <c r="U46" s="87">
        <f>+U27/U45</f>
        <v>1.0490333333333334E-3</v>
      </c>
    </row>
    <row r="47" spans="3:28" x14ac:dyDescent="0.3">
      <c r="D47" s="562" t="s">
        <v>49</v>
      </c>
      <c r="E47" s="563"/>
      <c r="F47" s="563"/>
      <c r="G47" s="563"/>
      <c r="H47" s="563"/>
      <c r="I47" s="315">
        <f>+I45-I46</f>
        <v>22172</v>
      </c>
      <c r="J47" s="382"/>
      <c r="K47" s="383"/>
      <c r="L47" s="383"/>
      <c r="M47" s="383"/>
      <c r="N47" s="383"/>
      <c r="O47" s="317"/>
    </row>
    <row r="48" spans="3:28" x14ac:dyDescent="0.3">
      <c r="D48" s="325"/>
      <c r="E48" s="310" t="s">
        <v>73</v>
      </c>
      <c r="F48" s="312"/>
      <c r="G48" s="312"/>
      <c r="H48" s="312"/>
      <c r="I48" s="384">
        <f>+I46</f>
        <v>0</v>
      </c>
      <c r="J48" s="382"/>
      <c r="K48" s="383"/>
      <c r="L48" s="383"/>
      <c r="M48" s="383"/>
      <c r="N48" s="383"/>
      <c r="O48" s="317"/>
    </row>
    <row r="49" spans="4:17" ht="15" thickBot="1" x14ac:dyDescent="0.35">
      <c r="D49" s="562" t="s">
        <v>46</v>
      </c>
      <c r="E49" s="563"/>
      <c r="F49" s="563"/>
      <c r="G49" s="563"/>
      <c r="H49" s="563"/>
      <c r="I49" s="386">
        <f>+I47+I48</f>
        <v>22172</v>
      </c>
      <c r="J49" s="382"/>
      <c r="K49" s="564">
        <v>30167</v>
      </c>
      <c r="L49" s="564"/>
      <c r="M49" s="383"/>
      <c r="N49" s="387">
        <f>+K49-I49</f>
        <v>7995</v>
      </c>
      <c r="O49" s="317"/>
      <c r="Q49" s="56"/>
    </row>
    <row r="50" spans="4:17" ht="15.6" thickTop="1" thickBot="1" x14ac:dyDescent="0.35">
      <c r="D50" s="316"/>
      <c r="E50" s="565" t="s">
        <v>71</v>
      </c>
      <c r="F50" s="565"/>
      <c r="G50" s="565"/>
      <c r="H50" s="314"/>
      <c r="I50" s="388">
        <f>+I49/K49</f>
        <v>0.73497530414028578</v>
      </c>
      <c r="J50" s="383"/>
      <c r="K50" s="383"/>
      <c r="L50" s="383"/>
      <c r="M50" s="383"/>
      <c r="N50" s="389">
        <f>+N49/K49</f>
        <v>0.26502469585971428</v>
      </c>
      <c r="O50" s="317"/>
      <c r="Q50" s="56"/>
    </row>
    <row r="51" spans="4:17" ht="15.6" thickTop="1" thickBot="1" x14ac:dyDescent="0.35">
      <c r="D51" s="326"/>
      <c r="E51" s="327"/>
      <c r="F51" s="327"/>
      <c r="G51" s="327"/>
      <c r="H51" s="327"/>
      <c r="I51" s="390"/>
      <c r="J51" s="391"/>
      <c r="K51" s="392"/>
      <c r="L51" s="392"/>
      <c r="M51" s="392"/>
      <c r="N51" s="392"/>
      <c r="O51" s="320"/>
    </row>
    <row r="52" spans="4:17" ht="15" thickBot="1" x14ac:dyDescent="0.35">
      <c r="D52" s="90"/>
      <c r="E52" s="152"/>
      <c r="F52" s="152"/>
      <c r="G52" s="152"/>
      <c r="H52" s="152"/>
      <c r="I52" s="356"/>
      <c r="J52" s="90"/>
      <c r="K52" s="110"/>
      <c r="L52" s="110"/>
      <c r="M52" s="362"/>
      <c r="N52" s="110"/>
      <c r="O52" s="110"/>
      <c r="P52" s="61"/>
    </row>
    <row r="53" spans="4:17" ht="16.2" thickBot="1" x14ac:dyDescent="0.35">
      <c r="D53" s="363"/>
      <c r="E53" s="528" t="s">
        <v>130</v>
      </c>
      <c r="F53" s="529"/>
      <c r="G53" s="529"/>
      <c r="H53" s="529"/>
      <c r="I53" s="529"/>
      <c r="J53" s="530"/>
      <c r="K53" s="364"/>
      <c r="L53" s="367" t="s">
        <v>10</v>
      </c>
      <c r="M53" s="366"/>
      <c r="N53" s="110"/>
      <c r="O53" s="110"/>
      <c r="P53" s="61"/>
    </row>
    <row r="54" spans="4:17" x14ac:dyDescent="0.3">
      <c r="D54" s="325"/>
      <c r="E54" s="357" t="s">
        <v>90</v>
      </c>
      <c r="F54" s="312"/>
      <c r="G54" s="312"/>
      <c r="H54" s="312"/>
      <c r="I54" s="566">
        <f>+K49</f>
        <v>30167</v>
      </c>
      <c r="J54" s="566"/>
      <c r="K54" s="312"/>
      <c r="L54" s="358">
        <f>+I54/$I$54</f>
        <v>1</v>
      </c>
      <c r="M54" s="365"/>
      <c r="N54" s="110"/>
      <c r="O54" s="110"/>
      <c r="P54" s="61"/>
    </row>
    <row r="55" spans="4:17" x14ac:dyDescent="0.3">
      <c r="D55" s="325"/>
      <c r="E55" s="357"/>
      <c r="F55" s="312"/>
      <c r="G55" s="312"/>
      <c r="H55" s="312"/>
      <c r="I55" s="312"/>
      <c r="J55" s="312"/>
      <c r="K55" s="312"/>
      <c r="L55" s="312"/>
      <c r="M55" s="365"/>
      <c r="N55" s="110"/>
      <c r="O55" s="110"/>
      <c r="P55" s="61"/>
    </row>
    <row r="56" spans="4:17" x14ac:dyDescent="0.3">
      <c r="D56" s="316"/>
      <c r="E56" s="313"/>
      <c r="F56" s="359" t="s">
        <v>115</v>
      </c>
      <c r="G56" s="359"/>
      <c r="H56" s="313"/>
      <c r="I56" s="567">
        <f>+I49</f>
        <v>22172</v>
      </c>
      <c r="J56" s="568"/>
      <c r="K56" s="313"/>
      <c r="L56" s="358">
        <f>+I56/$I$54</f>
        <v>0.73497530414028578</v>
      </c>
      <c r="M56" s="317"/>
      <c r="N56" s="110"/>
      <c r="O56" s="110"/>
      <c r="P56" s="61"/>
    </row>
    <row r="57" spans="4:17" x14ac:dyDescent="0.3">
      <c r="D57" s="316"/>
      <c r="E57" s="313"/>
      <c r="F57" s="313" t="s">
        <v>91</v>
      </c>
      <c r="G57" s="313"/>
      <c r="H57" s="313"/>
      <c r="I57" s="569">
        <f>+I43</f>
        <v>1836</v>
      </c>
      <c r="J57" s="570"/>
      <c r="K57" s="313"/>
      <c r="L57" s="358">
        <f>+I57/$I$54</f>
        <v>6.0861205953525378E-2</v>
      </c>
      <c r="M57" s="317"/>
      <c r="N57" s="110"/>
      <c r="O57" s="110"/>
      <c r="P57" s="61"/>
    </row>
    <row r="58" spans="4:17" ht="15" thickBot="1" x14ac:dyDescent="0.35">
      <c r="D58" s="316"/>
      <c r="E58" s="571" t="s">
        <v>116</v>
      </c>
      <c r="F58" s="571"/>
      <c r="G58" s="571"/>
      <c r="H58" s="313"/>
      <c r="I58" s="531">
        <f>+I54-I56-I57</f>
        <v>6159</v>
      </c>
      <c r="J58" s="572"/>
      <c r="K58" s="360"/>
      <c r="L58" s="361">
        <f>+I58/$I$54</f>
        <v>0.20416348990618888</v>
      </c>
      <c r="M58" s="317"/>
      <c r="N58" s="110"/>
      <c r="O58" s="110"/>
      <c r="P58" s="158"/>
    </row>
    <row r="59" spans="4:17" ht="15" thickTop="1" x14ac:dyDescent="0.3">
      <c r="D59" s="316"/>
      <c r="E59" s="471"/>
      <c r="F59" s="471" t="s">
        <v>131</v>
      </c>
      <c r="G59" s="471"/>
      <c r="H59" s="313"/>
      <c r="I59" s="573">
        <f>+I44</f>
        <v>1397</v>
      </c>
      <c r="J59" s="573"/>
      <c r="K59" s="360"/>
      <c r="L59" s="380"/>
      <c r="M59" s="317"/>
      <c r="N59" s="110"/>
      <c r="O59" s="110"/>
      <c r="P59" s="158"/>
    </row>
    <row r="60" spans="4:17" ht="15" thickBot="1" x14ac:dyDescent="0.35">
      <c r="D60" s="316"/>
      <c r="E60" s="379"/>
      <c r="F60" s="379" t="s">
        <v>132</v>
      </c>
      <c r="G60" s="379"/>
      <c r="H60" s="313"/>
      <c r="I60" s="531">
        <f>+I58-I59</f>
        <v>4762</v>
      </c>
      <c r="J60" s="531"/>
      <c r="K60" s="360"/>
      <c r="L60" s="361">
        <f>+I60/K49</f>
        <v>0.15785460934133325</v>
      </c>
      <c r="M60" s="317"/>
      <c r="N60" s="110"/>
      <c r="O60" s="110"/>
      <c r="P60" s="61"/>
    </row>
    <row r="61" spans="4:17" ht="15.6" thickTop="1" thickBot="1" x14ac:dyDescent="0.35">
      <c r="D61" s="318"/>
      <c r="E61" s="319"/>
      <c r="F61" s="319"/>
      <c r="G61" s="319"/>
      <c r="H61" s="319"/>
      <c r="I61" s="319"/>
      <c r="J61" s="319"/>
      <c r="K61" s="319"/>
      <c r="L61" s="319"/>
      <c r="M61" s="320"/>
      <c r="N61" s="110"/>
      <c r="O61" s="110"/>
      <c r="P61" s="61"/>
    </row>
    <row r="62" spans="4:17" ht="15" thickBot="1" x14ac:dyDescent="0.35"/>
    <row r="63" spans="4:17" ht="15" thickBot="1" x14ac:dyDescent="0.35">
      <c r="E63" s="528" t="s">
        <v>119</v>
      </c>
      <c r="F63" s="529"/>
      <c r="G63" s="529"/>
      <c r="H63" s="529"/>
      <c r="I63" s="529"/>
      <c r="J63" s="529"/>
      <c r="K63" s="529"/>
      <c r="L63" s="529"/>
      <c r="M63" s="530"/>
      <c r="P63" s="373"/>
    </row>
    <row r="64" spans="4:17" x14ac:dyDescent="0.3">
      <c r="E64" s="368"/>
      <c r="F64" s="321" t="s">
        <v>111</v>
      </c>
      <c r="G64" s="321"/>
      <c r="H64" s="321"/>
      <c r="I64" s="561">
        <v>11690000</v>
      </c>
      <c r="J64" s="561"/>
      <c r="K64" s="561"/>
      <c r="L64" s="561"/>
      <c r="M64" s="369"/>
      <c r="P64" s="57">
        <f>+I58/I64</f>
        <v>5.2686056458511551E-4</v>
      </c>
      <c r="Q64" s="57">
        <f>+I54/I64</f>
        <v>2.5805816937553463E-3</v>
      </c>
    </row>
    <row r="65" spans="4:17" x14ac:dyDescent="0.3">
      <c r="E65" s="368"/>
      <c r="F65" s="321" t="s">
        <v>112</v>
      </c>
      <c r="G65" s="321"/>
      <c r="H65" s="321"/>
      <c r="I65" s="321"/>
      <c r="J65" s="321"/>
      <c r="K65" s="321"/>
      <c r="L65" s="322">
        <f>+I58/I64</f>
        <v>5.2686056458511551E-4</v>
      </c>
      <c r="M65" s="369"/>
    </row>
    <row r="66" spans="4:17" x14ac:dyDescent="0.3">
      <c r="E66" s="368"/>
      <c r="F66" s="527" t="s">
        <v>110</v>
      </c>
      <c r="G66" s="527"/>
      <c r="H66" s="321"/>
      <c r="I66" s="321"/>
      <c r="J66" s="321"/>
      <c r="K66" s="321"/>
      <c r="L66" s="381">
        <f>+I58/(I64/100000)</f>
        <v>52.686056458511544</v>
      </c>
      <c r="M66" s="369"/>
    </row>
    <row r="67" spans="4:17" ht="15" thickBot="1" x14ac:dyDescent="0.35">
      <c r="E67" s="370"/>
      <c r="F67" s="371"/>
      <c r="G67" s="371"/>
      <c r="H67" s="371"/>
      <c r="I67" s="371"/>
      <c r="J67" s="371"/>
      <c r="K67" s="371"/>
      <c r="L67" s="371"/>
      <c r="M67" s="372"/>
    </row>
    <row r="70" spans="4:17" ht="15" thickBot="1" x14ac:dyDescent="0.35"/>
    <row r="71" spans="4:17" ht="15" thickBot="1" x14ac:dyDescent="0.35">
      <c r="D71" s="590" t="s">
        <v>133</v>
      </c>
      <c r="E71" s="591"/>
      <c r="F71" s="591"/>
      <c r="G71" s="591"/>
      <c r="H71" s="591"/>
      <c r="I71" s="591"/>
      <c r="J71" s="591"/>
      <c r="K71" s="591"/>
      <c r="L71" s="591"/>
      <c r="M71" s="591"/>
      <c r="N71" s="591"/>
      <c r="O71" s="592"/>
    </row>
    <row r="72" spans="4:17" ht="15" thickBot="1" x14ac:dyDescent="0.35">
      <c r="D72" s="401"/>
      <c r="E72" s="593" t="s">
        <v>77</v>
      </c>
      <c r="F72" s="593"/>
      <c r="G72" s="593"/>
      <c r="H72" s="593"/>
      <c r="I72" s="402" t="s">
        <v>76</v>
      </c>
      <c r="J72" s="403"/>
      <c r="K72" s="594" t="s">
        <v>37</v>
      </c>
      <c r="L72" s="594"/>
      <c r="M72" s="404"/>
      <c r="N72" s="405" t="s">
        <v>75</v>
      </c>
      <c r="O72" s="406"/>
    </row>
    <row r="73" spans="4:17" x14ac:dyDescent="0.3">
      <c r="D73" s="407"/>
      <c r="E73" s="408" t="s">
        <v>43</v>
      </c>
      <c r="F73" s="409"/>
      <c r="G73" s="408"/>
      <c r="H73" s="408"/>
      <c r="I73" s="410">
        <v>38828</v>
      </c>
      <c r="J73" s="410"/>
      <c r="K73" s="411"/>
      <c r="L73" s="411"/>
      <c r="M73" s="411"/>
      <c r="N73" s="411"/>
      <c r="O73" s="412"/>
    </row>
    <row r="74" spans="4:17" x14ac:dyDescent="0.3">
      <c r="D74" s="407"/>
      <c r="E74" s="408" t="s">
        <v>44</v>
      </c>
      <c r="F74" s="408" t="s">
        <v>4</v>
      </c>
      <c r="G74" s="408"/>
      <c r="H74" s="408"/>
      <c r="I74" s="410">
        <v>2144</v>
      </c>
      <c r="J74" s="410"/>
      <c r="K74" s="411"/>
      <c r="L74" s="411"/>
      <c r="M74" s="411"/>
      <c r="N74" s="411"/>
      <c r="O74" s="412"/>
    </row>
    <row r="75" spans="4:17" x14ac:dyDescent="0.3">
      <c r="D75" s="407"/>
      <c r="E75" s="408"/>
      <c r="F75" s="408" t="s">
        <v>45</v>
      </c>
      <c r="G75" s="408"/>
      <c r="H75" s="408"/>
      <c r="I75" s="413"/>
      <c r="J75" s="410"/>
      <c r="K75" s="411"/>
      <c r="L75" s="410"/>
      <c r="M75" s="411"/>
      <c r="N75" s="414"/>
      <c r="O75" s="412"/>
    </row>
    <row r="76" spans="4:17" x14ac:dyDescent="0.3">
      <c r="D76" s="407"/>
      <c r="E76" s="408"/>
      <c r="F76" s="415" t="s">
        <v>72</v>
      </c>
      <c r="G76" s="415"/>
      <c r="H76" s="415"/>
      <c r="I76" s="410">
        <f>+I73-I74-I75</f>
        <v>36684</v>
      </c>
      <c r="J76" s="410"/>
      <c r="K76" s="411"/>
      <c r="L76" s="411"/>
      <c r="M76" s="411"/>
      <c r="N76" s="411"/>
      <c r="O76" s="412"/>
    </row>
    <row r="77" spans="4:17" x14ac:dyDescent="0.3">
      <c r="D77" s="407"/>
      <c r="E77" s="408" t="s">
        <v>79</v>
      </c>
      <c r="F77" s="16"/>
      <c r="G77" s="16"/>
      <c r="H77" s="16"/>
      <c r="I77" s="413">
        <f>+'Main Table'!AO129</f>
        <v>0</v>
      </c>
      <c r="J77" s="410"/>
      <c r="K77" s="411"/>
      <c r="L77" s="411"/>
      <c r="M77" s="411"/>
      <c r="N77" s="411"/>
      <c r="O77" s="412"/>
    </row>
    <row r="78" spans="4:17" x14ac:dyDescent="0.3">
      <c r="D78" s="595" t="s">
        <v>49</v>
      </c>
      <c r="E78" s="596"/>
      <c r="F78" s="596"/>
      <c r="G78" s="596"/>
      <c r="H78" s="596"/>
      <c r="I78" s="416">
        <f>+I76-I77</f>
        <v>36684</v>
      </c>
      <c r="J78" s="410"/>
      <c r="K78" s="411"/>
      <c r="L78" s="411"/>
      <c r="M78" s="411"/>
      <c r="N78" s="411"/>
      <c r="O78" s="412"/>
    </row>
    <row r="79" spans="4:17" x14ac:dyDescent="0.3">
      <c r="D79" s="407"/>
      <c r="E79" s="408" t="s">
        <v>73</v>
      </c>
      <c r="F79" s="16"/>
      <c r="G79" s="16"/>
      <c r="H79" s="16"/>
      <c r="I79" s="413">
        <f>+I77</f>
        <v>0</v>
      </c>
      <c r="J79" s="410"/>
      <c r="K79" s="411"/>
      <c r="L79" s="411"/>
      <c r="M79" s="411"/>
      <c r="N79" s="411"/>
      <c r="O79" s="412"/>
    </row>
    <row r="80" spans="4:17" ht="15" thickBot="1" x14ac:dyDescent="0.35">
      <c r="D80" s="595" t="s">
        <v>46</v>
      </c>
      <c r="E80" s="596"/>
      <c r="F80" s="596"/>
      <c r="G80" s="596"/>
      <c r="H80" s="596"/>
      <c r="I80" s="417">
        <f>+I78+I79</f>
        <v>36684</v>
      </c>
      <c r="J80" s="410"/>
      <c r="K80" s="598">
        <v>48675</v>
      </c>
      <c r="L80" s="598"/>
      <c r="M80" s="411"/>
      <c r="N80" s="418">
        <f>+K80-I80</f>
        <v>11991</v>
      </c>
      <c r="O80" s="412"/>
      <c r="Q80" s="57">
        <f>+K80/I94</f>
        <v>2.2663002158933225E-3</v>
      </c>
    </row>
    <row r="81" spans="4:16" ht="15.6" thickTop="1" thickBot="1" x14ac:dyDescent="0.35">
      <c r="D81" s="419"/>
      <c r="E81" s="597" t="s">
        <v>71</v>
      </c>
      <c r="F81" s="597"/>
      <c r="G81" s="597"/>
      <c r="H81" s="415"/>
      <c r="I81" s="420">
        <f>+I80/K80</f>
        <v>0.75365177195685673</v>
      </c>
      <c r="J81" s="411"/>
      <c r="K81" s="411"/>
      <c r="L81" s="411"/>
      <c r="M81" s="411"/>
      <c r="N81" s="421">
        <f>+N80/K80</f>
        <v>0.2463482280431433</v>
      </c>
      <c r="O81" s="412"/>
    </row>
    <row r="82" spans="4:16" ht="15.6" thickTop="1" thickBot="1" x14ac:dyDescent="0.35">
      <c r="D82" s="422"/>
      <c r="E82" s="423"/>
      <c r="F82" s="423"/>
      <c r="G82" s="423"/>
      <c r="H82" s="423"/>
      <c r="I82" s="424"/>
      <c r="J82" s="425"/>
      <c r="K82" s="426"/>
      <c r="L82" s="426"/>
      <c r="M82" s="426"/>
      <c r="N82" s="426"/>
      <c r="O82" s="427"/>
    </row>
    <row r="83" spans="4:16" ht="15" thickBot="1" x14ac:dyDescent="0.35">
      <c r="D83" s="90"/>
      <c r="E83" s="152"/>
      <c r="F83" s="152"/>
      <c r="G83" s="152"/>
      <c r="H83" s="152"/>
      <c r="I83" s="356"/>
      <c r="J83" s="90"/>
      <c r="K83" s="110"/>
      <c r="L83" s="110"/>
      <c r="M83" s="362"/>
      <c r="N83" s="110"/>
      <c r="O83" s="110"/>
    </row>
    <row r="84" spans="4:16" ht="16.2" thickBot="1" x14ac:dyDescent="0.35">
      <c r="D84" s="428"/>
      <c r="E84" s="574" t="s">
        <v>134</v>
      </c>
      <c r="F84" s="575"/>
      <c r="G84" s="575"/>
      <c r="H84" s="575"/>
      <c r="I84" s="575"/>
      <c r="J84" s="576"/>
      <c r="K84" s="429"/>
      <c r="L84" s="441" t="s">
        <v>10</v>
      </c>
      <c r="M84" s="430"/>
      <c r="N84" s="110"/>
      <c r="O84" s="110"/>
    </row>
    <row r="85" spans="4:16" x14ac:dyDescent="0.3">
      <c r="D85" s="407"/>
      <c r="E85" s="431" t="s">
        <v>90</v>
      </c>
      <c r="F85" s="16"/>
      <c r="G85" s="16"/>
      <c r="H85" s="16"/>
      <c r="I85" s="577">
        <f>+K80</f>
        <v>48675</v>
      </c>
      <c r="J85" s="577"/>
      <c r="K85" s="16"/>
      <c r="L85" s="60">
        <f>+I85/$I$85</f>
        <v>1</v>
      </c>
      <c r="M85" s="432"/>
      <c r="N85" s="110"/>
      <c r="O85" s="110"/>
    </row>
    <row r="86" spans="4:16" x14ac:dyDescent="0.3">
      <c r="D86" s="407"/>
      <c r="E86" s="431"/>
      <c r="F86" s="16"/>
      <c r="G86" s="16"/>
      <c r="H86" s="16"/>
      <c r="I86" s="16"/>
      <c r="J86" s="16"/>
      <c r="K86" s="16"/>
      <c r="L86" s="16"/>
      <c r="M86" s="432"/>
      <c r="N86" s="110"/>
      <c r="O86" s="110"/>
    </row>
    <row r="87" spans="4:16" x14ac:dyDescent="0.3">
      <c r="D87" s="419"/>
      <c r="E87" s="15"/>
      <c r="F87" s="433" t="s">
        <v>115</v>
      </c>
      <c r="G87" s="433"/>
      <c r="H87" s="15"/>
      <c r="I87" s="578">
        <f>+I80</f>
        <v>36684</v>
      </c>
      <c r="J87" s="579"/>
      <c r="K87" s="15"/>
      <c r="L87" s="60">
        <f>+I87/$I$85</f>
        <v>0.75365177195685673</v>
      </c>
      <c r="M87" s="412"/>
      <c r="N87" s="110"/>
      <c r="O87" s="110"/>
    </row>
    <row r="88" spans="4:16" x14ac:dyDescent="0.3">
      <c r="D88" s="419"/>
      <c r="E88" s="15"/>
      <c r="F88" s="15" t="s">
        <v>91</v>
      </c>
      <c r="G88" s="15"/>
      <c r="H88" s="15"/>
      <c r="I88" s="580">
        <f>+I74</f>
        <v>2144</v>
      </c>
      <c r="J88" s="581"/>
      <c r="K88" s="15"/>
      <c r="L88" s="60">
        <f>+I88/$I$85</f>
        <v>4.4047252182845401E-2</v>
      </c>
      <c r="M88" s="412"/>
      <c r="N88" s="110"/>
      <c r="O88" s="110"/>
    </row>
    <row r="89" spans="4:16" ht="15" thickBot="1" x14ac:dyDescent="0.35">
      <c r="D89" s="419"/>
      <c r="E89" s="583" t="s">
        <v>116</v>
      </c>
      <c r="F89" s="583"/>
      <c r="G89" s="583"/>
      <c r="H89" s="15"/>
      <c r="I89" s="584">
        <f>+I85-I87-I88</f>
        <v>9847</v>
      </c>
      <c r="J89" s="585"/>
      <c r="K89" s="434"/>
      <c r="L89" s="435">
        <f>+I89/$I$85</f>
        <v>0.20230097586029788</v>
      </c>
      <c r="M89" s="412"/>
      <c r="N89" s="110"/>
      <c r="O89" s="110"/>
      <c r="P89" s="57">
        <f>+I89/I94</f>
        <v>4.5847474526762295E-4</v>
      </c>
    </row>
    <row r="90" spans="4:16" ht="15" thickTop="1" x14ac:dyDescent="0.3">
      <c r="D90" s="419"/>
      <c r="E90" s="436"/>
      <c r="F90" s="436"/>
      <c r="G90" s="436"/>
      <c r="H90" s="15"/>
      <c r="I90" s="437"/>
      <c r="J90" s="436"/>
      <c r="K90" s="434"/>
      <c r="L90" s="438"/>
      <c r="M90" s="412"/>
      <c r="N90" s="110"/>
      <c r="O90" s="110"/>
    </row>
    <row r="91" spans="4:16" ht="15" thickBot="1" x14ac:dyDescent="0.35">
      <c r="D91" s="439"/>
      <c r="E91" s="440"/>
      <c r="F91" s="440"/>
      <c r="G91" s="440"/>
      <c r="H91" s="440"/>
      <c r="I91" s="440"/>
      <c r="J91" s="440"/>
      <c r="K91" s="440"/>
      <c r="L91" s="440"/>
      <c r="M91" s="427"/>
      <c r="N91" s="110"/>
      <c r="O91" s="110"/>
    </row>
    <row r="92" spans="4:16" ht="15" thickBot="1" x14ac:dyDescent="0.35"/>
    <row r="93" spans="4:16" ht="15" thickBot="1" x14ac:dyDescent="0.35">
      <c r="E93" s="586" t="s">
        <v>121</v>
      </c>
      <c r="F93" s="587"/>
      <c r="G93" s="587"/>
      <c r="H93" s="587"/>
      <c r="I93" s="587"/>
      <c r="J93" s="587"/>
      <c r="K93" s="587"/>
      <c r="L93" s="587"/>
      <c r="M93" s="588"/>
    </row>
    <row r="94" spans="4:16" x14ac:dyDescent="0.3">
      <c r="E94" s="442"/>
      <c r="F94" s="443" t="s">
        <v>122</v>
      </c>
      <c r="G94" s="443"/>
      <c r="H94" s="443"/>
      <c r="I94" s="589">
        <v>21477737</v>
      </c>
      <c r="J94" s="589"/>
      <c r="K94" s="589"/>
      <c r="L94" s="589"/>
      <c r="M94" s="444"/>
    </row>
    <row r="95" spans="4:16" x14ac:dyDescent="0.3">
      <c r="E95" s="442"/>
      <c r="F95" s="443" t="s">
        <v>112</v>
      </c>
      <c r="G95" s="443"/>
      <c r="H95" s="443"/>
      <c r="I95" s="443"/>
      <c r="J95" s="443"/>
      <c r="K95" s="443"/>
      <c r="L95" s="445">
        <f>+I89/I94</f>
        <v>4.5847474526762295E-4</v>
      </c>
      <c r="M95" s="444"/>
    </row>
    <row r="96" spans="4:16" x14ac:dyDescent="0.3">
      <c r="E96" s="442"/>
      <c r="F96" s="582" t="s">
        <v>110</v>
      </c>
      <c r="G96" s="582"/>
      <c r="H96" s="443"/>
      <c r="I96" s="443"/>
      <c r="J96" s="443"/>
      <c r="K96" s="443"/>
      <c r="L96" s="446">
        <f>+I89/(I94/100000)</f>
        <v>45.847474526762298</v>
      </c>
      <c r="M96" s="444"/>
    </row>
    <row r="97" spans="5:13" x14ac:dyDescent="0.3">
      <c r="E97" s="442"/>
      <c r="F97" s="447"/>
      <c r="G97" s="447"/>
      <c r="H97" s="443"/>
      <c r="I97" s="443"/>
      <c r="J97" s="443"/>
      <c r="K97" s="443"/>
      <c r="L97" s="446"/>
      <c r="M97" s="444"/>
    </row>
    <row r="98" spans="5:13" x14ac:dyDescent="0.3">
      <c r="E98" s="442"/>
      <c r="F98" s="447" t="s">
        <v>123</v>
      </c>
      <c r="G98" s="447"/>
      <c r="H98" s="582" t="s">
        <v>124</v>
      </c>
      <c r="I98" s="582"/>
      <c r="J98" s="443"/>
      <c r="K98" s="443"/>
      <c r="L98" s="446"/>
      <c r="M98" s="444"/>
    </row>
    <row r="99" spans="5:13" ht="15" thickBot="1" x14ac:dyDescent="0.35">
      <c r="E99" s="448"/>
      <c r="F99" s="449"/>
      <c r="G99" s="449"/>
      <c r="H99" s="449"/>
      <c r="I99" s="449"/>
      <c r="J99" s="449"/>
      <c r="K99" s="449"/>
      <c r="L99" s="449"/>
      <c r="M99" s="450"/>
    </row>
  </sheetData>
  <mergeCells count="50">
    <mergeCell ref="D71:O71"/>
    <mergeCell ref="E72:H72"/>
    <mergeCell ref="K72:L72"/>
    <mergeCell ref="D78:H78"/>
    <mergeCell ref="E81:G81"/>
    <mergeCell ref="D80:H80"/>
    <mergeCell ref="K80:L80"/>
    <mergeCell ref="E84:J84"/>
    <mergeCell ref="I85:J85"/>
    <mergeCell ref="I87:J87"/>
    <mergeCell ref="I88:J88"/>
    <mergeCell ref="H98:I98"/>
    <mergeCell ref="E89:G89"/>
    <mergeCell ref="I89:J89"/>
    <mergeCell ref="E93:M93"/>
    <mergeCell ref="I94:L94"/>
    <mergeCell ref="F96:G96"/>
    <mergeCell ref="I64:L64"/>
    <mergeCell ref="D47:H47"/>
    <mergeCell ref="D49:H49"/>
    <mergeCell ref="K49:L49"/>
    <mergeCell ref="E50:G50"/>
    <mergeCell ref="E53:J53"/>
    <mergeCell ref="I54:J54"/>
    <mergeCell ref="I56:J56"/>
    <mergeCell ref="I57:J57"/>
    <mergeCell ref="E58:G58"/>
    <mergeCell ref="I58:J58"/>
    <mergeCell ref="I59:J59"/>
    <mergeCell ref="I32:J32"/>
    <mergeCell ref="I34:J34"/>
    <mergeCell ref="I36:J36"/>
    <mergeCell ref="E31:J31"/>
    <mergeCell ref="I35:J35"/>
    <mergeCell ref="F66:G66"/>
    <mergeCell ref="E63:M63"/>
    <mergeCell ref="I60:J60"/>
    <mergeCell ref="R3:AB3"/>
    <mergeCell ref="E15:I15"/>
    <mergeCell ref="D40:O40"/>
    <mergeCell ref="E41:H41"/>
    <mergeCell ref="K41:L41"/>
    <mergeCell ref="D18:O18"/>
    <mergeCell ref="E19:H19"/>
    <mergeCell ref="D25:H25"/>
    <mergeCell ref="E28:G28"/>
    <mergeCell ref="E36:G36"/>
    <mergeCell ref="K19:L19"/>
    <mergeCell ref="D27:H27"/>
    <mergeCell ref="K27:L2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22" workbookViewId="0">
      <selection activeCell="J61" sqref="J61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473" t="s">
        <v>5</v>
      </c>
      <c r="C1" s="473"/>
      <c r="D1" s="473"/>
    </row>
    <row r="2" spans="2:31" ht="15.6" x14ac:dyDescent="0.3">
      <c r="B2" s="473" t="s">
        <v>6</v>
      </c>
      <c r="C2" s="473"/>
      <c r="D2" s="473"/>
    </row>
    <row r="3" spans="2:31" ht="15.6" x14ac:dyDescent="0.3">
      <c r="B3" s="258" t="s">
        <v>13</v>
      </c>
      <c r="C3" s="258"/>
      <c r="D3" s="168"/>
    </row>
    <row r="4" spans="2:31" ht="15.6" x14ac:dyDescent="0.3">
      <c r="B4" s="169"/>
      <c r="C4" s="169"/>
      <c r="D4" s="168"/>
    </row>
    <row r="5" spans="2:31" ht="15.6" x14ac:dyDescent="0.3">
      <c r="B5" s="169"/>
      <c r="C5" s="169"/>
      <c r="D5" s="168" t="s">
        <v>85</v>
      </c>
      <c r="F5" s="259" t="s">
        <v>86</v>
      </c>
    </row>
    <row r="6" spans="2:31" ht="15.6" x14ac:dyDescent="0.3">
      <c r="B6" s="169"/>
      <c r="C6" s="169"/>
      <c r="D6" s="168"/>
      <c r="F6" t="s">
        <v>89</v>
      </c>
    </row>
    <row r="7" spans="2:31" ht="15.6" x14ac:dyDescent="0.3">
      <c r="B7" s="169"/>
      <c r="C7" s="169"/>
      <c r="D7" s="168"/>
      <c r="F7" s="259" t="s">
        <v>88</v>
      </c>
    </row>
    <row r="8" spans="2:31" ht="15.6" x14ac:dyDescent="0.3">
      <c r="B8" s="169"/>
      <c r="C8" s="169"/>
      <c r="D8" s="168"/>
      <c r="F8" s="259" t="s">
        <v>87</v>
      </c>
    </row>
    <row r="9" spans="2:31" ht="15.6" x14ac:dyDescent="0.3">
      <c r="B9" s="169"/>
      <c r="C9" s="169"/>
      <c r="D9" s="168"/>
      <c r="F9" s="259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600" t="s">
        <v>23</v>
      </c>
      <c r="E12" s="601"/>
      <c r="F12" s="601"/>
      <c r="G12" s="601"/>
      <c r="H12" s="601"/>
      <c r="I12" s="601"/>
      <c r="J12" s="601"/>
      <c r="K12" s="601"/>
      <c r="L12" s="601"/>
      <c r="M12" s="601"/>
      <c r="N12" s="601"/>
      <c r="O12" s="601"/>
      <c r="P12" s="601"/>
      <c r="Q12" s="601"/>
      <c r="R12" s="601"/>
      <c r="S12" s="601"/>
      <c r="T12" s="601"/>
      <c r="U12" s="602"/>
      <c r="V12" s="59"/>
    </row>
    <row r="13" spans="2:31" ht="15" thickBot="1" x14ac:dyDescent="0.35">
      <c r="D13" s="228" t="s">
        <v>19</v>
      </c>
      <c r="E13" s="76"/>
      <c r="F13" s="229" t="s">
        <v>20</v>
      </c>
      <c r="G13" s="77"/>
      <c r="H13" s="77"/>
      <c r="I13" s="77"/>
      <c r="J13" s="230" t="s">
        <v>21</v>
      </c>
      <c r="K13" s="77"/>
      <c r="L13" s="229" t="s">
        <v>18</v>
      </c>
      <c r="M13" s="78"/>
      <c r="N13" s="78"/>
      <c r="O13" s="78"/>
      <c r="P13" s="229" t="s">
        <v>20</v>
      </c>
      <c r="Q13" s="78"/>
      <c r="R13" s="78"/>
      <c r="S13" s="78"/>
      <c r="T13" s="229" t="s">
        <v>22</v>
      </c>
      <c r="U13" s="231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3">
        <f>+'Main Table'!J16</f>
        <v>0.25251059213323362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3">
        <f>+'Main Table'!J82</f>
        <v>1.1733352305909068E-2</v>
      </c>
      <c r="U14" s="231"/>
      <c r="V14" s="1"/>
      <c r="X14" s="235"/>
      <c r="Y14" s="599" t="s">
        <v>63</v>
      </c>
      <c r="Z14" s="599"/>
      <c r="AA14" s="599"/>
      <c r="AB14" s="599"/>
      <c r="AC14" s="599"/>
      <c r="AD14" s="236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107008.24243890282</v>
      </c>
      <c r="G15" s="81"/>
      <c r="H15" s="81"/>
      <c r="I15" s="81"/>
      <c r="J15" s="82">
        <f t="shared" ref="J15:J59" si="2">+J14</f>
        <v>0.25251059213323362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86437.43895425534</v>
      </c>
      <c r="Q15" s="81"/>
      <c r="R15" s="81"/>
      <c r="S15" s="81"/>
      <c r="T15" s="82">
        <f t="shared" ref="T15:T59" si="5">+T14</f>
        <v>1.1733352305909068E-2</v>
      </c>
      <c r="U15" s="231"/>
      <c r="V15" s="1"/>
      <c r="X15" s="237"/>
      <c r="Y15" s="238" t="s">
        <v>64</v>
      </c>
      <c r="Z15" s="239"/>
      <c r="AA15" s="238" t="s">
        <v>65</v>
      </c>
      <c r="AB15" s="240"/>
      <c r="AC15" s="241" t="s">
        <v>10</v>
      </c>
      <c r="AD15" s="242"/>
      <c r="AE15" s="1"/>
    </row>
    <row r="16" spans="2:31" x14ac:dyDescent="0.3">
      <c r="D16" s="79">
        <f t="shared" si="0"/>
        <v>43918</v>
      </c>
      <c r="E16" s="80"/>
      <c r="F16" s="81">
        <f t="shared" si="1"/>
        <v>134028.95710028679</v>
      </c>
      <c r="G16" s="81"/>
      <c r="H16" s="81"/>
      <c r="I16" s="81"/>
      <c r="J16" s="82">
        <f t="shared" si="2"/>
        <v>0.25251059213323362</v>
      </c>
      <c r="K16" s="81"/>
      <c r="L16" s="81">
        <f t="shared" si="3"/>
        <v>2</v>
      </c>
      <c r="M16" s="81"/>
      <c r="N16" s="81"/>
      <c r="O16" s="81"/>
      <c r="P16" s="81">
        <f t="shared" si="4"/>
        <v>87451.639877926136</v>
      </c>
      <c r="Q16" s="81"/>
      <c r="R16" s="81"/>
      <c r="S16" s="81"/>
      <c r="T16" s="82">
        <f t="shared" si="5"/>
        <v>1.1733352305909068E-2</v>
      </c>
      <c r="U16" s="231"/>
      <c r="V16" s="1"/>
      <c r="X16" s="237"/>
      <c r="Y16" s="243" t="s">
        <v>60</v>
      </c>
      <c r="Z16" s="243"/>
      <c r="AA16" s="244">
        <v>330</v>
      </c>
      <c r="AB16" s="243"/>
      <c r="AC16" s="245">
        <f>+AA16/AA16</f>
        <v>1</v>
      </c>
      <c r="AD16" s="242"/>
      <c r="AE16" s="1"/>
    </row>
    <row r="17" spans="4:33" x14ac:dyDescent="0.3">
      <c r="D17" s="79">
        <f t="shared" si="0"/>
        <v>43919</v>
      </c>
      <c r="E17" s="80"/>
      <c r="F17" s="81">
        <f t="shared" si="1"/>
        <v>167872.68842067997</v>
      </c>
      <c r="G17" s="81"/>
      <c r="H17" s="81"/>
      <c r="I17" s="81"/>
      <c r="J17" s="82">
        <f t="shared" si="2"/>
        <v>0.25251059213323362</v>
      </c>
      <c r="K17" s="81"/>
      <c r="L17" s="81">
        <f t="shared" si="3"/>
        <v>3</v>
      </c>
      <c r="M17" s="81"/>
      <c r="N17" s="81"/>
      <c r="O17" s="81"/>
      <c r="P17" s="81">
        <f t="shared" si="4"/>
        <v>88477.74077834333</v>
      </c>
      <c r="Q17" s="81"/>
      <c r="R17" s="81"/>
      <c r="S17" s="81"/>
      <c r="T17" s="82">
        <f t="shared" si="5"/>
        <v>1.1733352305909068E-2</v>
      </c>
      <c r="U17" s="231"/>
      <c r="V17" s="1"/>
      <c r="X17" s="237"/>
      <c r="Y17" s="246" t="s">
        <v>62</v>
      </c>
      <c r="Z17" s="243"/>
      <c r="AA17" s="247">
        <v>53.42</v>
      </c>
      <c r="AB17" s="243"/>
      <c r="AC17" s="245">
        <f>+AA17/AA16</f>
        <v>0.16187878787878787</v>
      </c>
      <c r="AD17" s="242"/>
      <c r="AE17" s="1"/>
    </row>
    <row r="18" spans="4:33" x14ac:dyDescent="0.3">
      <c r="D18" s="79">
        <f t="shared" si="0"/>
        <v>43920</v>
      </c>
      <c r="E18" s="80"/>
      <c r="F18" s="81">
        <f t="shared" si="1"/>
        <v>210262.3203767837</v>
      </c>
      <c r="G18" s="81"/>
      <c r="H18" s="81"/>
      <c r="I18" s="81"/>
      <c r="J18" s="82">
        <f t="shared" si="2"/>
        <v>0.25251059213323362</v>
      </c>
      <c r="K18" s="81"/>
      <c r="L18" s="81">
        <f t="shared" si="3"/>
        <v>4</v>
      </c>
      <c r="M18" s="81"/>
      <c r="N18" s="81"/>
      <c r="O18" s="81"/>
      <c r="P18" s="81">
        <f t="shared" si="4"/>
        <v>89515.881282126531</v>
      </c>
      <c r="Q18" s="81"/>
      <c r="R18" s="81"/>
      <c r="S18" s="81"/>
      <c r="T18" s="82">
        <f t="shared" si="5"/>
        <v>1.1733352305909068E-2</v>
      </c>
      <c r="U18" s="231"/>
      <c r="V18" s="1"/>
      <c r="X18" s="237"/>
      <c r="Y18" s="248" t="s">
        <v>66</v>
      </c>
      <c r="Z18" s="248"/>
      <c r="AA18" s="244">
        <f>+AC18*AA17</f>
        <v>11.37846</v>
      </c>
      <c r="AB18" s="243"/>
      <c r="AC18" s="245">
        <v>0.21299999999999999</v>
      </c>
      <c r="AD18" s="242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263355.78339843301</v>
      </c>
      <c r="G19" s="81"/>
      <c r="H19" s="81"/>
      <c r="I19" s="81"/>
      <c r="J19" s="82">
        <f t="shared" si="2"/>
        <v>0.25251059213323362</v>
      </c>
      <c r="K19" s="81"/>
      <c r="L19" s="81">
        <f t="shared" si="3"/>
        <v>5</v>
      </c>
      <c r="M19" s="81"/>
      <c r="N19" s="81"/>
      <c r="O19" s="81"/>
      <c r="P19" s="81">
        <f t="shared" si="4"/>
        <v>90566.202654183653</v>
      </c>
      <c r="Q19" s="81"/>
      <c r="R19" s="81"/>
      <c r="S19" s="81"/>
      <c r="T19" s="82">
        <f t="shared" si="5"/>
        <v>1.1733352305909068E-2</v>
      </c>
      <c r="U19" s="231"/>
      <c r="V19" s="1"/>
      <c r="X19" s="249"/>
      <c r="Y19" s="250" t="s">
        <v>67</v>
      </c>
      <c r="Z19" s="250"/>
      <c r="AA19" s="251"/>
      <c r="AB19" s="252"/>
      <c r="AC19" s="251">
        <f>+AA18/AA16</f>
        <v>3.448018181818182E-2</v>
      </c>
      <c r="AD19" s="253"/>
      <c r="AE19" s="1"/>
    </row>
    <row r="20" spans="4:33" x14ac:dyDescent="0.3">
      <c r="D20" s="79">
        <f t="shared" si="0"/>
        <v>43922</v>
      </c>
      <c r="E20" s="80"/>
      <c r="F20" s="81">
        <f t="shared" si="1"/>
        <v>329855.90820608294</v>
      </c>
      <c r="G20" s="81"/>
      <c r="H20" s="81"/>
      <c r="I20" s="81"/>
      <c r="J20" s="82">
        <f t="shared" si="2"/>
        <v>0.25251059213323362</v>
      </c>
      <c r="K20" s="81"/>
      <c r="L20" s="81">
        <f t="shared" si="3"/>
        <v>6</v>
      </c>
      <c r="M20" s="81"/>
      <c r="N20" s="81"/>
      <c r="O20" s="81"/>
      <c r="P20" s="81">
        <f t="shared" si="4"/>
        <v>91628.847816933543</v>
      </c>
      <c r="Q20" s="81"/>
      <c r="R20" s="81"/>
      <c r="S20" s="81"/>
      <c r="T20" s="82">
        <f t="shared" si="5"/>
        <v>1.1733352305909068E-2</v>
      </c>
      <c r="U20" s="231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413148.01890584646</v>
      </c>
      <c r="G21" s="81"/>
      <c r="H21" s="81"/>
      <c r="I21" s="81"/>
      <c r="J21" s="82">
        <f t="shared" si="2"/>
        <v>0.25251059213323362</v>
      </c>
      <c r="K21" s="81"/>
      <c r="L21" s="81">
        <f t="shared" si="3"/>
        <v>7</v>
      </c>
      <c r="M21" s="81"/>
      <c r="N21" s="81"/>
      <c r="O21" s="81"/>
      <c r="P21" s="81">
        <f t="shared" si="4"/>
        <v>92703.96136975415</v>
      </c>
      <c r="Q21" s="81"/>
      <c r="R21" s="81"/>
      <c r="S21" s="81"/>
      <c r="T21" s="82">
        <f t="shared" si="5"/>
        <v>1.1733352305909068E-2</v>
      </c>
      <c r="U21" s="231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517472.26979843411</v>
      </c>
      <c r="G22" s="81"/>
      <c r="H22" s="81"/>
      <c r="I22" s="81"/>
      <c r="J22" s="82">
        <f t="shared" si="2"/>
        <v>0.25251059213323362</v>
      </c>
      <c r="K22" s="81"/>
      <c r="L22" s="81">
        <f t="shared" si="3"/>
        <v>8</v>
      </c>
      <c r="M22" s="81"/>
      <c r="N22" s="81"/>
      <c r="O22" s="81"/>
      <c r="P22" s="81">
        <f t="shared" si="4"/>
        <v>93791.689608658868</v>
      </c>
      <c r="Q22" s="81"/>
      <c r="R22" s="81"/>
      <c r="S22" s="81"/>
      <c r="T22" s="82">
        <f t="shared" si="5"/>
        <v>1.1733352305909068E-2</v>
      </c>
      <c r="U22" s="231"/>
      <c r="V22" s="1"/>
    </row>
    <row r="23" spans="4:33" x14ac:dyDescent="0.3">
      <c r="D23" s="79">
        <f t="shared" si="0"/>
        <v>43925</v>
      </c>
      <c r="E23" s="80"/>
      <c r="F23" s="81">
        <f t="shared" si="1"/>
        <v>648139.49905776512</v>
      </c>
      <c r="G23" s="81"/>
      <c r="H23" s="81"/>
      <c r="I23" s="81"/>
      <c r="J23" s="82">
        <f t="shared" si="2"/>
        <v>0.25251059213323362</v>
      </c>
      <c r="K23" s="81"/>
      <c r="L23" s="81">
        <f t="shared" si="3"/>
        <v>9</v>
      </c>
      <c r="M23" s="81"/>
      <c r="N23" s="81"/>
      <c r="O23" s="81"/>
      <c r="P23" s="81">
        <f t="shared" si="4"/>
        <v>94892.18054620373</v>
      </c>
      <c r="Q23" s="81"/>
      <c r="R23" s="81"/>
      <c r="S23" s="81"/>
      <c r="T23" s="82">
        <f t="shared" si="5"/>
        <v>1.1733352305909068E-2</v>
      </c>
      <c r="U23" s="231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811801.58774977876</v>
      </c>
      <c r="G24" s="81"/>
      <c r="H24" s="81"/>
      <c r="I24" s="81"/>
      <c r="J24" s="82">
        <f t="shared" si="2"/>
        <v>0.25251059213323362</v>
      </c>
      <c r="K24" s="81"/>
      <c r="L24" s="81">
        <f t="shared" si="3"/>
        <v>10</v>
      </c>
      <c r="M24" s="81"/>
      <c r="N24" s="81"/>
      <c r="O24" s="81"/>
      <c r="P24" s="81">
        <f t="shared" si="4"/>
        <v>96005.58393162828</v>
      </c>
      <c r="Q24" s="81"/>
      <c r="R24" s="81"/>
      <c r="S24" s="81"/>
      <c r="T24" s="82">
        <f t="shared" si="5"/>
        <v>1.1733352305909068E-2</v>
      </c>
      <c r="U24" s="231"/>
      <c r="V24" s="1"/>
      <c r="X24" s="110"/>
      <c r="Y24" s="114"/>
      <c r="Z24" s="257"/>
      <c r="AA24" s="257"/>
      <c r="AB24" s="257"/>
      <c r="AC24" s="257"/>
      <c r="AD24" s="257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1016790.0873671746</v>
      </c>
      <c r="G25" s="81"/>
      <c r="H25" s="81"/>
      <c r="I25" s="81"/>
      <c r="J25" s="82">
        <f t="shared" si="2"/>
        <v>0.25251059213323362</v>
      </c>
      <c r="K25" s="81"/>
      <c r="L25" s="81">
        <f t="shared" si="3"/>
        <v>11</v>
      </c>
      <c r="M25" s="81"/>
      <c r="N25" s="81"/>
      <c r="O25" s="81"/>
      <c r="P25" s="81">
        <f t="shared" si="4"/>
        <v>97132.051271232602</v>
      </c>
      <c r="Q25" s="81"/>
      <c r="R25" s="81"/>
      <c r="S25" s="81"/>
      <c r="T25" s="82">
        <f t="shared" si="5"/>
        <v>1.1733352305909068E-2</v>
      </c>
      <c r="U25" s="231"/>
      <c r="V25" s="1"/>
      <c r="X25" s="110"/>
      <c r="Y25" s="256"/>
      <c r="Z25" s="256"/>
      <c r="AA25" s="256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1273540.354403462</v>
      </c>
      <c r="G26" s="81"/>
      <c r="H26" s="81"/>
      <c r="I26" s="81"/>
      <c r="J26" s="82">
        <f t="shared" si="2"/>
        <v>0.25251059213323362</v>
      </c>
      <c r="K26" s="81"/>
      <c r="L26" s="81">
        <f t="shared" si="3"/>
        <v>12</v>
      </c>
      <c r="M26" s="81"/>
      <c r="N26" s="81"/>
      <c r="O26" s="81"/>
      <c r="P26" s="81">
        <f t="shared" si="4"/>
        <v>98271.735848993601</v>
      </c>
      <c r="Q26" s="81"/>
      <c r="R26" s="81"/>
      <c r="S26" s="81"/>
      <c r="T26" s="82">
        <f t="shared" si="5"/>
        <v>1.1733352305909068E-2</v>
      </c>
      <c r="U26" s="231"/>
      <c r="V26" s="1"/>
      <c r="X26" s="110"/>
      <c r="Y26" s="114"/>
      <c r="Z26" s="114"/>
      <c r="AA26" s="114"/>
      <c r="AB26" s="110"/>
      <c r="AC26" s="254"/>
      <c r="AD26" s="110"/>
      <c r="AE26" s="255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1595122.7833994483</v>
      </c>
      <c r="G27" s="81"/>
      <c r="H27" s="81"/>
      <c r="I27" s="81"/>
      <c r="J27" s="82">
        <f t="shared" si="2"/>
        <v>0.25251059213323362</v>
      </c>
      <c r="K27" s="81"/>
      <c r="L27" s="81">
        <f t="shared" si="3"/>
        <v>13</v>
      </c>
      <c r="M27" s="81"/>
      <c r="N27" s="81"/>
      <c r="O27" s="81"/>
      <c r="P27" s="81">
        <f t="shared" si="4"/>
        <v>99424.792747423082</v>
      </c>
      <c r="Q27" s="81"/>
      <c r="R27" s="81"/>
      <c r="S27" s="81"/>
      <c r="T27" s="82">
        <f t="shared" si="5"/>
        <v>1.1733352305909068E-2</v>
      </c>
      <c r="U27" s="231"/>
      <c r="V27" s="1"/>
      <c r="X27" s="110"/>
      <c r="Y27" s="114"/>
      <c r="Z27" s="114"/>
      <c r="AA27" s="114"/>
      <c r="AB27" s="110"/>
      <c r="AC27" s="254"/>
      <c r="AD27" s="110"/>
      <c r="AE27" s="255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1997908.1819608547</v>
      </c>
      <c r="G28" s="81"/>
      <c r="H28" s="81"/>
      <c r="I28" s="81"/>
      <c r="J28" s="82">
        <f t="shared" si="2"/>
        <v>0.25251059213323362</v>
      </c>
      <c r="K28" s="81"/>
      <c r="L28" s="81">
        <f t="shared" si="3"/>
        <v>14</v>
      </c>
      <c r="M28" s="81"/>
      <c r="N28" s="81"/>
      <c r="O28" s="81"/>
      <c r="P28" s="81">
        <f t="shared" si="4"/>
        <v>100591.3788686706</v>
      </c>
      <c r="Q28" s="81"/>
      <c r="R28" s="81"/>
      <c r="S28" s="81"/>
      <c r="T28" s="82">
        <f t="shared" si="5"/>
        <v>1.1733352305909068E-2</v>
      </c>
      <c r="U28" s="231"/>
      <c r="V28" s="1"/>
      <c r="X28" s="110"/>
      <c r="Y28" s="257"/>
      <c r="Z28" s="257"/>
      <c r="AA28" s="257"/>
      <c r="AB28" s="110"/>
      <c r="AC28" s="254"/>
      <c r="AD28" s="110"/>
      <c r="AE28" s="255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2502401.1600156222</v>
      </c>
      <c r="G29" s="81"/>
      <c r="H29" s="81"/>
      <c r="I29" s="81"/>
      <c r="J29" s="82">
        <f t="shared" si="2"/>
        <v>0.25251059213323362</v>
      </c>
      <c r="K29" s="81"/>
      <c r="L29" s="81">
        <f t="shared" si="3"/>
        <v>15</v>
      </c>
      <c r="M29" s="81"/>
      <c r="N29" s="81"/>
      <c r="O29" s="81"/>
      <c r="P29" s="81">
        <f t="shared" si="4"/>
        <v>101771.65295587388</v>
      </c>
      <c r="Q29" s="81"/>
      <c r="R29" s="81"/>
      <c r="S29" s="81"/>
      <c r="T29" s="82">
        <f t="shared" si="5"/>
        <v>1.1733352305909068E-2</v>
      </c>
      <c r="U29" s="231"/>
      <c r="V29" s="88"/>
      <c r="X29" s="110"/>
      <c r="Y29" s="257"/>
      <c r="Z29" s="257"/>
      <c r="AA29" s="257"/>
      <c r="AB29" s="110"/>
      <c r="AC29" s="255"/>
      <c r="AD29" s="110"/>
      <c r="AE29" s="255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3134283.9586860575</v>
      </c>
      <c r="G30" s="81"/>
      <c r="H30" s="81"/>
      <c r="I30" s="81"/>
      <c r="J30" s="82">
        <f t="shared" si="2"/>
        <v>0.25251059213323362</v>
      </c>
      <c r="K30" s="81"/>
      <c r="L30" s="81">
        <f t="shared" si="3"/>
        <v>16</v>
      </c>
      <c r="M30" s="81"/>
      <c r="N30" s="81"/>
      <c r="O30" s="81"/>
      <c r="P30" s="81">
        <f t="shared" si="4"/>
        <v>102965.77561475987</v>
      </c>
      <c r="Q30" s="81"/>
      <c r="R30" s="81"/>
      <c r="S30" s="81"/>
      <c r="T30" s="82">
        <f t="shared" si="5"/>
        <v>1.1733352305909068E-2</v>
      </c>
      <c r="U30" s="231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3925723.8570075692</v>
      </c>
      <c r="G31" s="81"/>
      <c r="H31" s="81"/>
      <c r="I31" s="81"/>
      <c r="J31" s="82">
        <f t="shared" si="2"/>
        <v>0.25251059213323362</v>
      </c>
      <c r="K31" s="81"/>
      <c r="L31" s="81">
        <f t="shared" si="3"/>
        <v>17</v>
      </c>
      <c r="M31" s="81"/>
      <c r="N31" s="81"/>
      <c r="O31" s="81"/>
      <c r="P31" s="81">
        <f t="shared" si="4"/>
        <v>104173.90933549903</v>
      </c>
      <c r="Q31" s="81"/>
      <c r="R31" s="81"/>
      <c r="S31" s="81"/>
      <c r="T31" s="82">
        <f t="shared" si="5"/>
        <v>1.1733352305909068E-2</v>
      </c>
      <c r="U31" s="231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4917010.7126921117</v>
      </c>
      <c r="G32" s="81"/>
      <c r="H32" s="81"/>
      <c r="I32" s="81"/>
      <c r="J32" s="82">
        <f t="shared" si="2"/>
        <v>0.25251059213323362</v>
      </c>
      <c r="K32" s="81"/>
      <c r="L32" s="81">
        <f t="shared" si="3"/>
        <v>18</v>
      </c>
      <c r="M32" s="81"/>
      <c r="N32" s="81"/>
      <c r="O32" s="81"/>
      <c r="P32" s="81">
        <f t="shared" si="4"/>
        <v>105396.21851481628</v>
      </c>
      <c r="Q32" s="81"/>
      <c r="R32" s="81"/>
      <c r="S32" s="81"/>
      <c r="T32" s="82">
        <f t="shared" si="5"/>
        <v>1.1733352305909068E-2</v>
      </c>
      <c r="U32" s="231"/>
      <c r="V32" s="1"/>
    </row>
    <row r="33" spans="4:22" x14ac:dyDescent="0.3">
      <c r="D33" s="79">
        <f t="shared" si="0"/>
        <v>43935</v>
      </c>
      <c r="E33" s="80"/>
      <c r="F33" s="81">
        <f t="shared" si="1"/>
        <v>6158607.9992794497</v>
      </c>
      <c r="G33" s="81"/>
      <c r="H33" s="81"/>
      <c r="I33" s="81"/>
      <c r="J33" s="82">
        <f t="shared" si="2"/>
        <v>0.25251059213323362</v>
      </c>
      <c r="K33" s="81"/>
      <c r="L33" s="81">
        <f t="shared" si="3"/>
        <v>19</v>
      </c>
      <c r="M33" s="81"/>
      <c r="N33" s="81"/>
      <c r="O33" s="81"/>
      <c r="P33" s="81">
        <f t="shared" si="4"/>
        <v>106632.8694783612</v>
      </c>
      <c r="Q33" s="81"/>
      <c r="R33" s="81"/>
      <c r="S33" s="81"/>
      <c r="T33" s="82">
        <f t="shared" si="5"/>
        <v>1.1733352305909068E-2</v>
      </c>
      <c r="U33" s="231"/>
      <c r="V33" s="1"/>
    </row>
    <row r="34" spans="4:22" x14ac:dyDescent="0.3">
      <c r="D34" s="79">
        <f t="shared" si="0"/>
        <v>43936</v>
      </c>
      <c r="E34" s="80"/>
      <c r="F34" s="81">
        <f t="shared" si="1"/>
        <v>7713721.751893972</v>
      </c>
      <c r="G34" s="81"/>
      <c r="H34" s="81"/>
      <c r="I34" s="81"/>
      <c r="J34" s="82">
        <f t="shared" si="2"/>
        <v>0.25251059213323362</v>
      </c>
      <c r="K34" s="81"/>
      <c r="L34" s="81">
        <f t="shared" si="3"/>
        <v>20</v>
      </c>
      <c r="M34" s="81"/>
      <c r="N34" s="81"/>
      <c r="O34" s="81"/>
      <c r="P34" s="81">
        <f t="shared" si="4"/>
        <v>107884.03050334084</v>
      </c>
      <c r="Q34" s="81"/>
      <c r="R34" s="81"/>
      <c r="S34" s="81"/>
      <c r="T34" s="82">
        <f t="shared" si="5"/>
        <v>1.1733352305909068E-2</v>
      </c>
      <c r="U34" s="231"/>
      <c r="V34" s="1"/>
    </row>
    <row r="35" spans="4:22" x14ac:dyDescent="0.3">
      <c r="D35" s="79">
        <f t="shared" si="0"/>
        <v>43937</v>
      </c>
      <c r="E35" s="80"/>
      <c r="F35" s="81">
        <f t="shared" si="1"/>
        <v>9661518.1990157235</v>
      </c>
      <c r="G35" s="81"/>
      <c r="H35" s="81"/>
      <c r="I35" s="81"/>
      <c r="J35" s="82">
        <f t="shared" si="2"/>
        <v>0.25251059213323362</v>
      </c>
      <c r="K35" s="81"/>
      <c r="L35" s="81">
        <f t="shared" si="3"/>
        <v>21</v>
      </c>
      <c r="M35" s="81"/>
      <c r="N35" s="81"/>
      <c r="O35" s="81"/>
      <c r="P35" s="81">
        <f t="shared" si="4"/>
        <v>109149.87184141797</v>
      </c>
      <c r="Q35" s="81"/>
      <c r="R35" s="81"/>
      <c r="S35" s="81"/>
      <c r="T35" s="82">
        <f t="shared" si="5"/>
        <v>1.1733352305909068E-2</v>
      </c>
      <c r="U35" s="231"/>
      <c r="V35" s="1"/>
    </row>
    <row r="36" spans="4:22" x14ac:dyDescent="0.3">
      <c r="D36" s="79">
        <f t="shared" si="0"/>
        <v>43938</v>
      </c>
      <c r="E36" s="80"/>
      <c r="F36" s="81">
        <f t="shared" si="1"/>
        <v>12101153.880355196</v>
      </c>
      <c r="G36" s="81"/>
      <c r="H36" s="81"/>
      <c r="I36" s="81"/>
      <c r="J36" s="82">
        <f t="shared" si="2"/>
        <v>0.25251059213323362</v>
      </c>
      <c r="K36" s="81"/>
      <c r="L36" s="81">
        <f t="shared" si="3"/>
        <v>22</v>
      </c>
      <c r="M36" s="81"/>
      <c r="N36" s="81"/>
      <c r="O36" s="81"/>
      <c r="P36" s="81">
        <f t="shared" si="4"/>
        <v>110430.56574187816</v>
      </c>
      <c r="Q36" s="81"/>
      <c r="R36" s="81"/>
      <c r="S36" s="81"/>
      <c r="T36" s="82">
        <f t="shared" si="5"/>
        <v>1.1733352305909068E-2</v>
      </c>
      <c r="U36" s="231"/>
      <c r="V36" s="10"/>
    </row>
    <row r="37" spans="4:22" x14ac:dyDescent="0.3">
      <c r="D37" s="79">
        <f t="shared" si="0"/>
        <v>43939</v>
      </c>
      <c r="E37" s="80"/>
      <c r="F37" s="81">
        <f t="shared" si="1"/>
        <v>15156823.412179064</v>
      </c>
      <c r="G37" s="81"/>
      <c r="H37" s="81"/>
      <c r="I37" s="81"/>
      <c r="J37" s="82">
        <f t="shared" si="2"/>
        <v>0.25251059213323362</v>
      </c>
      <c r="K37" s="81"/>
      <c r="L37" s="81">
        <f t="shared" si="3"/>
        <v>23</v>
      </c>
      <c r="M37" s="81"/>
      <c r="N37" s="81"/>
      <c r="O37" s="81"/>
      <c r="P37" s="81">
        <f t="shared" si="4"/>
        <v>111726.28647506848</v>
      </c>
      <c r="Q37" s="81"/>
      <c r="R37" s="81"/>
      <c r="S37" s="81"/>
      <c r="T37" s="82">
        <f t="shared" si="5"/>
        <v>1.1733352305909068E-2</v>
      </c>
      <c r="U37" s="231"/>
      <c r="V37" s="10"/>
    </row>
    <row r="38" spans="4:22" x14ac:dyDescent="0.3">
      <c r="D38" s="79">
        <f t="shared" si="0"/>
        <v>43940</v>
      </c>
      <c r="E38" s="80"/>
      <c r="F38" s="81">
        <f t="shared" si="1"/>
        <v>18984081.866847258</v>
      </c>
      <c r="G38" s="81"/>
      <c r="H38" s="81"/>
      <c r="I38" s="81"/>
      <c r="J38" s="82">
        <f t="shared" si="2"/>
        <v>0.25251059213323362</v>
      </c>
      <c r="K38" s="81"/>
      <c r="L38" s="81">
        <f t="shared" si="3"/>
        <v>24</v>
      </c>
      <c r="M38" s="81"/>
      <c r="N38" s="81"/>
      <c r="O38" s="81"/>
      <c r="P38" s="81">
        <f t="shared" si="4"/>
        <v>113037.21035611139</v>
      </c>
      <c r="Q38" s="81"/>
      <c r="R38" s="81"/>
      <c r="S38" s="81"/>
      <c r="T38" s="82">
        <f t="shared" si="5"/>
        <v>1.1733352305909068E-2</v>
      </c>
      <c r="U38" s="231"/>
      <c r="V38" s="10"/>
    </row>
    <row r="39" spans="4:22" x14ac:dyDescent="0.3">
      <c r="D39" s="79">
        <f t="shared" si="0"/>
        <v>43941</v>
      </c>
      <c r="E39" s="80"/>
      <c r="F39" s="81">
        <f t="shared" si="1"/>
        <v>23777763.620150641</v>
      </c>
      <c r="G39" s="81"/>
      <c r="H39" s="81"/>
      <c r="I39" s="81"/>
      <c r="J39" s="82">
        <f t="shared" si="2"/>
        <v>0.25251059213323362</v>
      </c>
      <c r="K39" s="81"/>
      <c r="L39" s="81">
        <f t="shared" si="3"/>
        <v>25</v>
      </c>
      <c r="M39" s="81"/>
      <c r="N39" s="81"/>
      <c r="O39" s="81"/>
      <c r="P39" s="81">
        <f t="shared" si="4"/>
        <v>114363.5157688968</v>
      </c>
      <c r="Q39" s="81"/>
      <c r="R39" s="81"/>
      <c r="S39" s="81"/>
      <c r="T39" s="82">
        <f t="shared" si="5"/>
        <v>1.1733352305909068E-2</v>
      </c>
      <c r="U39" s="231"/>
      <c r="V39" s="10"/>
    </row>
    <row r="40" spans="4:22" x14ac:dyDescent="0.3">
      <c r="D40" s="79">
        <f t="shared" si="0"/>
        <v>43942</v>
      </c>
      <c r="E40" s="80"/>
      <c r="F40" s="81">
        <f t="shared" si="1"/>
        <v>29781900.791478939</v>
      </c>
      <c r="G40" s="81"/>
      <c r="H40" s="81"/>
      <c r="I40" s="81"/>
      <c r="J40" s="82">
        <f t="shared" si="2"/>
        <v>0.25251059213323362</v>
      </c>
      <c r="K40" s="81"/>
      <c r="L40" s="81">
        <f t="shared" si="3"/>
        <v>26</v>
      </c>
      <c r="M40" s="81"/>
      <c r="N40" s="81"/>
      <c r="O40" s="81"/>
      <c r="P40" s="81">
        <f t="shared" si="4"/>
        <v>115705.38319035566</v>
      </c>
      <c r="Q40" s="81"/>
      <c r="R40" s="81"/>
      <c r="S40" s="81"/>
      <c r="T40" s="82">
        <f t="shared" si="5"/>
        <v>1.1733352305909068E-2</v>
      </c>
      <c r="U40" s="231"/>
      <c r="V40" s="10"/>
    </row>
    <row r="41" spans="4:22" x14ac:dyDescent="0.3">
      <c r="D41" s="79">
        <f t="shared" si="0"/>
        <v>43943</v>
      </c>
      <c r="E41" s="80"/>
      <c r="F41" s="81">
        <f t="shared" si="1"/>
        <v>37302146.195188507</v>
      </c>
      <c r="G41" s="81"/>
      <c r="H41" s="81"/>
      <c r="I41" s="81"/>
      <c r="J41" s="82">
        <f t="shared" si="2"/>
        <v>0.25251059213323362</v>
      </c>
      <c r="K41" s="81"/>
      <c r="L41" s="81">
        <f t="shared" si="3"/>
        <v>27</v>
      </c>
      <c r="M41" s="81"/>
      <c r="N41" s="81"/>
      <c r="O41" s="81"/>
      <c r="P41" s="81">
        <f t="shared" si="4"/>
        <v>117062.99521501831</v>
      </c>
      <c r="Q41" s="81"/>
      <c r="R41" s="81"/>
      <c r="S41" s="81"/>
      <c r="T41" s="82">
        <f t="shared" si="5"/>
        <v>1.1733352305909068E-2</v>
      </c>
      <c r="U41" s="231"/>
      <c r="V41" s="10"/>
    </row>
    <row r="42" spans="4:22" x14ac:dyDescent="0.3">
      <c r="D42" s="79">
        <f t="shared" si="0"/>
        <v>43944</v>
      </c>
      <c r="E42" s="80"/>
      <c r="F42" s="81">
        <f t="shared" si="1"/>
        <v>46721333.218776003</v>
      </c>
      <c r="G42" s="81"/>
      <c r="H42" s="81"/>
      <c r="I42" s="81"/>
      <c r="J42" s="82">
        <f t="shared" si="2"/>
        <v>0.25251059213323362</v>
      </c>
      <c r="K42" s="81"/>
      <c r="L42" s="81">
        <f t="shared" si="3"/>
        <v>28</v>
      </c>
      <c r="M42" s="81"/>
      <c r="N42" s="81"/>
      <c r="O42" s="81"/>
      <c r="P42" s="81">
        <f t="shared" si="4"/>
        <v>118436.53657986107</v>
      </c>
      <c r="Q42" s="81"/>
      <c r="R42" s="81"/>
      <c r="S42" s="81"/>
      <c r="T42" s="82">
        <f t="shared" si="5"/>
        <v>1.1733352305909068E-2</v>
      </c>
      <c r="U42" s="231"/>
      <c r="V42" s="10"/>
    </row>
    <row r="43" spans="4:22" x14ac:dyDescent="0.3">
      <c r="D43" s="79">
        <f t="shared" si="0"/>
        <v>43945</v>
      </c>
      <c r="E43" s="80"/>
      <c r="F43" s="81">
        <f t="shared" si="1"/>
        <v>58518964.73510325</v>
      </c>
      <c r="G43" s="81"/>
      <c r="H43" s="81"/>
      <c r="I43" s="81"/>
      <c r="J43" s="82">
        <f t="shared" si="2"/>
        <v>0.25251059213323362</v>
      </c>
      <c r="K43" s="81"/>
      <c r="L43" s="81">
        <f t="shared" si="3"/>
        <v>29</v>
      </c>
      <c r="M43" s="81"/>
      <c r="N43" s="81"/>
      <c r="O43" s="81"/>
      <c r="P43" s="81">
        <f t="shared" si="4"/>
        <v>119826.19418944427</v>
      </c>
      <c r="Q43" s="81"/>
      <c r="R43" s="81"/>
      <c r="S43" s="81"/>
      <c r="T43" s="82">
        <f t="shared" si="5"/>
        <v>1.1733352305909068E-2</v>
      </c>
      <c r="U43" s="231"/>
      <c r="V43" s="10"/>
    </row>
    <row r="44" spans="4:22" x14ac:dyDescent="0.3">
      <c r="D44" s="79">
        <f t="shared" si="0"/>
        <v>43946</v>
      </c>
      <c r="E44" s="80"/>
      <c r="F44" s="81">
        <f t="shared" si="1"/>
        <v>73295623.171387985</v>
      </c>
      <c r="G44" s="81"/>
      <c r="H44" s="81"/>
      <c r="I44" s="81"/>
      <c r="J44" s="82">
        <f t="shared" si="2"/>
        <v>0.25251059213323362</v>
      </c>
      <c r="K44" s="81"/>
      <c r="L44" s="81">
        <f t="shared" si="3"/>
        <v>30</v>
      </c>
      <c r="M44" s="81"/>
      <c r="N44" s="81"/>
      <c r="O44" s="81"/>
      <c r="P44" s="81">
        <f t="shared" si="4"/>
        <v>121232.15714134531</v>
      </c>
      <c r="Q44" s="81"/>
      <c r="R44" s="81"/>
      <c r="S44" s="81"/>
      <c r="T44" s="82">
        <f t="shared" si="5"/>
        <v>1.1733352305909068E-2</v>
      </c>
      <c r="U44" s="231"/>
      <c r="V44" s="10"/>
    </row>
    <row r="45" spans="4:22" x14ac:dyDescent="0.3">
      <c r="D45" s="79">
        <f t="shared" si="0"/>
        <v>43947</v>
      </c>
      <c r="E45" s="80"/>
      <c r="F45" s="81">
        <f t="shared" si="1"/>
        <v>91803544.379169524</v>
      </c>
      <c r="G45" s="81"/>
      <c r="H45" s="81"/>
      <c r="I45" s="81"/>
      <c r="J45" s="82">
        <f t="shared" si="2"/>
        <v>0.25251059213323362</v>
      </c>
      <c r="K45" s="81"/>
      <c r="L45" s="81">
        <f t="shared" si="3"/>
        <v>31</v>
      </c>
      <c r="M45" s="81"/>
      <c r="N45" s="81"/>
      <c r="O45" s="81"/>
      <c r="P45" s="81">
        <f t="shared" si="4"/>
        <v>122654.61675189005</v>
      </c>
      <c r="Q45" s="81"/>
      <c r="R45" s="81"/>
      <c r="S45" s="81"/>
      <c r="T45" s="82">
        <f t="shared" si="5"/>
        <v>1.1733352305909068E-2</v>
      </c>
      <c r="U45" s="231"/>
      <c r="V45" s="10"/>
    </row>
    <row r="46" spans="4:22" x14ac:dyDescent="0.3">
      <c r="D46" s="79">
        <f t="shared" si="0"/>
        <v>43948</v>
      </c>
      <c r="E46" s="80"/>
      <c r="F46" s="81">
        <f t="shared" si="1"/>
        <v>114984911.7302832</v>
      </c>
      <c r="G46" s="81"/>
      <c r="H46" s="81"/>
      <c r="I46" s="81"/>
      <c r="J46" s="82">
        <f t="shared" si="2"/>
        <v>0.25251059213323362</v>
      </c>
      <c r="K46" s="81"/>
      <c r="L46" s="81">
        <f t="shared" si="3"/>
        <v>32</v>
      </c>
      <c r="M46" s="81"/>
      <c r="N46" s="81"/>
      <c r="O46" s="81"/>
      <c r="P46" s="81">
        <f t="shared" si="4"/>
        <v>124093.76658218623</v>
      </c>
      <c r="Q46" s="81"/>
      <c r="R46" s="81"/>
      <c r="S46" s="81"/>
      <c r="T46" s="82">
        <f t="shared" si="5"/>
        <v>1.1733352305909068E-2</v>
      </c>
      <c r="U46" s="231"/>
      <c r="V46" s="10"/>
    </row>
    <row r="47" spans="4:22" x14ac:dyDescent="0.3">
      <c r="D47" s="79">
        <f t="shared" si="0"/>
        <v>43949</v>
      </c>
      <c r="E47" s="80"/>
      <c r="F47" s="81">
        <f t="shared" si="1"/>
        <v>144019819.87768459</v>
      </c>
      <c r="G47" s="81"/>
      <c r="H47" s="81"/>
      <c r="I47" s="81"/>
      <c r="J47" s="82">
        <f t="shared" si="2"/>
        <v>0.25251059213323362</v>
      </c>
      <c r="K47" s="81"/>
      <c r="L47" s="81">
        <f t="shared" si="3"/>
        <v>33</v>
      </c>
      <c r="M47" s="81"/>
      <c r="N47" s="81"/>
      <c r="O47" s="81"/>
      <c r="P47" s="81">
        <f t="shared" si="4"/>
        <v>125549.80246446228</v>
      </c>
      <c r="Q47" s="81"/>
      <c r="R47" s="81"/>
      <c r="S47" s="81"/>
      <c r="T47" s="82">
        <f t="shared" si="5"/>
        <v>1.1733352305909068E-2</v>
      </c>
      <c r="U47" s="231"/>
      <c r="V47" s="10"/>
    </row>
    <row r="48" spans="4:22" x14ac:dyDescent="0.3">
      <c r="D48" s="79">
        <f t="shared" si="0"/>
        <v>43950</v>
      </c>
      <c r="E48" s="80"/>
      <c r="F48" s="81">
        <f t="shared" si="1"/>
        <v>180386349.87392038</v>
      </c>
      <c r="G48" s="81"/>
      <c r="H48" s="81"/>
      <c r="I48" s="81"/>
      <c r="J48" s="82">
        <f t="shared" si="2"/>
        <v>0.25251059213323362</v>
      </c>
      <c r="K48" s="81"/>
      <c r="L48" s="81">
        <f t="shared" si="3"/>
        <v>34</v>
      </c>
      <c r="M48" s="81"/>
      <c r="N48" s="81"/>
      <c r="O48" s="81"/>
      <c r="P48" s="81">
        <f t="shared" si="4"/>
        <v>127022.92252871511</v>
      </c>
      <c r="Q48" s="81"/>
      <c r="R48" s="81"/>
      <c r="S48" s="81"/>
      <c r="T48" s="82">
        <f t="shared" si="5"/>
        <v>1.1733352305909068E-2</v>
      </c>
      <c r="U48" s="231"/>
      <c r="V48" s="10"/>
    </row>
    <row r="49" spans="4:22" x14ac:dyDescent="0.3">
      <c r="D49" s="79">
        <f t="shared" si="0"/>
        <v>43951</v>
      </c>
      <c r="E49" s="80"/>
      <c r="F49" s="81">
        <f t="shared" si="1"/>
        <v>225935813.89333665</v>
      </c>
      <c r="G49" s="81"/>
      <c r="H49" s="81"/>
      <c r="I49" s="81"/>
      <c r="J49" s="82">
        <f t="shared" si="2"/>
        <v>0.25251059213323362</v>
      </c>
      <c r="K49" s="81"/>
      <c r="L49" s="81">
        <f t="shared" si="3"/>
        <v>35</v>
      </c>
      <c r="M49" s="81"/>
      <c r="N49" s="81"/>
      <c r="O49" s="81"/>
      <c r="P49" s="81">
        <f t="shared" si="4"/>
        <v>128513.32722967071</v>
      </c>
      <c r="Q49" s="81"/>
      <c r="R49" s="81"/>
      <c r="S49" s="81"/>
      <c r="T49" s="82">
        <f t="shared" si="5"/>
        <v>1.1733352305909068E-2</v>
      </c>
      <c r="U49" s="231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282987000.04364717</v>
      </c>
      <c r="G50" s="81"/>
      <c r="H50" s="81"/>
      <c r="I50" s="81"/>
      <c r="J50" s="82">
        <f t="shared" si="2"/>
        <v>0.25251059213323362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130021.21937406102</v>
      </c>
      <c r="Q50" s="81"/>
      <c r="R50" s="81"/>
      <c r="S50" s="81"/>
      <c r="T50" s="82">
        <f t="shared" si="5"/>
        <v>1.1733352305909068E-2</v>
      </c>
      <c r="U50" s="231"/>
      <c r="V50" s="10"/>
    </row>
    <row r="51" spans="4:22" x14ac:dyDescent="0.3">
      <c r="D51" s="79">
        <f t="shared" si="0"/>
        <v>43953</v>
      </c>
      <c r="E51" s="80"/>
      <c r="F51" s="81">
        <f t="shared" si="6"/>
        <v>354444214.99067593</v>
      </c>
      <c r="G51" s="81"/>
      <c r="H51" s="81"/>
      <c r="I51" s="81"/>
      <c r="J51" s="82">
        <f t="shared" si="2"/>
        <v>0.25251059213323362</v>
      </c>
      <c r="K51" s="81"/>
      <c r="L51" s="81">
        <f t="shared" si="3"/>
        <v>37</v>
      </c>
      <c r="M51" s="81"/>
      <c r="N51" s="81"/>
      <c r="O51" s="81"/>
      <c r="P51" s="81">
        <f t="shared" si="7"/>
        <v>131546.80414822078</v>
      </c>
      <c r="Q51" s="81"/>
      <c r="R51" s="81"/>
      <c r="S51" s="81"/>
      <c r="T51" s="82">
        <f t="shared" si="5"/>
        <v>1.1733352305909068E-2</v>
      </c>
      <c r="U51" s="231"/>
      <c r="V51" s="10"/>
    </row>
    <row r="52" spans="4:22" x14ac:dyDescent="0.3">
      <c r="D52" s="79">
        <f t="shared" si="0"/>
        <v>43954</v>
      </c>
      <c r="E52" s="80"/>
      <c r="F52" s="81">
        <f t="shared" si="6"/>
        <v>443945133.59617066</v>
      </c>
      <c r="G52" s="81"/>
      <c r="H52" s="81"/>
      <c r="I52" s="81"/>
      <c r="J52" s="82">
        <f t="shared" si="2"/>
        <v>0.25251059213323362</v>
      </c>
      <c r="K52" s="81"/>
      <c r="L52" s="81">
        <f t="shared" si="3"/>
        <v>38</v>
      </c>
      <c r="M52" s="81"/>
      <c r="N52" s="81"/>
      <c r="O52" s="81"/>
      <c r="P52" s="81">
        <f t="shared" si="7"/>
        <v>133090.28914600829</v>
      </c>
      <c r="Q52" s="81"/>
      <c r="R52" s="81"/>
      <c r="S52" s="81"/>
      <c r="T52" s="82">
        <f t="shared" si="5"/>
        <v>1.1733352305909068E-2</v>
      </c>
      <c r="U52" s="231"/>
      <c r="V52" s="10"/>
    </row>
    <row r="53" spans="4:22" x14ac:dyDescent="0.3">
      <c r="D53" s="79">
        <f t="shared" si="0"/>
        <v>43955</v>
      </c>
      <c r="E53" s="80"/>
      <c r="F53" s="81">
        <f t="shared" si="6"/>
        <v>556045982.15520716</v>
      </c>
      <c r="G53" s="81"/>
      <c r="H53" s="81"/>
      <c r="I53" s="81"/>
      <c r="J53" s="82">
        <f t="shared" si="2"/>
        <v>0.25251059213323362</v>
      </c>
      <c r="K53" s="81"/>
      <c r="L53" s="81">
        <f t="shared" si="3"/>
        <v>39</v>
      </c>
      <c r="M53" s="81"/>
      <c r="N53" s="81"/>
      <c r="O53" s="81"/>
      <c r="P53" s="81">
        <f t="shared" si="7"/>
        <v>134651.88439705371</v>
      </c>
      <c r="Q53" s="81"/>
      <c r="R53" s="81"/>
      <c r="S53" s="81"/>
      <c r="T53" s="82">
        <f t="shared" si="5"/>
        <v>1.1733352305909068E-2</v>
      </c>
      <c r="U53" s="231"/>
      <c r="V53" s="10"/>
    </row>
    <row r="54" spans="4:22" x14ac:dyDescent="0.3">
      <c r="D54" s="79">
        <f t="shared" si="0"/>
        <v>43956</v>
      </c>
      <c r="E54" s="80"/>
      <c r="F54" s="81">
        <f t="shared" si="6"/>
        <v>696453482.36252391</v>
      </c>
      <c r="G54" s="81"/>
      <c r="H54" s="81"/>
      <c r="I54" s="81"/>
      <c r="J54" s="82">
        <f t="shared" si="2"/>
        <v>0.25251059213323362</v>
      </c>
      <c r="K54" s="81"/>
      <c r="L54" s="81">
        <f t="shared" si="3"/>
        <v>40</v>
      </c>
      <c r="M54" s="81"/>
      <c r="N54" s="81"/>
      <c r="O54" s="81"/>
      <c r="P54" s="81">
        <f t="shared" si="7"/>
        <v>136231.80239533889</v>
      </c>
      <c r="Q54" s="81"/>
      <c r="R54" s="81"/>
      <c r="S54" s="81"/>
      <c r="T54" s="82">
        <f t="shared" si="5"/>
        <v>1.1733352305909068E-2</v>
      </c>
      <c r="U54" s="231"/>
      <c r="V54" s="10"/>
    </row>
    <row r="55" spans="4:22" x14ac:dyDescent="0.3">
      <c r="D55" s="79">
        <f t="shared" si="0"/>
        <v>43957</v>
      </c>
      <c r="E55" s="80"/>
      <c r="F55" s="81">
        <f t="shared" si="6"/>
        <v>872315363.58713734</v>
      </c>
      <c r="G55" s="81"/>
      <c r="H55" s="81"/>
      <c r="I55" s="81"/>
      <c r="J55" s="82">
        <f t="shared" si="2"/>
        <v>0.25251059213323362</v>
      </c>
      <c r="K55" s="81"/>
      <c r="L55" s="81">
        <f t="shared" si="3"/>
        <v>41</v>
      </c>
      <c r="M55" s="81"/>
      <c r="N55" s="81"/>
      <c r="O55" s="81"/>
      <c r="P55" s="81">
        <f t="shared" si="7"/>
        <v>137830.25812811239</v>
      </c>
      <c r="Q55" s="81"/>
      <c r="R55" s="81"/>
      <c r="S55" s="81"/>
      <c r="T55" s="82">
        <f t="shared" si="5"/>
        <v>1.1733352305909068E-2</v>
      </c>
      <c r="U55" s="231"/>
      <c r="V55" s="10"/>
    </row>
    <row r="56" spans="4:22" x14ac:dyDescent="0.3">
      <c r="D56" s="79">
        <f t="shared" si="0"/>
        <v>43958</v>
      </c>
      <c r="E56" s="80"/>
      <c r="F56" s="81">
        <f t="shared" si="6"/>
        <v>1092584232.5734422</v>
      </c>
      <c r="G56" s="81"/>
      <c r="H56" s="81"/>
      <c r="I56" s="81"/>
      <c r="J56" s="82">
        <f t="shared" si="2"/>
        <v>0.25251059213323362</v>
      </c>
      <c r="K56" s="81"/>
      <c r="L56" s="81">
        <f t="shared" si="3"/>
        <v>42</v>
      </c>
      <c r="M56" s="81"/>
      <c r="N56" s="81"/>
      <c r="O56" s="81"/>
      <c r="P56" s="81">
        <f t="shared" si="7"/>
        <v>139447.46910514391</v>
      </c>
      <c r="Q56" s="81"/>
      <c r="R56" s="81"/>
      <c r="S56" s="81"/>
      <c r="T56" s="82">
        <f t="shared" si="5"/>
        <v>1.1733352305909068E-2</v>
      </c>
      <c r="U56" s="231"/>
      <c r="V56" s="10"/>
    </row>
    <row r="57" spans="4:22" x14ac:dyDescent="0.3">
      <c r="D57" s="79">
        <f t="shared" si="0"/>
        <v>43959</v>
      </c>
      <c r="E57" s="80"/>
      <c r="F57" s="81">
        <f t="shared" si="6"/>
        <v>1368473324.0959966</v>
      </c>
      <c r="G57" s="81"/>
      <c r="H57" s="81"/>
      <c r="I57" s="81"/>
      <c r="J57" s="82">
        <f t="shared" si="2"/>
        <v>0.25251059213323362</v>
      </c>
      <c r="K57" s="81"/>
      <c r="L57" s="81">
        <f t="shared" si="3"/>
        <v>43</v>
      </c>
      <c r="M57" s="81"/>
      <c r="N57" s="81"/>
      <c r="O57" s="81"/>
      <c r="P57" s="81">
        <f t="shared" si="7"/>
        <v>141083.65538832193</v>
      </c>
      <c r="Q57" s="81"/>
      <c r="R57" s="81"/>
      <c r="S57" s="81"/>
      <c r="T57" s="82">
        <f t="shared" si="5"/>
        <v>1.1733352305909068E-2</v>
      </c>
      <c r="U57" s="231"/>
      <c r="V57" s="10"/>
    </row>
    <row r="58" spans="4:22" x14ac:dyDescent="0.3">
      <c r="D58" s="79">
        <f t="shared" si="0"/>
        <v>43960</v>
      </c>
      <c r="E58" s="80"/>
      <c r="F58" s="81">
        <f t="shared" si="6"/>
        <v>1714027333.4820111</v>
      </c>
      <c r="G58" s="81"/>
      <c r="H58" s="81"/>
      <c r="I58" s="81"/>
      <c r="J58" s="82">
        <f t="shared" si="2"/>
        <v>0.25251059213323362</v>
      </c>
      <c r="K58" s="81"/>
      <c r="L58" s="81">
        <f t="shared" si="3"/>
        <v>44</v>
      </c>
      <c r="M58" s="81"/>
      <c r="N58" s="81"/>
      <c r="O58" s="81"/>
      <c r="P58" s="81">
        <f t="shared" si="7"/>
        <v>142739.03962159858</v>
      </c>
      <c r="Q58" s="81"/>
      <c r="R58" s="81"/>
      <c r="S58" s="81"/>
      <c r="T58" s="82">
        <f t="shared" si="5"/>
        <v>1.1733352305909068E-2</v>
      </c>
      <c r="U58" s="231"/>
      <c r="V58" s="10"/>
    </row>
    <row r="59" spans="4:22" x14ac:dyDescent="0.3">
      <c r="D59" s="79">
        <f t="shared" si="0"/>
        <v>43961</v>
      </c>
      <c r="E59" s="80"/>
      <c r="F59" s="81">
        <f t="shared" si="6"/>
        <v>2146837390.392101</v>
      </c>
      <c r="G59" s="81"/>
      <c r="H59" s="81"/>
      <c r="I59" s="81"/>
      <c r="J59" s="82">
        <f t="shared" si="2"/>
        <v>0.25251059213323362</v>
      </c>
      <c r="K59" s="81"/>
      <c r="L59" s="81">
        <f t="shared" si="3"/>
        <v>45</v>
      </c>
      <c r="M59" s="81"/>
      <c r="N59" s="81"/>
      <c r="O59" s="81"/>
      <c r="P59" s="81">
        <f t="shared" si="7"/>
        <v>144413.84706128592</v>
      </c>
      <c r="Q59" s="81"/>
      <c r="R59" s="81"/>
      <c r="S59" s="81"/>
      <c r="T59" s="82">
        <f t="shared" si="5"/>
        <v>1.1733352305909068E-2</v>
      </c>
      <c r="U59" s="231"/>
      <c r="V59" s="10"/>
    </row>
    <row r="60" spans="4:22" ht="15" thickBot="1" x14ac:dyDescent="0.35">
      <c r="D60" s="281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2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9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mkeresman</cp:lastModifiedBy>
  <cp:lastPrinted>2020-05-22T00:26:28Z</cp:lastPrinted>
  <dcterms:created xsi:type="dcterms:W3CDTF">2020-03-28T00:34:23Z</dcterms:created>
  <dcterms:modified xsi:type="dcterms:W3CDTF">2020-05-26T02:14:35Z</dcterms:modified>
</cp:coreProperties>
</file>