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D8218E1D-1249-495E-B89B-B41CF294787F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Table'!$A$1:$CI$90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7" i="2" l="1"/>
  <c r="R87" i="2"/>
  <c r="Q87" i="2"/>
  <c r="P87" i="2"/>
  <c r="N87" i="2"/>
  <c r="M87" i="2"/>
  <c r="L87" i="2"/>
  <c r="K87" i="2"/>
  <c r="J87" i="2"/>
  <c r="I87" i="2"/>
  <c r="H87" i="2"/>
  <c r="G87" i="2"/>
  <c r="E87" i="2"/>
  <c r="S80" i="2"/>
  <c r="K80" i="2"/>
  <c r="U80" i="2" s="1"/>
  <c r="BO89" i="1"/>
  <c r="BN89" i="1"/>
  <c r="BK89" i="1"/>
  <c r="BI89" i="1"/>
  <c r="BG89" i="1"/>
  <c r="BE89" i="1"/>
  <c r="BD89" i="1"/>
  <c r="BC89" i="1"/>
  <c r="BB89" i="1"/>
  <c r="BA89" i="1"/>
  <c r="AZ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BO88" i="1"/>
  <c r="BN88" i="1"/>
  <c r="BK88" i="1"/>
  <c r="BJ88" i="1"/>
  <c r="BI88" i="1"/>
  <c r="BG88" i="1"/>
  <c r="BE88" i="1"/>
  <c r="BD88" i="1"/>
  <c r="BC88" i="1"/>
  <c r="BB88" i="1"/>
  <c r="BA88" i="1"/>
  <c r="AZ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D89" i="1"/>
  <c r="D88" i="1"/>
  <c r="BM79" i="1"/>
  <c r="BM88" i="1" s="1"/>
  <c r="BD79" i="1"/>
  <c r="BO79" i="1" s="1"/>
  <c r="BQ79" i="1" s="1"/>
  <c r="AZ79" i="1"/>
  <c r="BJ79" i="1" s="1"/>
  <c r="BJ89" i="1" s="1"/>
  <c r="AW79" i="1"/>
  <c r="AK79" i="1"/>
  <c r="AQ79" i="1" s="1"/>
  <c r="AF79" i="1"/>
  <c r="AH79" i="1" s="1"/>
  <c r="Z79" i="1"/>
  <c r="AD79" i="1" s="1"/>
  <c r="P79" i="1"/>
  <c r="R79" i="1" s="1"/>
  <c r="J79" i="1"/>
  <c r="H79" i="1"/>
  <c r="N79" i="1" s="1"/>
  <c r="I20" i="3"/>
  <c r="BV79" i="1"/>
  <c r="BV80" i="1" s="1"/>
  <c r="BV81" i="1" s="1"/>
  <c r="BV82" i="1" s="1"/>
  <c r="BV83" i="1" s="1"/>
  <c r="BV84" i="1" s="1"/>
  <c r="BV85" i="1" s="1"/>
  <c r="BV86" i="1" s="1"/>
  <c r="B79" i="1"/>
  <c r="B80" i="1" s="1"/>
  <c r="B81" i="1" s="1"/>
  <c r="B82" i="1" s="1"/>
  <c r="B83" i="1" s="1"/>
  <c r="B84" i="1" s="1"/>
  <c r="B85" i="1" s="1"/>
  <c r="B86" i="1" s="1"/>
  <c r="BM89" i="1" l="1"/>
  <c r="M80" i="2"/>
  <c r="Q80" i="2"/>
  <c r="BL79" i="1"/>
  <c r="AB79" i="1"/>
  <c r="BF79" i="1"/>
  <c r="AU79" i="1"/>
  <c r="Q88" i="2"/>
  <c r="S79" i="2"/>
  <c r="BF88" i="1" l="1"/>
  <c r="BF89" i="1"/>
  <c r="BL89" i="1"/>
  <c r="BL88" i="1"/>
  <c r="K79" i="2"/>
  <c r="M79" i="2" s="1"/>
  <c r="BD78" i="1"/>
  <c r="AZ78" i="1"/>
  <c r="AK78" i="1"/>
  <c r="AQ78" i="1" s="1"/>
  <c r="AF78" i="1"/>
  <c r="AH78" i="1" s="1"/>
  <c r="P78" i="1"/>
  <c r="R78" i="1" s="1"/>
  <c r="U79" i="2" l="1"/>
  <c r="BJ78" i="1"/>
  <c r="Q79" i="2"/>
  <c r="BF78" i="1"/>
  <c r="BL78" i="1" l="1"/>
  <c r="S78" i="2"/>
  <c r="BD77" i="1"/>
  <c r="AZ77" i="1"/>
  <c r="AK77" i="1"/>
  <c r="AQ77" i="1" s="1"/>
  <c r="AF77" i="1"/>
  <c r="AH77" i="1" s="1"/>
  <c r="P77" i="1"/>
  <c r="R77" i="1" s="1"/>
  <c r="K78" i="2"/>
  <c r="Q78" i="2" s="1"/>
  <c r="W78" i="2"/>
  <c r="W79" i="2" s="1"/>
  <c r="W80" i="2" s="1"/>
  <c r="W81" i="2" s="1"/>
  <c r="W82" i="2" s="1"/>
  <c r="W83" i="2" s="1"/>
  <c r="W84" i="2" s="1"/>
  <c r="W85" i="2" s="1"/>
  <c r="C78" i="2"/>
  <c r="C79" i="2" s="1"/>
  <c r="C80" i="2" s="1"/>
  <c r="C81" i="2" s="1"/>
  <c r="C82" i="2" s="1"/>
  <c r="C83" i="2" s="1"/>
  <c r="C84" i="2" s="1"/>
  <c r="C85" i="2" s="1"/>
  <c r="BF77" i="1" l="1"/>
  <c r="BJ77" i="1"/>
  <c r="U78" i="2"/>
  <c r="M78" i="2"/>
  <c r="BD76" i="1"/>
  <c r="AZ76" i="1"/>
  <c r="BJ76" i="1" s="1"/>
  <c r="AK76" i="1"/>
  <c r="AQ76" i="1" s="1"/>
  <c r="AF76" i="1"/>
  <c r="AH76" i="1" s="1"/>
  <c r="P76" i="1"/>
  <c r="S77" i="2"/>
  <c r="K77" i="2"/>
  <c r="Q77" i="2" s="1"/>
  <c r="R76" i="1" l="1"/>
  <c r="BL77" i="1"/>
  <c r="BF76" i="1"/>
  <c r="BL76" i="1"/>
  <c r="U77" i="2"/>
  <c r="M77" i="2"/>
  <c r="S76" i="2"/>
  <c r="D117" i="1" l="1"/>
  <c r="P75" i="1"/>
  <c r="BD75" i="1"/>
  <c r="AZ75" i="1"/>
  <c r="BJ75" i="1" s="1"/>
  <c r="AK75" i="1"/>
  <c r="AQ75" i="1" s="1"/>
  <c r="AF75" i="1"/>
  <c r="AH75" i="1" s="1"/>
  <c r="K76" i="2"/>
  <c r="M76" i="2" s="1"/>
  <c r="BF75" i="1" l="1"/>
  <c r="BL75" i="1"/>
  <c r="U76" i="2"/>
  <c r="Q76" i="2"/>
  <c r="D121" i="1"/>
  <c r="D120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Q64" i="3"/>
  <c r="Q80" i="3"/>
  <c r="D103" i="1"/>
  <c r="K91" i="2"/>
  <c r="I59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AF68" i="1" l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K69" i="2" l="1"/>
  <c r="Q69" i="2" s="1"/>
  <c r="BD68" i="1"/>
  <c r="AZ68" i="1"/>
  <c r="AK68" i="1"/>
  <c r="AQ68" i="1" s="1"/>
  <c r="U69" i="2" l="1"/>
  <c r="M69" i="2"/>
  <c r="BF68" i="1"/>
  <c r="S68" i="2"/>
  <c r="D65" i="1"/>
  <c r="P68" i="1" s="1"/>
  <c r="R75" i="1" s="1"/>
  <c r="Q67" i="2"/>
  <c r="K68" i="2"/>
  <c r="M68" i="2" s="1"/>
  <c r="BD67" i="1"/>
  <c r="AZ67" i="1"/>
  <c r="AK67" i="1"/>
  <c r="R68" i="1" l="1"/>
  <c r="AQ67" i="1"/>
  <c r="Q68" i="2"/>
  <c r="U68" i="2"/>
  <c r="BF67" i="1"/>
  <c r="D111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8" i="3" l="1"/>
  <c r="I85" i="3"/>
  <c r="L85" i="3" s="1"/>
  <c r="I77" i="3"/>
  <c r="I79" i="3" s="1"/>
  <c r="I76" i="3"/>
  <c r="BD64" i="1"/>
  <c r="AZ64" i="1"/>
  <c r="AK64" i="1"/>
  <c r="AQ64" i="1" s="1"/>
  <c r="K65" i="2"/>
  <c r="Q65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L88" i="3" l="1"/>
  <c r="I78" i="3"/>
  <c r="I80" i="3" s="1"/>
  <c r="I81" i="3" s="1"/>
  <c r="BF64" i="1"/>
  <c r="U65" i="2"/>
  <c r="M65" i="2"/>
  <c r="S64" i="2"/>
  <c r="N80" i="3" l="1"/>
  <c r="N81" i="3" s="1"/>
  <c r="I87" i="3"/>
  <c r="L87" i="3" s="1"/>
  <c r="K64" i="2"/>
  <c r="Q64" i="2" s="1"/>
  <c r="BD63" i="1"/>
  <c r="AZ63" i="1"/>
  <c r="AK63" i="1"/>
  <c r="AQ63" i="1" s="1"/>
  <c r="W18" i="3"/>
  <c r="S18" i="3"/>
  <c r="I89" i="3" l="1"/>
  <c r="P89" i="3" s="1"/>
  <c r="U64" i="2"/>
  <c r="M64" i="2"/>
  <c r="BF63" i="1"/>
  <c r="L96" i="3" l="1"/>
  <c r="L89" i="3"/>
  <c r="L95" i="3"/>
  <c r="S63" i="2"/>
  <c r="BD62" i="1"/>
  <c r="AZ62" i="1"/>
  <c r="BJ68" i="1" s="1"/>
  <c r="AK62" i="1"/>
  <c r="AQ62" i="1" s="1"/>
  <c r="K63" i="2"/>
  <c r="M63" i="2" s="1"/>
  <c r="W17" i="3"/>
  <c r="S17" i="3"/>
  <c r="BL68" i="1" l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W16" i="3"/>
  <c r="S16" i="3"/>
  <c r="BF61" i="1" l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7" i="3"/>
  <c r="I54" i="3"/>
  <c r="L54" i="3" l="1"/>
  <c r="L57" i="3"/>
  <c r="AQ60" i="1"/>
  <c r="BF60" i="1"/>
  <c r="S60" i="2"/>
  <c r="T87" i="2"/>
  <c r="S59" i="2"/>
  <c r="K60" i="2"/>
  <c r="BD59" i="1"/>
  <c r="AZ59" i="1"/>
  <c r="AK59" i="1"/>
  <c r="AQ59" i="1" s="1"/>
  <c r="W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W13" i="3"/>
  <c r="BD58" i="1"/>
  <c r="AZ58" i="1"/>
  <c r="AK58" i="1"/>
  <c r="AQ58" i="1" s="1"/>
  <c r="U59" i="2" l="1"/>
  <c r="BF58" i="1"/>
  <c r="S58" i="2"/>
  <c r="Y11" i="3" l="1"/>
  <c r="Y10" i="3"/>
  <c r="Y9" i="3"/>
  <c r="Y8" i="3"/>
  <c r="Y7" i="3"/>
  <c r="K58" i="2" l="1"/>
  <c r="BD57" i="1"/>
  <c r="AZ57" i="1"/>
  <c r="AK57" i="1"/>
  <c r="AQ57" i="1" s="1"/>
  <c r="M58" i="2" l="1"/>
  <c r="U58" i="2"/>
  <c r="BF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BD56" i="1"/>
  <c r="AZ56" i="1"/>
  <c r="AK56" i="1"/>
  <c r="AQ56" i="1" s="1"/>
  <c r="I58" i="3" l="1"/>
  <c r="L56" i="3"/>
  <c r="N49" i="3"/>
  <c r="I50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4" i="3" l="1"/>
  <c r="I60" i="3"/>
  <c r="L60" i="3" s="1"/>
  <c r="L66" i="3"/>
  <c r="L65" i="3"/>
  <c r="L58" i="3"/>
  <c r="N50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99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87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l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37" i="1"/>
  <c r="B140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AW77" i="1"/>
  <c r="BM77" i="1"/>
  <c r="BQ52" i="1"/>
  <c r="BO53" i="1"/>
  <c r="Z34" i="1"/>
  <c r="AD34" i="1" s="1"/>
  <c r="H31" i="1"/>
  <c r="J31" i="1"/>
  <c r="AU30" i="1"/>
  <c r="AB30" i="1"/>
  <c r="BM78" i="1" l="1"/>
  <c r="AW78" i="1"/>
  <c r="J32" i="1"/>
  <c r="N31" i="1"/>
  <c r="BQ53" i="1"/>
  <c r="BO54" i="1"/>
  <c r="H32" i="1"/>
  <c r="AB31" i="1"/>
  <c r="AU31" i="1"/>
  <c r="Z35" i="1"/>
  <c r="AD35" i="1" s="1"/>
  <c r="J33" i="1" l="1"/>
  <c r="N32" i="1"/>
  <c r="H33" i="1"/>
  <c r="BQ54" i="1"/>
  <c r="BO55" i="1"/>
  <c r="AU32" i="1"/>
  <c r="AB32" i="1"/>
  <c r="Z36" i="1"/>
  <c r="AD36" i="1" s="1"/>
  <c r="N33" i="1" l="1"/>
  <c r="AB33" i="1"/>
  <c r="AU33" i="1"/>
  <c r="H34" i="1"/>
  <c r="N34" i="1" s="1"/>
  <c r="BQ55" i="1"/>
  <c r="BO56" i="1"/>
  <c r="J34" i="1"/>
  <c r="Z37" i="1"/>
  <c r="AD37" i="1" s="1"/>
  <c r="AB34" i="1" l="1"/>
  <c r="J35" i="1"/>
  <c r="H35" i="1"/>
  <c r="N35" i="1" s="1"/>
  <c r="AU34" i="1"/>
  <c r="BQ56" i="1"/>
  <c r="BO57" i="1"/>
  <c r="Z38" i="1"/>
  <c r="AD38" i="1" s="1"/>
  <c r="J36" i="1"/>
  <c r="H36" i="1" l="1"/>
  <c r="N36" i="1" s="1"/>
  <c r="AB35" i="1"/>
  <c r="AU35" i="1"/>
  <c r="BQ57" i="1"/>
  <c r="BO58" i="1"/>
  <c r="Z39" i="1"/>
  <c r="AD39" i="1" s="1"/>
  <c r="J37" i="1"/>
  <c r="H37" i="1" l="1"/>
  <c r="N37" i="1" s="1"/>
  <c r="AU36" i="1"/>
  <c r="AB36" i="1"/>
  <c r="BQ58" i="1"/>
  <c r="BO59" i="1"/>
  <c r="Z40" i="1"/>
  <c r="AD40" i="1" s="1"/>
  <c r="J38" i="1"/>
  <c r="H38" i="1"/>
  <c r="N38" i="1" s="1"/>
  <c r="AU37" i="1"/>
  <c r="AB37" i="1"/>
  <c r="BQ59" i="1" l="1"/>
  <c r="BO60" i="1"/>
  <c r="Z41" i="1"/>
  <c r="AD41" i="1" s="1"/>
  <c r="AU38" i="1"/>
  <c r="J39" i="1"/>
  <c r="H39" i="1"/>
  <c r="N39" i="1" s="1"/>
  <c r="AB38" i="1"/>
  <c r="BQ60" i="1" l="1"/>
  <c r="BO61" i="1"/>
  <c r="H40" i="1"/>
  <c r="Z42" i="1"/>
  <c r="AD42" i="1" s="1"/>
  <c r="J40" i="1"/>
  <c r="AU39" i="1"/>
  <c r="AB39" i="1"/>
  <c r="N40" i="1" l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N55" i="1"/>
  <c r="AD56" i="1"/>
  <c r="Z57" i="1"/>
  <c r="J56" i="1"/>
  <c r="H56" i="1"/>
  <c r="AU55" i="1"/>
  <c r="AB55" i="1"/>
  <c r="BQ78" i="1" l="1"/>
  <c r="N56" i="1"/>
  <c r="H57" i="1"/>
  <c r="J57" i="1"/>
  <c r="AD57" i="1"/>
  <c r="Z58" i="1"/>
  <c r="AB57" i="1"/>
  <c r="AU56" i="1"/>
  <c r="AB56" i="1"/>
  <c r="AD58" i="1" l="1"/>
  <c r="Z59" i="1"/>
  <c r="Z60" i="1" s="1"/>
  <c r="AU57" i="1"/>
  <c r="N57" i="1"/>
  <c r="J58" i="1"/>
  <c r="H58" i="1"/>
  <c r="AB58" i="1" s="1"/>
  <c r="Z61" i="1" l="1"/>
  <c r="AD60" i="1"/>
  <c r="AD59" i="1"/>
  <c r="AU58" i="1"/>
  <c r="J59" i="1"/>
  <c r="H59" i="1"/>
  <c r="N58" i="1"/>
  <c r="Z62" i="1" l="1"/>
  <c r="AD61" i="1"/>
  <c r="J60" i="1"/>
  <c r="H60" i="1"/>
  <c r="AU59" i="1"/>
  <c r="N59" i="1"/>
  <c r="AB59" i="1"/>
  <c r="Y12" i="3"/>
  <c r="Y13" i="3"/>
  <c r="AD62" i="1" l="1"/>
  <c r="Z63" i="1"/>
  <c r="J61" i="1"/>
  <c r="H61" i="1"/>
  <c r="AU60" i="1"/>
  <c r="N60" i="1"/>
  <c r="AB60" i="1"/>
  <c r="Z64" i="1" l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Y17" i="3"/>
  <c r="Y18" i="3"/>
  <c r="Y15" i="3"/>
  <c r="Y16" i="3"/>
  <c r="Y14" i="3"/>
  <c r="Z68" i="1" l="1"/>
  <c r="Z69" i="1" s="1"/>
  <c r="AD67" i="1"/>
  <c r="H65" i="1"/>
  <c r="J65" i="1"/>
  <c r="AU64" i="1"/>
  <c r="N64" i="1"/>
  <c r="AB64" i="1"/>
  <c r="Z70" i="1" l="1"/>
  <c r="Z71" i="1" s="1"/>
  <c r="AD69" i="1"/>
  <c r="AD68" i="1"/>
  <c r="AB65" i="1"/>
  <c r="J66" i="1"/>
  <c r="H66" i="1"/>
  <c r="AU65" i="1"/>
  <c r="N65" i="1"/>
  <c r="Z72" i="1" l="1"/>
  <c r="AD71" i="1"/>
  <c r="AD70" i="1"/>
  <c r="J67" i="1"/>
  <c r="H67" i="1"/>
  <c r="AU66" i="1"/>
  <c r="N66" i="1"/>
  <c r="AB66" i="1"/>
  <c r="Y20" i="3"/>
  <c r="Y19" i="3"/>
  <c r="Z73" i="1" l="1"/>
  <c r="AD72" i="1"/>
  <c r="H68" i="1"/>
  <c r="J68" i="1"/>
  <c r="AU67" i="1"/>
  <c r="N67" i="1"/>
  <c r="AB67" i="1"/>
  <c r="Z74" i="1" l="1"/>
  <c r="AD73" i="1"/>
  <c r="J69" i="1"/>
  <c r="H69" i="1"/>
  <c r="AU68" i="1"/>
  <c r="N68" i="1"/>
  <c r="AB68" i="1"/>
  <c r="Z75" i="1" l="1"/>
  <c r="AD74" i="1"/>
  <c r="J70" i="1"/>
  <c r="H70" i="1"/>
  <c r="AU69" i="1"/>
  <c r="AB69" i="1"/>
  <c r="N69" i="1"/>
  <c r="Y22" i="3"/>
  <c r="Y21" i="3"/>
  <c r="Z76" i="1" l="1"/>
  <c r="AD75" i="1"/>
  <c r="H71" i="1"/>
  <c r="J71" i="1"/>
  <c r="N70" i="1"/>
  <c r="AU70" i="1"/>
  <c r="AB70" i="1"/>
  <c r="Z77" i="1" l="1"/>
  <c r="AD76" i="1"/>
  <c r="AU71" i="1"/>
  <c r="H72" i="1"/>
  <c r="AB71" i="1"/>
  <c r="N71" i="1"/>
  <c r="J72" i="1"/>
  <c r="Y24" i="3"/>
  <c r="Y23" i="3"/>
  <c r="AD77" i="1" l="1"/>
  <c r="Z78" i="1"/>
  <c r="D115" i="1"/>
  <c r="J73" i="1"/>
  <c r="H73" i="1"/>
  <c r="AU72" i="1"/>
  <c r="AB72" i="1"/>
  <c r="N72" i="1"/>
  <c r="AD78" i="1" l="1"/>
  <c r="J74" i="1"/>
  <c r="H74" i="1"/>
  <c r="AU73" i="1"/>
  <c r="AB73" i="1"/>
  <c r="N73" i="1"/>
  <c r="Y26" i="3"/>
  <c r="Y25" i="3"/>
  <c r="I21" i="3" l="1"/>
  <c r="AJ21" i="2"/>
  <c r="AU74" i="1"/>
  <c r="J75" i="1"/>
  <c r="H75" i="1"/>
  <c r="AB74" i="1"/>
  <c r="N74" i="1"/>
  <c r="I35" i="3" l="1"/>
  <c r="I23" i="3"/>
  <c r="I25" i="3" s="1"/>
  <c r="I27" i="3" s="1"/>
  <c r="AU75" i="1"/>
  <c r="J76" i="1"/>
  <c r="H76" i="1"/>
  <c r="AB75" i="1"/>
  <c r="N75" i="1"/>
  <c r="Y30" i="3"/>
  <c r="Y31" i="3"/>
  <c r="Y28" i="3"/>
  <c r="Y29" i="3"/>
  <c r="U46" i="3"/>
  <c r="N27" i="3" l="1"/>
  <c r="N28" i="3" s="1"/>
  <c r="I34" i="3"/>
  <c r="AU76" i="1"/>
  <c r="J77" i="1"/>
  <c r="H77" i="1"/>
  <c r="N76" i="1"/>
  <c r="AB76" i="1"/>
  <c r="Y27" i="3"/>
  <c r="H78" i="1" l="1"/>
  <c r="J78" i="1"/>
  <c r="N77" i="1"/>
  <c r="AU77" i="1"/>
  <c r="AB77" i="1"/>
  <c r="T14" i="7" l="1"/>
  <c r="AU78" i="1"/>
  <c r="N78" i="1"/>
  <c r="AB78" i="1"/>
  <c r="P15" i="7" l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AF21" i="2"/>
  <c r="I32" i="3"/>
  <c r="Y32" i="3"/>
  <c r="L34" i="3" l="1"/>
  <c r="I36" i="3"/>
  <c r="U34" i="3" s="1"/>
  <c r="Y34" i="3" s="1"/>
  <c r="L32" i="3"/>
  <c r="L35" i="3"/>
  <c r="I28" i="3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Y33" i="3" l="1"/>
  <c r="L36" i="3"/>
  <c r="W34" i="3" s="1"/>
  <c r="W12" i="3" l="1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<sst xmlns="http://schemas.openxmlformats.org/spreadsheetml/2006/main" count="243" uniqueCount="135">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</sst>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Table'!$AF$26:$AF$75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Table'!$P$26:$P$75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Table'!$BL$40:$BL$75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91</xdr:row>
      <xdr:rowOff>0</xdr:rowOff>
    </xdr:from>
    <xdr:to>
      <xdr:col>53</xdr:col>
      <xdr:colOff>160020</xdr:colOff>
      <xdr:row>91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92</xdr:row>
      <xdr:rowOff>0</xdr:rowOff>
    </xdr:from>
    <xdr:to>
      <xdr:col>53</xdr:col>
      <xdr:colOff>160020</xdr:colOff>
      <xdr:row>92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101</xdr:row>
      <xdr:rowOff>99060</xdr:rowOff>
    </xdr:from>
    <xdr:to>
      <xdr:col>21</xdr:col>
      <xdr:colOff>274320</xdr:colOff>
      <xdr:row>102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101</xdr:row>
      <xdr:rowOff>129540</xdr:rowOff>
    </xdr:from>
    <xdr:to>
      <xdr:col>22</xdr:col>
      <xdr:colOff>38100</xdr:colOff>
      <xdr:row>102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96</xdr:col>
      <xdr:colOff>487680</xdr:colOff>
      <xdr:row>21</xdr:row>
      <xdr:rowOff>38100</xdr:rowOff>
    </xdr:from>
    <xdr:to>
      <xdr:col>102</xdr:col>
      <xdr:colOff>91440</xdr:colOff>
      <xdr:row>39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104</xdr:col>
      <xdr:colOff>281940</xdr:colOff>
      <xdr:row>1</xdr:row>
      <xdr:rowOff>182880</xdr:rowOff>
    </xdr:from>
    <xdr:to>
      <xdr:col>109</xdr:col>
      <xdr:colOff>541020</xdr:colOff>
      <xdr:row>18</xdr:row>
      <xdr:rowOff>160020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95</xdr:col>
      <xdr:colOff>533400</xdr:colOff>
      <xdr:row>1</xdr:row>
      <xdr:rowOff>38100</xdr:rowOff>
    </xdr:from>
    <xdr:to>
      <xdr:col>103</xdr:col>
      <xdr:colOff>228600</xdr:colOff>
      <xdr:row>18</xdr:row>
      <xdr:rowOff>99060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27</xdr:row>
      <xdr:rowOff>0</xdr:rowOff>
    </xdr:from>
    <xdr:to>
      <xdr:col>26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26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31</xdr:row>
      <xdr:rowOff>0</xdr:rowOff>
    </xdr:from>
    <xdr:to>
      <xdr:col>26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32</xdr:row>
      <xdr:rowOff>0</xdr:rowOff>
    </xdr:from>
    <xdr:to>
      <xdr:col>26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33</xdr:row>
      <xdr:rowOff>0</xdr:rowOff>
    </xdr:from>
    <xdr:to>
      <xdr:col>26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57"/>
  <sheetViews>
    <sheetView tabSelected="1" zoomScaleNormal="100" workbookViewId="0">
      <selection activeCell="BF83" sqref="BF83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9.4414062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92" t="s">
        <v>5</v>
      </c>
      <c r="C1" s="492"/>
      <c r="D1" s="492"/>
    </row>
    <row r="2" spans="2:89" ht="15.6" x14ac:dyDescent="0.3">
      <c r="B2" s="492" t="s">
        <v>6</v>
      </c>
      <c r="C2" s="492"/>
      <c r="D2" s="492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95" t="s">
        <v>13</v>
      </c>
      <c r="C3" s="495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93" t="s">
        <v>11</v>
      </c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11"/>
      <c r="AD4" s="328"/>
      <c r="AE4" s="451"/>
      <c r="AF4" s="451"/>
      <c r="AG4" s="451"/>
      <c r="AH4" s="451"/>
      <c r="AI4" s="12"/>
      <c r="AK4" s="475" t="s">
        <v>14</v>
      </c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7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96" t="s">
        <v>12</v>
      </c>
      <c r="G6" s="496"/>
      <c r="H6" s="496"/>
      <c r="I6" s="496"/>
      <c r="J6" s="496"/>
      <c r="K6" s="496"/>
      <c r="L6" s="496"/>
      <c r="M6" s="338"/>
      <c r="N6" s="338"/>
      <c r="O6" s="339"/>
      <c r="P6" s="502" t="s">
        <v>126</v>
      </c>
      <c r="Q6" s="496"/>
      <c r="R6" s="496"/>
      <c r="S6" s="496"/>
      <c r="T6" s="503"/>
      <c r="U6" s="3"/>
      <c r="V6" s="8" t="s">
        <v>7</v>
      </c>
      <c r="W6" s="30"/>
      <c r="X6" s="497">
        <v>1.2500000000000001E-2</v>
      </c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8"/>
      <c r="AJ6" s="3"/>
      <c r="AK6" s="484" t="s">
        <v>27</v>
      </c>
      <c r="AL6" s="485"/>
      <c r="AM6" s="485"/>
      <c r="AN6" s="485"/>
      <c r="AO6" s="485"/>
      <c r="AP6" s="485"/>
      <c r="AQ6" s="485"/>
      <c r="AR6" s="485"/>
      <c r="AS6" s="485"/>
      <c r="AT6" s="485"/>
      <c r="AU6" s="485"/>
      <c r="AV6" s="485"/>
      <c r="AW6" s="485"/>
      <c r="AX6" s="486"/>
      <c r="AY6" s="3"/>
      <c r="AZ6" s="487" t="s">
        <v>7</v>
      </c>
      <c r="BA6" s="479"/>
      <c r="BB6" s="479"/>
      <c r="BC6" s="97"/>
      <c r="BD6" s="478" t="s">
        <v>26</v>
      </c>
      <c r="BE6" s="478"/>
      <c r="BF6" s="478"/>
      <c r="BG6" s="478"/>
      <c r="BH6" s="478"/>
      <c r="BI6" s="478"/>
      <c r="BJ6" s="478"/>
      <c r="BK6" s="478"/>
      <c r="BL6" s="478"/>
      <c r="BM6" s="478"/>
      <c r="BN6" s="478"/>
      <c r="BO6" s="478"/>
      <c r="BP6" s="478"/>
      <c r="BQ6" s="479"/>
      <c r="BR6" s="479"/>
      <c r="BS6" s="479"/>
      <c r="BT6" s="480"/>
      <c r="BU6" s="3"/>
    </row>
    <row r="7" spans="2:89" ht="16.2" x14ac:dyDescent="0.3">
      <c r="D7" s="481" t="s">
        <v>20</v>
      </c>
      <c r="E7" s="482"/>
      <c r="F7" s="482"/>
      <c r="G7" s="482"/>
      <c r="H7" s="482"/>
      <c r="I7" s="482"/>
      <c r="J7" s="482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499" t="s">
        <v>35</v>
      </c>
      <c r="W7" s="500"/>
      <c r="X7" s="500"/>
      <c r="Y7" s="500"/>
      <c r="Z7" s="500"/>
      <c r="AA7" s="500"/>
      <c r="AB7" s="500"/>
      <c r="AC7" s="500"/>
      <c r="AD7" s="500"/>
      <c r="AE7" s="500"/>
      <c r="AF7" s="500"/>
      <c r="AG7" s="500"/>
      <c r="AH7" s="500"/>
      <c r="AI7" s="501"/>
      <c r="AJ7" s="3"/>
      <c r="AK7" s="481" t="s">
        <v>78</v>
      </c>
      <c r="AL7" s="482"/>
      <c r="AM7" s="482"/>
      <c r="AN7" s="482"/>
      <c r="AO7" s="482"/>
      <c r="AP7" s="482"/>
      <c r="AQ7" s="482"/>
      <c r="AR7" s="482"/>
      <c r="AS7" s="482"/>
      <c r="AT7" s="482"/>
      <c r="AU7" s="482"/>
      <c r="AV7" s="482"/>
      <c r="AW7" s="482"/>
      <c r="AX7" s="483"/>
      <c r="AZ7" s="481" t="s">
        <v>25</v>
      </c>
      <c r="BA7" s="482"/>
      <c r="BB7" s="482"/>
      <c r="BC7" s="482"/>
      <c r="BD7" s="482"/>
      <c r="BE7" s="482"/>
      <c r="BF7" s="482"/>
      <c r="BG7" s="482"/>
      <c r="BH7" s="482"/>
      <c r="BI7" s="482"/>
      <c r="BJ7" s="482"/>
      <c r="BK7" s="482"/>
      <c r="BL7" s="482"/>
      <c r="BM7" s="482"/>
      <c r="BN7" s="482"/>
      <c r="BO7" s="482"/>
      <c r="BP7" s="482"/>
      <c r="BQ7" s="482"/>
      <c r="BR7" s="482"/>
      <c r="BS7" s="482"/>
      <c r="BT7" s="483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117</v>
      </c>
      <c r="O8" s="341"/>
      <c r="P8" s="456" t="s">
        <v>1</v>
      </c>
      <c r="Q8" s="331"/>
      <c r="R8" s="53" t="s">
        <v>81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117</v>
      </c>
      <c r="AE8" s="465"/>
      <c r="AF8" s="459" t="s">
        <v>1</v>
      </c>
      <c r="AG8" s="458"/>
      <c r="AH8" s="464" t="s">
        <v>127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117</v>
      </c>
      <c r="AX8" s="350"/>
      <c r="AZ8" s="473" t="s">
        <v>1</v>
      </c>
      <c r="BA8" s="474"/>
      <c r="BB8" s="474"/>
      <c r="BC8" s="64"/>
      <c r="BD8" s="474" t="s">
        <v>24</v>
      </c>
      <c r="BE8" s="474"/>
      <c r="BF8" s="474"/>
      <c r="BG8" s="474"/>
      <c r="BH8" s="488"/>
      <c r="BI8" s="489" t="s">
        <v>126</v>
      </c>
      <c r="BJ8" s="490"/>
      <c r="BK8" s="490"/>
      <c r="BL8" s="491"/>
      <c r="BM8" s="473" t="s">
        <v>24</v>
      </c>
      <c r="BN8" s="474"/>
      <c r="BO8" s="474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128</v>
      </c>
      <c r="BK9" s="64"/>
      <c r="BL9" s="63" t="s">
        <v>10</v>
      </c>
      <c r="BM9" s="467" t="s">
        <v>117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17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172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17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173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173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33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173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6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173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6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173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6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173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6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 t="shared" ref="P68" si="58">SUM(D62:D68)</f>
        <v>160026</v>
      </c>
      <c r="Q68" s="16"/>
      <c r="R68" s="60">
        <f t="shared" ref="R68" si="59"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60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 t="shared" ref="AF68" si="61">SUM(V62:V68)</f>
        <v>10191</v>
      </c>
      <c r="AG68" s="33"/>
      <c r="AH68" s="233">
        <f t="shared" ref="AH68" si="62">+(AF68-AF61)/AF61</f>
        <v>-0.16398687448728466</v>
      </c>
      <c r="AI68" s="50"/>
      <c r="AJ68" s="394"/>
      <c r="AK68" s="23">
        <f t="shared" ref="AK68" si="63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4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5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6">+BD68/AZ68</f>
        <v>5.6838736408966868E-2</v>
      </c>
      <c r="BG68" s="67"/>
      <c r="BH68" s="185"/>
      <c r="BI68" s="67"/>
      <c r="BJ68" s="67">
        <f t="shared" ref="BJ68" si="67">SUM(AZ62:AZ68)</f>
        <v>2431055</v>
      </c>
      <c r="BK68" s="67"/>
      <c r="BL68" s="157">
        <f t="shared" ref="BL68" si="68"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9">+H68+D69</f>
        <v>1550294</v>
      </c>
      <c r="I69" s="16"/>
      <c r="J69" s="38">
        <f t="shared" ref="J69" si="70">+D69/H68</f>
        <v>1.4813466835639251E-2</v>
      </c>
      <c r="K69" s="16"/>
      <c r="L69" s="16"/>
      <c r="M69" s="16"/>
      <c r="N69" s="16">
        <f t="shared" ref="N69" si="71">+H69/BV69</f>
        <v>25838.233333333334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ref="Z69" si="72">+Z68+V69</f>
        <v>91981</v>
      </c>
      <c r="AA69" s="33"/>
      <c r="AB69" s="46">
        <f t="shared" ref="AB69" si="73">+Z69/H69</f>
        <v>5.9331326832200861E-2</v>
      </c>
      <c r="AC69" s="33"/>
      <c r="AD69" s="33">
        <f t="shared" ref="AD69" si="74">+Z69/BV69</f>
        <v>1533.0166666666667</v>
      </c>
      <c r="AE69" s="50"/>
      <c r="AF69" s="33"/>
      <c r="AG69" s="33"/>
      <c r="AH69" s="233"/>
      <c r="AI69" s="50"/>
      <c r="AJ69" s="10"/>
      <c r="AK69" s="23">
        <f t="shared" ref="AK69" si="75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6">+AK69/AO68</f>
        <v>2.8851955460479403E-2</v>
      </c>
      <c r="AR69" s="25"/>
      <c r="AS69" s="25"/>
      <c r="AT69" s="24"/>
      <c r="AU69" s="344">
        <f t="shared" ref="AU69" si="77">+AO69/H69</f>
        <v>0.22988091291071241</v>
      </c>
      <c r="AV69" s="344"/>
      <c r="AW69" s="24">
        <f t="shared" ref="AW69" si="78">+AO69/BV69</f>
        <v>5939.7166666666662</v>
      </c>
      <c r="AX69" s="354"/>
      <c r="AY69" s="10"/>
      <c r="AZ69" s="66">
        <f t="shared" ref="AZ69" si="79">+BB69-BB68</f>
        <v>425164</v>
      </c>
      <c r="BA69" s="67"/>
      <c r="BB69" s="67">
        <v>12300744</v>
      </c>
      <c r="BC69" s="67"/>
      <c r="BD69" s="67">
        <f t="shared" ref="BD69" si="80">+D69</f>
        <v>22630</v>
      </c>
      <c r="BE69" s="67"/>
      <c r="BF69" s="157">
        <f t="shared" ref="BF69" si="81">+BD69/AZ69</f>
        <v>5.3226519648888429E-2</v>
      </c>
      <c r="BG69" s="67"/>
      <c r="BH69" s="185"/>
      <c r="BI69" s="67"/>
      <c r="BJ69" s="67"/>
      <c r="BK69" s="67"/>
      <c r="BL69" s="157"/>
      <c r="BM69" s="66">
        <f t="shared" ref="BM69" si="82">+BB69/BV69</f>
        <v>205012.4</v>
      </c>
      <c r="BN69" s="67"/>
      <c r="BO69" s="67">
        <f t="shared" ref="BO69" si="83">+BO68+BD69</f>
        <v>1297972</v>
      </c>
      <c r="BP69" s="67"/>
      <c r="BQ69" s="74">
        <f t="shared" ref="BQ69" si="84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85">+H69+D70</f>
        <v>1570583</v>
      </c>
      <c r="I70" s="16"/>
      <c r="J70" s="38">
        <f t="shared" ref="J70" si="86">+D70/H69</f>
        <v>1.3087195073966615E-2</v>
      </c>
      <c r="K70" s="16"/>
      <c r="L70" s="16"/>
      <c r="M70" s="16"/>
      <c r="N70" s="16">
        <f t="shared" ref="N70" si="87">+H70/BV70</f>
        <v>25747.262295081968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ref="Z70" si="88">+Z69+V70</f>
        <v>93533</v>
      </c>
      <c r="AA70" s="33"/>
      <c r="AB70" s="46">
        <f t="shared" ref="AB70" si="89">+Z70/H70</f>
        <v>5.9553044952097407E-2</v>
      </c>
      <c r="AC70" s="33"/>
      <c r="AD70" s="33">
        <f t="shared" ref="AD70" si="90">+Z70/BV70</f>
        <v>1533.327868852459</v>
      </c>
      <c r="AE70" s="50"/>
      <c r="AF70" s="33"/>
      <c r="AG70" s="33"/>
      <c r="AH70" s="233"/>
      <c r="AI70" s="50"/>
      <c r="AJ70" s="10"/>
      <c r="AK70" s="23">
        <f t="shared" ref="AK70" si="91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92">+AK70/AO69</f>
        <v>1.346023800237385E-2</v>
      </c>
      <c r="AR70" s="25"/>
      <c r="AS70" s="25"/>
      <c r="AT70" s="24"/>
      <c r="AU70" s="344">
        <f t="shared" ref="AU70" si="93">+AO70/H70</f>
        <v>0.22996556055935916</v>
      </c>
      <c r="AV70" s="344"/>
      <c r="AW70" s="24">
        <f t="shared" ref="AW70" si="94">+AO70/BV70</f>
        <v>5920.9836065573772</v>
      </c>
      <c r="AX70" s="354"/>
      <c r="AY70" s="10"/>
      <c r="AZ70" s="66">
        <f t="shared" ref="AZ70" si="95">+BB70-BB69</f>
        <v>344729</v>
      </c>
      <c r="BA70" s="67"/>
      <c r="BB70" s="67">
        <v>12645473</v>
      </c>
      <c r="BC70" s="67"/>
      <c r="BD70" s="67">
        <f t="shared" ref="BD70" si="96">+D70</f>
        <v>20289</v>
      </c>
      <c r="BE70" s="67"/>
      <c r="BF70" s="157">
        <f t="shared" ref="BF70" si="97">+BD70/AZ70</f>
        <v>5.8854926623521667E-2</v>
      </c>
      <c r="BG70" s="67"/>
      <c r="BH70" s="185"/>
      <c r="BI70" s="67"/>
      <c r="BJ70" s="67"/>
      <c r="BK70" s="67"/>
      <c r="BL70" s="157"/>
      <c r="BM70" s="66">
        <f t="shared" ref="BM70" si="98">+BB70/BV70</f>
        <v>207302.83606557376</v>
      </c>
      <c r="BN70" s="67"/>
      <c r="BO70" s="67">
        <f t="shared" ref="BO70" si="99">+BO69+BD70</f>
        <v>1318261</v>
      </c>
      <c r="BP70" s="67"/>
      <c r="BQ70" s="74">
        <f t="shared" ref="BQ70" si="100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101">+H70+D71</f>
        <v>1592723</v>
      </c>
      <c r="I71" s="16"/>
      <c r="J71" s="38">
        <f t="shared" ref="J71" si="102">+D71/H70</f>
        <v>1.409667620240382E-2</v>
      </c>
      <c r="K71" s="16"/>
      <c r="L71" s="16"/>
      <c r="M71" s="16"/>
      <c r="N71" s="16">
        <f t="shared" ref="N71" si="103">+H71/BV71</f>
        <v>25689.080645161292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ref="Z71" si="104">+Z70+V71</f>
        <v>94936</v>
      </c>
      <c r="AA71" s="33"/>
      <c r="AB71" s="46">
        <f t="shared" ref="AB71" si="105">+Z71/H71</f>
        <v>5.960609597525747E-2</v>
      </c>
      <c r="AC71" s="33"/>
      <c r="AD71" s="33">
        <f t="shared" ref="AD71" si="106">+Z71/BV71</f>
        <v>1531.2258064516129</v>
      </c>
      <c r="AE71" s="50"/>
      <c r="AF71" s="33"/>
      <c r="AG71" s="33"/>
      <c r="AH71" s="233"/>
      <c r="AI71" s="50"/>
      <c r="AJ71" s="10"/>
      <c r="AK71" s="23">
        <f t="shared" ref="AK71" si="107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8">+AK71/AO70</f>
        <v>2.4630378204773245E-2</v>
      </c>
      <c r="AR71" s="25"/>
      <c r="AS71" s="25"/>
      <c r="AT71" s="24"/>
      <c r="AU71" s="344">
        <f t="shared" ref="AU71" si="109">+AO71/H71</f>
        <v>0.23235427629286448</v>
      </c>
      <c r="AV71" s="344"/>
      <c r="AW71" s="24">
        <f t="shared" ref="AW71" si="110">+AO71/BV71</f>
        <v>5968.9677419354839</v>
      </c>
      <c r="AX71" s="354"/>
      <c r="AY71" s="10"/>
      <c r="AZ71" s="66">
        <f t="shared" ref="AZ71" si="111">+BB71-BB70</f>
        <v>323101</v>
      </c>
      <c r="BA71" s="67"/>
      <c r="BB71" s="67">
        <v>12968574</v>
      </c>
      <c r="BC71" s="67"/>
      <c r="BD71" s="67">
        <f t="shared" ref="BD71" si="112">+D71</f>
        <v>22140</v>
      </c>
      <c r="BE71" s="67"/>
      <c r="BF71" s="157">
        <f t="shared" ref="BF71" si="113">+BD71/AZ71</f>
        <v>6.8523464798932843E-2</v>
      </c>
      <c r="BG71" s="67"/>
      <c r="BH71" s="185"/>
      <c r="BI71" s="67"/>
      <c r="BJ71" s="67"/>
      <c r="BK71" s="67"/>
      <c r="BL71" s="157"/>
      <c r="BM71" s="66">
        <f t="shared" ref="BM71" si="114">+BB71/BV71</f>
        <v>209170.54838709679</v>
      </c>
      <c r="BN71" s="67"/>
      <c r="BO71" s="67">
        <f t="shared" ref="BO71" si="115">+BO70+BD71</f>
        <v>1340401</v>
      </c>
      <c r="BP71" s="67"/>
      <c r="BQ71" s="74">
        <f t="shared" ref="BQ71" si="116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28175</v>
      </c>
      <c r="E72" s="16"/>
      <c r="F72" s="16"/>
      <c r="G72" s="16"/>
      <c r="H72" s="16">
        <f t="shared" ref="H72" si="117">+H71+D72</f>
        <v>1620898</v>
      </c>
      <c r="I72" s="16"/>
      <c r="J72" s="38">
        <f t="shared" ref="J72" si="118">+D72/H71</f>
        <v>1.7689830560618514E-2</v>
      </c>
      <c r="K72" s="16"/>
      <c r="L72" s="16"/>
      <c r="M72" s="16"/>
      <c r="N72" s="16">
        <f t="shared" ref="N72" si="119">+H72/BV72</f>
        <v>25728.539682539682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ref="Z72" si="120">+Z71+V72</f>
        <v>96354</v>
      </c>
      <c r="AA72" s="33"/>
      <c r="AB72" s="46">
        <f t="shared" ref="AB72" si="121">+Z72/H72</f>
        <v>5.9444826262972747E-2</v>
      </c>
      <c r="AC72" s="33"/>
      <c r="AD72" s="33">
        <f t="shared" ref="AD72" si="122">+Z72/BV72</f>
        <v>1529.4285714285713</v>
      </c>
      <c r="AE72" s="50"/>
      <c r="AF72" s="33"/>
      <c r="AG72" s="33"/>
      <c r="AH72" s="233"/>
      <c r="AI72" s="50"/>
      <c r="AJ72" s="10"/>
      <c r="AK72" s="23">
        <f t="shared" ref="AK72" si="123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24">+AK72/AO71</f>
        <v>3.2677071736616263E-2</v>
      </c>
      <c r="AR72" s="25"/>
      <c r="AS72" s="25"/>
      <c r="AT72" s="24"/>
      <c r="AU72" s="344">
        <f t="shared" ref="AU72" si="125">+AO72/H72</f>
        <v>0.23577609448589609</v>
      </c>
      <c r="AV72" s="344"/>
      <c r="AW72" s="24">
        <f t="shared" ref="AW72" si="126">+AO72/BV72</f>
        <v>6066.1746031746034</v>
      </c>
      <c r="AX72" s="354"/>
      <c r="AY72" s="10"/>
      <c r="AZ72" s="66">
        <f t="shared" ref="AZ72" si="127">+BB72-BB71</f>
        <v>470540</v>
      </c>
      <c r="BA72" s="67"/>
      <c r="BB72" s="67">
        <v>13439114</v>
      </c>
      <c r="BC72" s="67"/>
      <c r="BD72" s="67">
        <f t="shared" ref="BD72" si="128">+D72</f>
        <v>28175</v>
      </c>
      <c r="BE72" s="67"/>
      <c r="BF72" s="157">
        <f t="shared" ref="BF72" si="129">+BD72/AZ72</f>
        <v>5.9878012496280872E-2</v>
      </c>
      <c r="BG72" s="67"/>
      <c r="BH72" s="185"/>
      <c r="BI72" s="67"/>
      <c r="BJ72" s="67"/>
      <c r="BK72" s="67"/>
      <c r="BL72" s="157"/>
      <c r="BM72" s="66">
        <f t="shared" ref="BM72" si="130">+BB72/BV72</f>
        <v>213319.26984126985</v>
      </c>
      <c r="BN72" s="67"/>
      <c r="BO72" s="67">
        <f t="shared" ref="BO72" si="131">+BO71+BD72</f>
        <v>1368576</v>
      </c>
      <c r="BP72" s="67"/>
      <c r="BQ72" s="74">
        <f t="shared" ref="BQ72" si="132">+BO72/BB72</f>
        <v>0.10183528467724881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24002</v>
      </c>
      <c r="E73" s="16"/>
      <c r="F73" s="16"/>
      <c r="G73" s="16"/>
      <c r="H73" s="16">
        <f t="shared" ref="H73" si="133">+H72+D73</f>
        <v>1644900</v>
      </c>
      <c r="I73" s="16"/>
      <c r="J73" s="38">
        <f t="shared" ref="J73" si="134">+D73/H72</f>
        <v>1.480784108562044E-2</v>
      </c>
      <c r="K73" s="16"/>
      <c r="L73" s="16"/>
      <c r="M73" s="16"/>
      <c r="N73" s="16">
        <f t="shared" ref="N73" si="135">+H73/BV73</f>
        <v>25701.5625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ref="Z73" si="136">+Z72+V73</f>
        <v>97647</v>
      </c>
      <c r="AA73" s="33"/>
      <c r="AB73" s="46">
        <f t="shared" ref="AB73" si="137">+Z73/H73</f>
        <v>5.9363487142075504E-2</v>
      </c>
      <c r="AC73" s="33"/>
      <c r="AD73" s="33">
        <f t="shared" ref="AD73" si="138">+Z73/BV73</f>
        <v>1525.734375</v>
      </c>
      <c r="AE73" s="50"/>
      <c r="AF73" s="33"/>
      <c r="AG73" s="33"/>
      <c r="AH73" s="233"/>
      <c r="AI73" s="50"/>
      <c r="AJ73" s="10"/>
      <c r="AK73" s="23">
        <f t="shared" ref="AK73" si="139">+AO73-AO72</f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ref="AQ73" si="140">+AK73/AO72</f>
        <v>0.13456873791437821</v>
      </c>
      <c r="AR73" s="25"/>
      <c r="AS73" s="25"/>
      <c r="AT73" s="24"/>
      <c r="AU73" s="344">
        <f t="shared" ref="AU73" si="141">+AO73/H73</f>
        <v>0.26360082679798164</v>
      </c>
      <c r="AV73" s="344"/>
      <c r="AW73" s="24">
        <f t="shared" ref="AW73" si="142">+AO73/BV73</f>
        <v>6774.953125</v>
      </c>
      <c r="AX73" s="354"/>
      <c r="AY73" s="10"/>
      <c r="AZ73" s="66">
        <f t="shared" ref="AZ73" si="143">+BB73-BB72</f>
        <v>470791</v>
      </c>
      <c r="BA73" s="67"/>
      <c r="BB73" s="67">
        <v>13909905</v>
      </c>
      <c r="BC73" s="67"/>
      <c r="BD73" s="67">
        <f t="shared" ref="BD73" si="144">+D73</f>
        <v>24002</v>
      </c>
      <c r="BE73" s="67"/>
      <c r="BF73" s="157">
        <f t="shared" ref="BF73" si="145">+BD73/AZ73</f>
        <v>5.0982283008808582E-2</v>
      </c>
      <c r="BG73" s="67"/>
      <c r="BH73" s="185"/>
      <c r="BI73" s="67"/>
      <c r="BJ73" s="67"/>
      <c r="BK73" s="67"/>
      <c r="BL73" s="157"/>
      <c r="BM73" s="66">
        <f t="shared" ref="BM73" si="146">+BB73/BV73</f>
        <v>217342.265625</v>
      </c>
      <c r="BN73" s="67"/>
      <c r="BO73" s="67">
        <f t="shared" ref="BO73" si="147">+BO72+BD73</f>
        <v>1392578</v>
      </c>
      <c r="BP73" s="67"/>
      <c r="BQ73" s="74">
        <f t="shared" ref="BQ73" si="148">+BO73/BB73</f>
        <v>0.10011412730712395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173">
        <f t="shared" si="6"/>
        <v>43974</v>
      </c>
      <c r="C74" s="61"/>
      <c r="D74" s="17">
        <v>21928</v>
      </c>
      <c r="E74" s="16"/>
      <c r="F74" s="16"/>
      <c r="G74" s="16"/>
      <c r="H74" s="16">
        <f t="shared" ref="H74" si="149">+H73+D74</f>
        <v>1666828</v>
      </c>
      <c r="I74" s="16"/>
      <c r="J74" s="38">
        <f t="shared" ref="J74" si="150">+D74/H73</f>
        <v>1.3330901574563804E-2</v>
      </c>
      <c r="K74" s="16"/>
      <c r="L74" s="16"/>
      <c r="M74" s="16"/>
      <c r="N74" s="16">
        <f t="shared" ref="N74" si="151">+H74/BV74</f>
        <v>25643.507692307692</v>
      </c>
      <c r="O74" s="41"/>
      <c r="P74" s="17"/>
      <c r="Q74" s="16"/>
      <c r="R74" s="60"/>
      <c r="S74" s="16"/>
      <c r="T74" s="41"/>
      <c r="U74" s="10"/>
      <c r="V74" s="34">
        <v>1036</v>
      </c>
      <c r="W74" s="33"/>
      <c r="X74" s="33"/>
      <c r="Y74" s="33"/>
      <c r="Z74" s="33">
        <f t="shared" ref="Z74" si="152">+Z73+V74</f>
        <v>98683</v>
      </c>
      <c r="AA74" s="33"/>
      <c r="AB74" s="46">
        <f t="shared" ref="AB74" si="153">+Z74/H74</f>
        <v>5.9204069046116338E-2</v>
      </c>
      <c r="AC74" s="33"/>
      <c r="AD74" s="33">
        <f t="shared" ref="AD74" si="154">+Z74/BV74</f>
        <v>1518.2</v>
      </c>
      <c r="AE74" s="50"/>
      <c r="AF74" s="33"/>
      <c r="AG74" s="33"/>
      <c r="AH74" s="233"/>
      <c r="AI74" s="50"/>
      <c r="AJ74" s="10"/>
      <c r="AK74" s="23">
        <f t="shared" ref="AK74" si="155">+AO74-AO73</f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ref="AQ74" si="156">+AK74/AO73</f>
        <v>3.0712850873045709E-2</v>
      </c>
      <c r="AR74" s="25"/>
      <c r="AS74" s="25"/>
      <c r="AT74" s="24"/>
      <c r="AU74" s="344">
        <f t="shared" ref="AU74" si="157">+AO74/H74</f>
        <v>0.26812244574725169</v>
      </c>
      <c r="AV74" s="344"/>
      <c r="AW74" s="24">
        <f t="shared" ref="AW74" si="158">+AO74/BV74</f>
        <v>6875.6</v>
      </c>
      <c r="AX74" s="354"/>
      <c r="AY74" s="10"/>
      <c r="AZ74" s="66">
        <f t="shared" ref="AZ74" si="159">+BB74-BB73</f>
        <v>448064</v>
      </c>
      <c r="BA74" s="67"/>
      <c r="BB74" s="67">
        <v>14357969</v>
      </c>
      <c r="BC74" s="67"/>
      <c r="BD74" s="67">
        <f t="shared" ref="BD74" si="160">+D74</f>
        <v>21928</v>
      </c>
      <c r="BE74" s="67"/>
      <c r="BF74" s="157">
        <f t="shared" ref="BF74" si="161">+BD74/AZ74</f>
        <v>4.8939437223253821E-2</v>
      </c>
      <c r="BG74" s="67"/>
      <c r="BH74" s="185"/>
      <c r="BI74" s="67"/>
      <c r="BJ74" s="67"/>
      <c r="BK74" s="67"/>
      <c r="BL74" s="157"/>
      <c r="BM74" s="66">
        <f t="shared" ref="BM74" si="162">+BB74/BV74</f>
        <v>220891.83076923076</v>
      </c>
      <c r="BN74" s="67"/>
      <c r="BO74" s="67">
        <f t="shared" ref="BO74" si="163">+BO73+BD74</f>
        <v>1414506</v>
      </c>
      <c r="BP74" s="67"/>
      <c r="BQ74" s="74">
        <f t="shared" ref="BQ74" si="164">+BO74/BB74</f>
        <v>9.8517137068620225E-2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19608</v>
      </c>
      <c r="E75" s="16"/>
      <c r="F75" s="16"/>
      <c r="G75" s="16"/>
      <c r="H75" s="16">
        <f t="shared" ref="H75" si="165">+H74+D75</f>
        <v>1686436</v>
      </c>
      <c r="I75" s="16"/>
      <c r="J75" s="38">
        <f t="shared" ref="J75" si="166">+D75/H74</f>
        <v>1.1763661277588329E-2</v>
      </c>
      <c r="K75" s="16"/>
      <c r="L75" s="16"/>
      <c r="M75" s="16"/>
      <c r="N75" s="16">
        <f t="shared" ref="N75" si="167">+H75/BV75</f>
        <v>25552.060606060608</v>
      </c>
      <c r="O75" s="41"/>
      <c r="P75" s="17">
        <f t="shared" ref="P75" si="168">SUM(D69:D75)</f>
        <v>158772</v>
      </c>
      <c r="Q75" s="16"/>
      <c r="R75" s="60">
        <f t="shared" ref="R75" si="169">+(P75-P68)/P68</f>
        <v>-7.8362266131753594E-3</v>
      </c>
      <c r="S75" s="16"/>
      <c r="T75" s="41"/>
      <c r="U75" s="394"/>
      <c r="V75" s="34">
        <v>617</v>
      </c>
      <c r="W75" s="33"/>
      <c r="X75" s="33"/>
      <c r="Y75" s="33"/>
      <c r="Z75" s="33">
        <f t="shared" ref="Z75" si="170">+Z74+V75</f>
        <v>99300</v>
      </c>
      <c r="AA75" s="33"/>
      <c r="AB75" s="46">
        <f t="shared" ref="AB75" si="171">+Z75/H75</f>
        <v>5.8881570364959002E-2</v>
      </c>
      <c r="AC75" s="33"/>
      <c r="AD75" s="33">
        <f t="shared" ref="AD75" si="172">+Z75/BV75</f>
        <v>1504.5454545454545</v>
      </c>
      <c r="AE75" s="50"/>
      <c r="AF75" s="33">
        <f t="shared" ref="AF75" si="173">SUM(V69:V75)</f>
        <v>8322</v>
      </c>
      <c r="AG75" s="33"/>
      <c r="AH75" s="233">
        <f t="shared" ref="AH75" si="174">+(AF75-AF68)/AF68</f>
        <v>-0.1833971151015602</v>
      </c>
      <c r="AI75" s="50"/>
      <c r="AJ75" s="394"/>
      <c r="AK75" s="23">
        <f t="shared" ref="AK75" si="175">+AO75-AO74</f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ref="AQ75" si="176">+AK75/AO74</f>
        <v>1.0713470600607723E-2</v>
      </c>
      <c r="AR75" s="25"/>
      <c r="AS75" s="25"/>
      <c r="AT75" s="24"/>
      <c r="AU75" s="344">
        <f t="shared" ref="AU75" si="177">+AO75/H75</f>
        <v>0.26784413994957412</v>
      </c>
      <c r="AV75" s="344"/>
      <c r="AW75" s="24">
        <f t="shared" ref="AW75" si="178">+AO75/BV75</f>
        <v>6843.969696969697</v>
      </c>
      <c r="AX75" s="354"/>
      <c r="AY75" s="394"/>
      <c r="AZ75" s="66">
        <f t="shared" ref="AZ75" si="179">+BB75-BB74</f>
        <v>391787</v>
      </c>
      <c r="BA75" s="67"/>
      <c r="BB75" s="67">
        <v>14749756</v>
      </c>
      <c r="BC75" s="67"/>
      <c r="BD75" s="67">
        <f t="shared" ref="BD75" si="180">+D75</f>
        <v>19608</v>
      </c>
      <c r="BE75" s="67"/>
      <c r="BF75" s="157">
        <f t="shared" ref="BF75" si="181">+BD75/AZ75</f>
        <v>5.0047602396199979E-2</v>
      </c>
      <c r="BG75" s="67"/>
      <c r="BH75" s="185"/>
      <c r="BI75" s="67"/>
      <c r="BJ75" s="67">
        <f t="shared" ref="BJ75" si="182">SUM(AZ69:AZ75)</f>
        <v>2874176</v>
      </c>
      <c r="BK75" s="67"/>
      <c r="BL75" s="157">
        <f t="shared" ref="BL75" si="183">+P75/BJ75</f>
        <v>5.5240875993676102E-2</v>
      </c>
      <c r="BM75" s="66">
        <f t="shared" ref="BM75" si="184">+BB75/BV75</f>
        <v>223481.15151515152</v>
      </c>
      <c r="BN75" s="67"/>
      <c r="BO75" s="67">
        <f t="shared" ref="BO75" si="185">+BO74+BD75</f>
        <v>1434114</v>
      </c>
      <c r="BP75" s="67"/>
      <c r="BQ75" s="74">
        <f t="shared" ref="BQ75" si="186">+BO75/BB75</f>
        <v>9.7229676206169111E-2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ref="H76" si="187">+H75+D76</f>
        <v>1706226</v>
      </c>
      <c r="I76" s="16"/>
      <c r="J76" s="38">
        <f t="shared" ref="J76" si="188">+D76/H75</f>
        <v>1.1734806420166553E-2</v>
      </c>
      <c r="K76" s="16"/>
      <c r="L76" s="16"/>
      <c r="M76" s="16"/>
      <c r="N76" s="16">
        <f t="shared" ref="N76" si="189">+H76/BV76</f>
        <v>25466.059701492537</v>
      </c>
      <c r="O76" s="41"/>
      <c r="P76" s="17">
        <f t="shared" ref="P76" si="190">SUM(D70:D76)</f>
        <v>155932</v>
      </c>
      <c r="Q76" s="16"/>
      <c r="R76" s="60" t="e">
        <f t="shared" ref="R76" si="191">+(P76-P69)/P69</f>
        <v>#DIV/0!</v>
      </c>
      <c r="S76" s="16"/>
      <c r="T76" s="41"/>
      <c r="U76" s="10"/>
      <c r="V76" s="34">
        <v>505</v>
      </c>
      <c r="W76" s="33"/>
      <c r="X76" s="33"/>
      <c r="Y76" s="33"/>
      <c r="Z76" s="33">
        <f t="shared" ref="Z76" si="192">+Z75+V76</f>
        <v>99805</v>
      </c>
      <c r="AA76" s="33"/>
      <c r="AB76" s="46">
        <f t="shared" ref="AB76" si="193">+Z76/H76</f>
        <v>5.8494595674898869E-2</v>
      </c>
      <c r="AC76" s="33"/>
      <c r="AD76" s="33">
        <f t="shared" ref="AD76" si="194">+Z76/BV76</f>
        <v>1489.6268656716418</v>
      </c>
      <c r="AE76" s="50"/>
      <c r="AF76" s="33">
        <f t="shared" ref="AF76" si="195">SUM(V70:V76)</f>
        <v>7824</v>
      </c>
      <c r="AG76" s="33"/>
      <c r="AH76" s="233" t="e">
        <f t="shared" ref="AH76" si="196">+(AF76-AF69)/AF69</f>
        <v>#DIV/0!</v>
      </c>
      <c r="AI76" s="50"/>
      <c r="AJ76" s="10"/>
      <c r="AK76" s="23">
        <f t="shared" ref="AK76" si="197">+AO76-AO75</f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ref="AQ76" si="198">+AK76/AO75</f>
        <v>2.8709193229164362E-2</v>
      </c>
      <c r="AR76" s="25"/>
      <c r="AS76" s="25"/>
      <c r="AT76" s="24"/>
      <c r="AU76" s="344">
        <f t="shared" ref="AU76" si="199">+AO76/H76</f>
        <v>0.27233789662096347</v>
      </c>
      <c r="AV76" s="344"/>
      <c r="AW76" s="24">
        <f t="shared" ref="AW76" si="200">+AO76/BV76</f>
        <v>6935.373134328358</v>
      </c>
      <c r="AX76" s="354"/>
      <c r="AY76" s="10"/>
      <c r="AZ76" s="66">
        <f t="shared" ref="AZ76" si="201">+BB76-BB75</f>
        <v>437891</v>
      </c>
      <c r="BA76" s="67"/>
      <c r="BB76" s="67">
        <v>15187647</v>
      </c>
      <c r="BC76" s="67"/>
      <c r="BD76" s="67">
        <f t="shared" ref="BD76" si="202">+D76</f>
        <v>19790</v>
      </c>
      <c r="BE76" s="67"/>
      <c r="BF76" s="157">
        <f t="shared" ref="BF76" si="203">+BD76/AZ76</f>
        <v>4.5193895284442932E-2</v>
      </c>
      <c r="BG76" s="67"/>
      <c r="BH76" s="185"/>
      <c r="BI76" s="67"/>
      <c r="BJ76" s="67">
        <f t="shared" ref="BJ76" si="204">SUM(AZ70:AZ76)</f>
        <v>2886903</v>
      </c>
      <c r="BK76" s="67"/>
      <c r="BL76" s="157">
        <f t="shared" ref="BL76" si="205">+P76/BJ76</f>
        <v>5.4013591727882788E-2</v>
      </c>
      <c r="BM76" s="66">
        <f t="shared" ref="BM76" si="206">+BB76/BV76</f>
        <v>226681.29850746269</v>
      </c>
      <c r="BN76" s="67"/>
      <c r="BO76" s="67">
        <f t="shared" ref="BO76" si="207">+BO75+BD76</f>
        <v>1453904</v>
      </c>
      <c r="BP76" s="67"/>
      <c r="BQ76" s="74">
        <f t="shared" ref="BQ76" si="208">+BO76/BB76</f>
        <v>9.572937796091785E-2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86" si="209">1+B76</f>
        <v>43977</v>
      </c>
      <c r="C77" s="61"/>
      <c r="D77" s="17">
        <v>19049</v>
      </c>
      <c r="E77" s="16"/>
      <c r="F77" s="16"/>
      <c r="G77" s="16"/>
      <c r="H77" s="16">
        <f t="shared" ref="H77" si="210">+H76+D77</f>
        <v>1725275</v>
      </c>
      <c r="I77" s="16"/>
      <c r="J77" s="38">
        <f t="shared" ref="J77" si="211">+D77/H76</f>
        <v>1.1164406122049482E-2</v>
      </c>
      <c r="K77" s="16"/>
      <c r="L77" s="16"/>
      <c r="M77" s="16"/>
      <c r="N77" s="16">
        <f t="shared" ref="N77" si="212">+H77/BV77</f>
        <v>25371.691176470587</v>
      </c>
      <c r="O77" s="41"/>
      <c r="P77" s="17">
        <f t="shared" ref="P77" si="213">SUM(D71:D77)</f>
        <v>154692</v>
      </c>
      <c r="Q77" s="16"/>
      <c r="R77" s="60" t="e">
        <f t="shared" ref="R77" si="214">+(P77-P70)/P70</f>
        <v>#DIV/0!</v>
      </c>
      <c r="S77" s="16"/>
      <c r="T77" s="41"/>
      <c r="U77" s="10"/>
      <c r="V77" s="34">
        <v>774</v>
      </c>
      <c r="W77" s="33"/>
      <c r="X77" s="33"/>
      <c r="Y77" s="33"/>
      <c r="Z77" s="33">
        <f t="shared" ref="Z77" si="215">+Z76+V77</f>
        <v>100579</v>
      </c>
      <c r="AA77" s="33"/>
      <c r="AB77" s="46">
        <f t="shared" ref="AB77" si="216">+Z77/H77</f>
        <v>5.8297372882583937E-2</v>
      </c>
      <c r="AC77" s="33"/>
      <c r="AD77" s="33">
        <f t="shared" ref="AD77" si="217">+Z77/BV77</f>
        <v>1479.1029411764705</v>
      </c>
      <c r="AE77" s="50"/>
      <c r="AF77" s="33">
        <f t="shared" ref="AF77" si="218">SUM(V71:V77)</f>
        <v>7046</v>
      </c>
      <c r="AG77" s="33"/>
      <c r="AH77" s="233" t="e">
        <f t="shared" ref="AH77" si="219">+(AF77-AF70)/AF70</f>
        <v>#DIV/0!</v>
      </c>
      <c r="AI77" s="50"/>
      <c r="AJ77" s="10"/>
      <c r="AK77" s="23">
        <f t="shared" ref="AK77" si="220">+AO77-AO76</f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ref="AQ77" si="221">+AK77/AO76</f>
        <v>3.2924441001140593E-2</v>
      </c>
      <c r="AR77" s="25"/>
      <c r="AS77" s="25"/>
      <c r="AT77" s="24"/>
      <c r="AU77" s="344">
        <f t="shared" ref="AU77" si="222">+AO77/H77</f>
        <v>0.27819854805755606</v>
      </c>
      <c r="AV77" s="344"/>
      <c r="AW77" s="24">
        <f t="shared" ref="AW77" si="223">+AO77/BV77</f>
        <v>7058.3676470588234</v>
      </c>
      <c r="AX77" s="354"/>
      <c r="AY77" s="10"/>
      <c r="AZ77" s="66">
        <f t="shared" ref="AZ77" si="224">+BB77-BB76</f>
        <v>344512</v>
      </c>
      <c r="BA77" s="67"/>
      <c r="BB77" s="67">
        <v>15532159</v>
      </c>
      <c r="BC77" s="67"/>
      <c r="BD77" s="67">
        <f t="shared" ref="BD77" si="225">+D77</f>
        <v>19049</v>
      </c>
      <c r="BE77" s="67"/>
      <c r="BF77" s="157">
        <f t="shared" ref="BF77" si="226">+BD77/AZ77</f>
        <v>5.5292703882593351E-2</v>
      </c>
      <c r="BG77" s="67"/>
      <c r="BH77" s="185"/>
      <c r="BI77" s="67"/>
      <c r="BJ77" s="67">
        <f t="shared" ref="BJ77" si="227">SUM(AZ71:AZ77)</f>
        <v>2886686</v>
      </c>
      <c r="BK77" s="67"/>
      <c r="BL77" s="157">
        <f t="shared" ref="BL77" si="228">+P77/BJ77</f>
        <v>5.3588093751797045E-2</v>
      </c>
      <c r="BM77" s="66">
        <f t="shared" ref="BM77" si="229">+BB77/BV77</f>
        <v>228414.10294117648</v>
      </c>
      <c r="BN77" s="67"/>
      <c r="BO77" s="67">
        <f t="shared" ref="BO77" si="230">+BO76+BD77</f>
        <v>1472953</v>
      </c>
      <c r="BP77" s="67"/>
      <c r="BQ77" s="74">
        <f t="shared" ref="BQ77" si="231">+BO77/BB77</f>
        <v>9.4832469845306119E-2</v>
      </c>
      <c r="BR77" s="67"/>
      <c r="BS77" s="86"/>
      <c r="BT77" s="185"/>
      <c r="BU77" s="1"/>
      <c r="BV77">
        <f t="shared" ref="BV77:BV86" si="232">+BV76+1</f>
        <v>68</v>
      </c>
    </row>
    <row r="78" spans="2:74" x14ac:dyDescent="0.3">
      <c r="B78" s="173">
        <f t="shared" si="209"/>
        <v>43978</v>
      </c>
      <c r="C78" s="61"/>
      <c r="D78" s="17">
        <v>20546</v>
      </c>
      <c r="E78" s="16"/>
      <c r="F78" s="16"/>
      <c r="G78" s="16"/>
      <c r="H78" s="16">
        <f t="shared" ref="H78" si="233">+H77+D78</f>
        <v>1745821</v>
      </c>
      <c r="I78" s="16"/>
      <c r="J78" s="38">
        <f t="shared" ref="J78" si="234">+D78/H77</f>
        <v>1.1908826129167814E-2</v>
      </c>
      <c r="K78" s="16"/>
      <c r="L78" s="16"/>
      <c r="M78" s="16"/>
      <c r="N78" s="16">
        <f t="shared" ref="N78" si="235">+H78/BV78</f>
        <v>25301.753623188404</v>
      </c>
      <c r="O78" s="41"/>
      <c r="P78" s="17">
        <f t="shared" ref="P78" si="236">SUM(D72:D78)</f>
        <v>153098</v>
      </c>
      <c r="Q78" s="16"/>
      <c r="R78" s="60" t="e">
        <f t="shared" ref="R78" si="237">+(P78-P71)/P71</f>
        <v>#DIV/0!</v>
      </c>
      <c r="S78" s="16"/>
      <c r="T78" s="41"/>
      <c r="U78" s="10"/>
      <c r="V78" s="34">
        <v>1535</v>
      </c>
      <c r="W78" s="33"/>
      <c r="X78" s="33"/>
      <c r="Y78" s="33"/>
      <c r="Z78" s="33">
        <f t="shared" ref="Z78" si="238">+Z77+V78</f>
        <v>102114</v>
      </c>
      <c r="AA78" s="33"/>
      <c r="AB78" s="46">
        <f t="shared" ref="AB78" si="239">+Z78/H78</f>
        <v>5.8490532534549645E-2</v>
      </c>
      <c r="AC78" s="33"/>
      <c r="AD78" s="33">
        <f t="shared" ref="AD78" si="240">+Z78/BV78</f>
        <v>1479.9130434782608</v>
      </c>
      <c r="AE78" s="50"/>
      <c r="AF78" s="33">
        <f t="shared" ref="AF78" si="241">SUM(V72:V78)</f>
        <v>7178</v>
      </c>
      <c r="AG78" s="33"/>
      <c r="AH78" s="233" t="e">
        <f t="shared" ref="AH78" si="242">+(AF78-AF71)/AF71</f>
        <v>#DIV/0!</v>
      </c>
      <c r="AI78" s="50"/>
      <c r="AJ78" s="10"/>
      <c r="AK78" s="23">
        <f t="shared" ref="AK78" si="243">+AO78-AO77</f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ref="AQ78" si="244">+AK78/AO77</f>
        <v>2.1170117236738208E-2</v>
      </c>
      <c r="AR78" s="25"/>
      <c r="AS78" s="25"/>
      <c r="AT78" s="24"/>
      <c r="AU78" s="344">
        <f t="shared" ref="AU78" si="245">+AO78/H78</f>
        <v>0.28074470406759916</v>
      </c>
      <c r="AV78" s="344"/>
      <c r="AW78" s="24">
        <f t="shared" ref="AW78" si="246">+AO78/BV78</f>
        <v>7103.333333333333</v>
      </c>
      <c r="AX78" s="354"/>
      <c r="AY78" s="10"/>
      <c r="AZ78" s="66">
        <f t="shared" ref="AZ78" si="247">+BB78-BB77</f>
        <v>343314</v>
      </c>
      <c r="BA78" s="67"/>
      <c r="BB78" s="67">
        <v>15875473</v>
      </c>
      <c r="BC78" s="67"/>
      <c r="BD78" s="67">
        <f t="shared" ref="BD78" si="248">+D78</f>
        <v>20546</v>
      </c>
      <c r="BE78" s="67"/>
      <c r="BF78" s="157">
        <f t="shared" ref="BF78" si="249">+BD78/AZ78</f>
        <v>5.9846088420512998E-2</v>
      </c>
      <c r="BG78" s="67"/>
      <c r="BH78" s="185"/>
      <c r="BI78" s="67"/>
      <c r="BJ78" s="67">
        <f t="shared" ref="BJ78" si="250">SUM(AZ72:AZ78)</f>
        <v>2906899</v>
      </c>
      <c r="BK78" s="67"/>
      <c r="BL78" s="157">
        <f t="shared" ref="BL78" si="251">+P78/BJ78</f>
        <v>5.2667120529471437E-2</v>
      </c>
      <c r="BM78" s="66">
        <f t="shared" ref="BM78" si="252">+BB78/BV78</f>
        <v>230079.31884057971</v>
      </c>
      <c r="BN78" s="67"/>
      <c r="BO78" s="67">
        <f t="shared" ref="BO78" si="253">+BO77+BD78</f>
        <v>1493499</v>
      </c>
      <c r="BP78" s="67"/>
      <c r="BQ78" s="74">
        <f t="shared" ref="BQ78" si="254">+BO78/BB78</f>
        <v>9.4075874148757649E-2</v>
      </c>
      <c r="BR78" s="67"/>
      <c r="BS78" s="86"/>
      <c r="BT78" s="185"/>
      <c r="BU78" s="1"/>
      <c r="BV78">
        <f t="shared" si="232"/>
        <v>69</v>
      </c>
    </row>
    <row r="79" spans="2:74" x14ac:dyDescent="0.3">
      <c r="B79" s="173">
        <f t="shared" si="209"/>
        <v>43979</v>
      </c>
      <c r="C79" s="61"/>
      <c r="D79" s="17">
        <v>22658</v>
      </c>
      <c r="E79" s="16"/>
      <c r="F79" s="16"/>
      <c r="G79" s="16"/>
      <c r="H79" s="16">
        <f t="shared" ref="H79" si="255">+H78+D79</f>
        <v>1768479</v>
      </c>
      <c r="I79" s="16"/>
      <c r="J79" s="38">
        <f t="shared" ref="J79" si="256">+D79/H78</f>
        <v>1.2978421040874179E-2</v>
      </c>
      <c r="K79" s="16"/>
      <c r="L79" s="16"/>
      <c r="M79" s="16"/>
      <c r="N79" s="16">
        <f t="shared" ref="N79" si="257">+H79/BV79</f>
        <v>25263.985714285714</v>
      </c>
      <c r="O79" s="41"/>
      <c r="P79" s="17">
        <f t="shared" ref="P79" si="258">SUM(D73:D79)</f>
        <v>147581</v>
      </c>
      <c r="Q79" s="16"/>
      <c r="R79" s="60" t="e">
        <f t="shared" ref="R79" si="259">+(P79-P72)/P72</f>
        <v>#DIV/0!</v>
      </c>
      <c r="S79" s="16"/>
      <c r="T79" s="41"/>
      <c r="U79" s="10"/>
      <c r="V79" s="34">
        <v>1223</v>
      </c>
      <c r="W79" s="33"/>
      <c r="X79" s="33"/>
      <c r="Y79" s="33"/>
      <c r="Z79" s="33">
        <f t="shared" ref="Z79" si="260">+Z78+V79</f>
        <v>103337</v>
      </c>
      <c r="AA79" s="33"/>
      <c r="AB79" s="46">
        <f t="shared" ref="AB79" si="261">+Z79/H79</f>
        <v>5.8432698380925074E-2</v>
      </c>
      <c r="AC79" s="33"/>
      <c r="AD79" s="33">
        <f t="shared" ref="AD79" si="262">+Z79/BV79</f>
        <v>1476.2428571428572</v>
      </c>
      <c r="AE79" s="50"/>
      <c r="AF79" s="33">
        <f t="shared" ref="AF79" si="263">SUM(V73:V79)</f>
        <v>6983</v>
      </c>
      <c r="AG79" s="33"/>
      <c r="AH79" s="233" t="e">
        <f t="shared" ref="AH79" si="264">+(AF79-AF72)/AF72</f>
        <v>#DIV/0!</v>
      </c>
      <c r="AI79" s="50"/>
      <c r="AJ79" s="10"/>
      <c r="AK79" s="23">
        <f t="shared" ref="AK79" si="265">+AO79-AO78</f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ref="AQ79" si="266">+AK79/AO78</f>
        <v>1.7536163874890334E-2</v>
      </c>
      <c r="AR79" s="25"/>
      <c r="AS79" s="25"/>
      <c r="AT79" s="24"/>
      <c r="AU79" s="344">
        <f t="shared" ref="AU79" si="267">+AO79/H79</f>
        <v>0.28200787230156538</v>
      </c>
      <c r="AV79" s="344"/>
      <c r="AW79" s="24">
        <f t="shared" ref="AW79" si="268">+AO79/BV79</f>
        <v>7124.6428571428569</v>
      </c>
      <c r="AX79" s="354"/>
      <c r="AY79" s="10"/>
      <c r="AZ79" s="66">
        <f t="shared" ref="AZ79" si="269">+BB79-BB78</f>
        <v>455839</v>
      </c>
      <c r="BA79" s="67"/>
      <c r="BB79" s="67">
        <v>16331312</v>
      </c>
      <c r="BC79" s="67"/>
      <c r="BD79" s="67">
        <f t="shared" ref="BD79" si="270">+D79</f>
        <v>22658</v>
      </c>
      <c r="BE79" s="67"/>
      <c r="BF79" s="157">
        <f t="shared" ref="BF79" si="271">+BD79/AZ79</f>
        <v>4.9706146249004581E-2</v>
      </c>
      <c r="BG79" s="67"/>
      <c r="BH79" s="185"/>
      <c r="BI79" s="67"/>
      <c r="BJ79" s="67">
        <f t="shared" ref="BJ79" si="272">SUM(AZ73:AZ79)</f>
        <v>2892198</v>
      </c>
      <c r="BK79" s="67"/>
      <c r="BL79" s="157">
        <f t="shared" ref="BL79" si="273">+P79/BJ79</f>
        <v>5.1027280981454246E-2</v>
      </c>
      <c r="BM79" s="66">
        <f t="shared" ref="BM79" si="274">+BB79/BV79</f>
        <v>233304.45714285714</v>
      </c>
      <c r="BN79" s="67"/>
      <c r="BO79" s="67">
        <f t="shared" ref="BO79" si="275">+BO78+BD79</f>
        <v>1516157</v>
      </c>
      <c r="BP79" s="67"/>
      <c r="BQ79" s="74">
        <f t="shared" ref="BQ79" si="276">+BO79/BB79</f>
        <v>9.2837427880870807E-2</v>
      </c>
      <c r="BR79" s="67"/>
      <c r="BS79" s="86"/>
      <c r="BT79" s="185"/>
      <c r="BU79" s="1"/>
      <c r="BV79">
        <f t="shared" si="232"/>
        <v>70</v>
      </c>
    </row>
    <row r="80" spans="2:74" x14ac:dyDescent="0.3">
      <c r="B80" s="173">
        <f t="shared" si="209"/>
        <v>43980</v>
      </c>
      <c r="C80" s="61"/>
      <c r="D80" s="17"/>
      <c r="E80" s="16"/>
      <c r="F80" s="16"/>
      <c r="G80" s="16"/>
      <c r="H80" s="16"/>
      <c r="I80" s="16"/>
      <c r="J80" s="38"/>
      <c r="K80" s="16"/>
      <c r="L80" s="16"/>
      <c r="M80" s="16"/>
      <c r="N80" s="16"/>
      <c r="O80" s="41"/>
      <c r="P80" s="17"/>
      <c r="Q80" s="16"/>
      <c r="R80" s="60"/>
      <c r="S80" s="16"/>
      <c r="T80" s="41"/>
      <c r="U80" s="10"/>
      <c r="V80" s="34"/>
      <c r="W80" s="33"/>
      <c r="X80" s="33"/>
      <c r="Y80" s="33"/>
      <c r="Z80" s="33"/>
      <c r="AA80" s="33"/>
      <c r="AB80" s="46"/>
      <c r="AC80" s="33"/>
      <c r="AD80" s="33"/>
      <c r="AE80" s="50"/>
      <c r="AF80" s="33"/>
      <c r="AG80" s="33"/>
      <c r="AH80" s="233"/>
      <c r="AI80" s="50"/>
      <c r="AJ80" s="10"/>
      <c r="AK80" s="23"/>
      <c r="AL80" s="24"/>
      <c r="AM80" s="24"/>
      <c r="AN80" s="24"/>
      <c r="AO80" s="24"/>
      <c r="AP80" s="24"/>
      <c r="AQ80" s="25"/>
      <c r="AR80" s="25"/>
      <c r="AS80" s="25"/>
      <c r="AT80" s="24"/>
      <c r="AU80" s="344"/>
      <c r="AV80" s="344"/>
      <c r="AW80" s="24"/>
      <c r="AX80" s="354"/>
      <c r="AY80" s="10"/>
      <c r="AZ80" s="66"/>
      <c r="BA80" s="67"/>
      <c r="BB80" s="67"/>
      <c r="BC80" s="67"/>
      <c r="BD80" s="67"/>
      <c r="BE80" s="67"/>
      <c r="BF80" s="157"/>
      <c r="BG80" s="67"/>
      <c r="BH80" s="185"/>
      <c r="BI80" s="67"/>
      <c r="BJ80" s="67"/>
      <c r="BK80" s="67"/>
      <c r="BL80" s="157"/>
      <c r="BM80" s="66"/>
      <c r="BN80" s="67"/>
      <c r="BO80" s="67"/>
      <c r="BP80" s="67"/>
      <c r="BQ80" s="74"/>
      <c r="BR80" s="67"/>
      <c r="BS80" s="86"/>
      <c r="BT80" s="185"/>
      <c r="BU80" s="1"/>
      <c r="BV80">
        <f t="shared" si="232"/>
        <v>71</v>
      </c>
    </row>
    <row r="81" spans="2:84" x14ac:dyDescent="0.3">
      <c r="B81" s="173">
        <f t="shared" si="209"/>
        <v>43981</v>
      </c>
      <c r="C81" s="61"/>
      <c r="D81" s="17"/>
      <c r="E81" s="16"/>
      <c r="F81" s="16"/>
      <c r="G81" s="16"/>
      <c r="H81" s="16"/>
      <c r="I81" s="16"/>
      <c r="J81" s="38"/>
      <c r="K81" s="16"/>
      <c r="L81" s="16"/>
      <c r="M81" s="16"/>
      <c r="N81" s="16"/>
      <c r="O81" s="41"/>
      <c r="P81" s="17"/>
      <c r="Q81" s="16"/>
      <c r="R81" s="60"/>
      <c r="S81" s="16"/>
      <c r="T81" s="41"/>
      <c r="U81" s="10"/>
      <c r="V81" s="34"/>
      <c r="W81" s="33"/>
      <c r="X81" s="33"/>
      <c r="Y81" s="33"/>
      <c r="Z81" s="33"/>
      <c r="AA81" s="33"/>
      <c r="AB81" s="46"/>
      <c r="AC81" s="33"/>
      <c r="AD81" s="33"/>
      <c r="AE81" s="50"/>
      <c r="AF81" s="33"/>
      <c r="AG81" s="33"/>
      <c r="AH81" s="233"/>
      <c r="AI81" s="50"/>
      <c r="AJ81" s="10"/>
      <c r="AK81" s="23"/>
      <c r="AL81" s="24"/>
      <c r="AM81" s="24"/>
      <c r="AN81" s="24"/>
      <c r="AO81" s="24"/>
      <c r="AP81" s="24"/>
      <c r="AQ81" s="25"/>
      <c r="AR81" s="25"/>
      <c r="AS81" s="25"/>
      <c r="AT81" s="24"/>
      <c r="AU81" s="344"/>
      <c r="AV81" s="344"/>
      <c r="AW81" s="24"/>
      <c r="AX81" s="354"/>
      <c r="AY81" s="10"/>
      <c r="AZ81" s="66"/>
      <c r="BA81" s="67"/>
      <c r="BB81" s="67"/>
      <c r="BC81" s="67"/>
      <c r="BD81" s="67"/>
      <c r="BE81" s="67"/>
      <c r="BF81" s="157"/>
      <c r="BG81" s="67"/>
      <c r="BH81" s="185"/>
      <c r="BI81" s="67"/>
      <c r="BJ81" s="67"/>
      <c r="BK81" s="67"/>
      <c r="BL81" s="157"/>
      <c r="BM81" s="66"/>
      <c r="BN81" s="67"/>
      <c r="BO81" s="67"/>
      <c r="BP81" s="67"/>
      <c r="BQ81" s="74"/>
      <c r="BR81" s="67"/>
      <c r="BS81" s="86"/>
      <c r="BT81" s="185"/>
      <c r="BU81" s="1"/>
      <c r="BV81">
        <f t="shared" si="232"/>
        <v>72</v>
      </c>
    </row>
    <row r="82" spans="2:84" x14ac:dyDescent="0.3">
      <c r="B82" s="173">
        <f t="shared" si="209"/>
        <v>43982</v>
      </c>
      <c r="C82" s="61"/>
      <c r="D82" s="17"/>
      <c r="E82" s="16"/>
      <c r="F82" s="16"/>
      <c r="G82" s="16"/>
      <c r="H82" s="16"/>
      <c r="I82" s="16"/>
      <c r="J82" s="38"/>
      <c r="K82" s="16"/>
      <c r="L82" s="16"/>
      <c r="M82" s="16"/>
      <c r="N82" s="16"/>
      <c r="O82" s="41"/>
      <c r="P82" s="17"/>
      <c r="Q82" s="16"/>
      <c r="R82" s="60"/>
      <c r="S82" s="16"/>
      <c r="T82" s="41"/>
      <c r="U82" s="10"/>
      <c r="V82" s="34"/>
      <c r="W82" s="33"/>
      <c r="X82" s="33"/>
      <c r="Y82" s="33"/>
      <c r="Z82" s="33"/>
      <c r="AA82" s="33"/>
      <c r="AB82" s="46"/>
      <c r="AC82" s="33"/>
      <c r="AD82" s="33"/>
      <c r="AE82" s="50"/>
      <c r="AF82" s="33"/>
      <c r="AG82" s="33"/>
      <c r="AH82" s="233"/>
      <c r="AI82" s="50"/>
      <c r="AJ82" s="10"/>
      <c r="AK82" s="23"/>
      <c r="AL82" s="24"/>
      <c r="AM82" s="24"/>
      <c r="AN82" s="24"/>
      <c r="AO82" s="24"/>
      <c r="AP82" s="24"/>
      <c r="AQ82" s="25"/>
      <c r="AR82" s="25"/>
      <c r="AS82" s="25"/>
      <c r="AT82" s="24"/>
      <c r="AU82" s="344"/>
      <c r="AV82" s="344"/>
      <c r="AW82" s="24"/>
      <c r="AX82" s="354"/>
      <c r="AY82" s="10"/>
      <c r="AZ82" s="66"/>
      <c r="BA82" s="67"/>
      <c r="BB82" s="67"/>
      <c r="BC82" s="67"/>
      <c r="BD82" s="67"/>
      <c r="BE82" s="67"/>
      <c r="BF82" s="157"/>
      <c r="BG82" s="67"/>
      <c r="BH82" s="185"/>
      <c r="BI82" s="67"/>
      <c r="BJ82" s="67"/>
      <c r="BK82" s="67"/>
      <c r="BL82" s="157"/>
      <c r="BM82" s="66"/>
      <c r="BN82" s="67"/>
      <c r="BO82" s="67"/>
      <c r="BP82" s="67"/>
      <c r="BQ82" s="74"/>
      <c r="BR82" s="67"/>
      <c r="BS82" s="86"/>
      <c r="BT82" s="185"/>
      <c r="BU82" s="1"/>
      <c r="BV82">
        <f t="shared" si="232"/>
        <v>73</v>
      </c>
    </row>
    <row r="83" spans="2:84" x14ac:dyDescent="0.3">
      <c r="B83" s="173">
        <f t="shared" si="209"/>
        <v>43983</v>
      </c>
      <c r="C83" s="61"/>
      <c r="D83" s="17"/>
      <c r="E83" s="16"/>
      <c r="F83" s="16"/>
      <c r="G83" s="16"/>
      <c r="H83" s="16"/>
      <c r="I83" s="16"/>
      <c r="J83" s="38"/>
      <c r="K83" s="16"/>
      <c r="L83" s="16"/>
      <c r="M83" s="16"/>
      <c r="N83" s="16"/>
      <c r="O83" s="41"/>
      <c r="P83" s="17"/>
      <c r="Q83" s="16"/>
      <c r="R83" s="60"/>
      <c r="S83" s="16"/>
      <c r="T83" s="41"/>
      <c r="U83" s="10"/>
      <c r="V83" s="34"/>
      <c r="W83" s="33"/>
      <c r="X83" s="33"/>
      <c r="Y83" s="33"/>
      <c r="Z83" s="33"/>
      <c r="AA83" s="33"/>
      <c r="AB83" s="46"/>
      <c r="AC83" s="33"/>
      <c r="AD83" s="33"/>
      <c r="AE83" s="50"/>
      <c r="AF83" s="33"/>
      <c r="AG83" s="33"/>
      <c r="AH83" s="233"/>
      <c r="AI83" s="50"/>
      <c r="AJ83" s="10"/>
      <c r="AK83" s="23"/>
      <c r="AL83" s="24"/>
      <c r="AM83" s="24"/>
      <c r="AN83" s="24"/>
      <c r="AO83" s="24"/>
      <c r="AP83" s="24"/>
      <c r="AQ83" s="25"/>
      <c r="AR83" s="25"/>
      <c r="AS83" s="25"/>
      <c r="AT83" s="24"/>
      <c r="AU83" s="344"/>
      <c r="AV83" s="344"/>
      <c r="AW83" s="24"/>
      <c r="AX83" s="354"/>
      <c r="AY83" s="10"/>
      <c r="AZ83" s="66"/>
      <c r="BA83" s="67"/>
      <c r="BB83" s="67"/>
      <c r="BC83" s="67"/>
      <c r="BD83" s="67"/>
      <c r="BE83" s="67"/>
      <c r="BF83" s="157"/>
      <c r="BG83" s="67"/>
      <c r="BH83" s="185"/>
      <c r="BI83" s="67"/>
      <c r="BJ83" s="67"/>
      <c r="BK83" s="67"/>
      <c r="BL83" s="157"/>
      <c r="BM83" s="66"/>
      <c r="BN83" s="67"/>
      <c r="BO83" s="67"/>
      <c r="BP83" s="67"/>
      <c r="BQ83" s="74"/>
      <c r="BR83" s="67"/>
      <c r="BS83" s="86"/>
      <c r="BT83" s="185"/>
      <c r="BU83" s="1"/>
      <c r="BV83">
        <f t="shared" si="232"/>
        <v>74</v>
      </c>
    </row>
    <row r="84" spans="2:84" x14ac:dyDescent="0.3">
      <c r="B84" s="173">
        <f t="shared" si="209"/>
        <v>43984</v>
      </c>
      <c r="C84" s="61"/>
      <c r="D84" s="17"/>
      <c r="E84" s="16"/>
      <c r="F84" s="16"/>
      <c r="G84" s="16"/>
      <c r="H84" s="16"/>
      <c r="I84" s="16"/>
      <c r="J84" s="38"/>
      <c r="K84" s="16"/>
      <c r="L84" s="16"/>
      <c r="M84" s="16"/>
      <c r="N84" s="16"/>
      <c r="O84" s="41"/>
      <c r="P84" s="17"/>
      <c r="Q84" s="16"/>
      <c r="R84" s="60"/>
      <c r="S84" s="16"/>
      <c r="T84" s="41"/>
      <c r="U84" s="10"/>
      <c r="V84" s="34"/>
      <c r="W84" s="33"/>
      <c r="X84" s="33"/>
      <c r="Y84" s="33"/>
      <c r="Z84" s="33"/>
      <c r="AA84" s="33"/>
      <c r="AB84" s="46"/>
      <c r="AC84" s="33"/>
      <c r="AD84" s="33"/>
      <c r="AE84" s="50"/>
      <c r="AF84" s="33"/>
      <c r="AG84" s="33"/>
      <c r="AH84" s="233"/>
      <c r="AI84" s="50"/>
      <c r="AJ84" s="10"/>
      <c r="AK84" s="23"/>
      <c r="AL84" s="24"/>
      <c r="AM84" s="24"/>
      <c r="AN84" s="24"/>
      <c r="AO84" s="24"/>
      <c r="AP84" s="24"/>
      <c r="AQ84" s="25"/>
      <c r="AR84" s="25"/>
      <c r="AS84" s="25"/>
      <c r="AT84" s="24"/>
      <c r="AU84" s="344"/>
      <c r="AV84" s="344"/>
      <c r="AW84" s="24"/>
      <c r="AX84" s="354"/>
      <c r="AY84" s="10"/>
      <c r="AZ84" s="66"/>
      <c r="BA84" s="67"/>
      <c r="BB84" s="67"/>
      <c r="BC84" s="67"/>
      <c r="BD84" s="67"/>
      <c r="BE84" s="67"/>
      <c r="BF84" s="157"/>
      <c r="BG84" s="67"/>
      <c r="BH84" s="185"/>
      <c r="BI84" s="67"/>
      <c r="BJ84" s="67"/>
      <c r="BK84" s="67"/>
      <c r="BL84" s="157"/>
      <c r="BM84" s="66"/>
      <c r="BN84" s="67"/>
      <c r="BO84" s="67"/>
      <c r="BP84" s="67"/>
      <c r="BQ84" s="74"/>
      <c r="BR84" s="67"/>
      <c r="BS84" s="86"/>
      <c r="BT84" s="185"/>
      <c r="BU84" s="1"/>
      <c r="BV84">
        <f t="shared" si="232"/>
        <v>75</v>
      </c>
    </row>
    <row r="85" spans="2:84" x14ac:dyDescent="0.3">
      <c r="B85" s="173">
        <f t="shared" si="209"/>
        <v>43985</v>
      </c>
      <c r="C85" s="61"/>
      <c r="D85" s="17"/>
      <c r="E85" s="16"/>
      <c r="F85" s="16"/>
      <c r="G85" s="16"/>
      <c r="H85" s="16"/>
      <c r="I85" s="16"/>
      <c r="J85" s="38"/>
      <c r="K85" s="16"/>
      <c r="L85" s="16"/>
      <c r="M85" s="16"/>
      <c r="N85" s="16"/>
      <c r="O85" s="41"/>
      <c r="P85" s="17"/>
      <c r="Q85" s="16"/>
      <c r="R85" s="60"/>
      <c r="S85" s="16"/>
      <c r="T85" s="41"/>
      <c r="U85" s="10"/>
      <c r="V85" s="34"/>
      <c r="W85" s="33"/>
      <c r="X85" s="33"/>
      <c r="Y85" s="33"/>
      <c r="Z85" s="33"/>
      <c r="AA85" s="33"/>
      <c r="AB85" s="46"/>
      <c r="AC85" s="33"/>
      <c r="AD85" s="33"/>
      <c r="AE85" s="50"/>
      <c r="AF85" s="33"/>
      <c r="AG85" s="33"/>
      <c r="AH85" s="233"/>
      <c r="AI85" s="50"/>
      <c r="AJ85" s="10"/>
      <c r="AK85" s="23"/>
      <c r="AL85" s="24"/>
      <c r="AM85" s="24"/>
      <c r="AN85" s="24"/>
      <c r="AO85" s="24"/>
      <c r="AP85" s="24"/>
      <c r="AQ85" s="25"/>
      <c r="AR85" s="25"/>
      <c r="AS85" s="25"/>
      <c r="AT85" s="24"/>
      <c r="AU85" s="344"/>
      <c r="AV85" s="344"/>
      <c r="AW85" s="24"/>
      <c r="AX85" s="354"/>
      <c r="AY85" s="10"/>
      <c r="AZ85" s="66"/>
      <c r="BA85" s="67"/>
      <c r="BB85" s="67"/>
      <c r="BC85" s="67"/>
      <c r="BD85" s="67"/>
      <c r="BE85" s="67"/>
      <c r="BF85" s="157"/>
      <c r="BG85" s="67"/>
      <c r="BH85" s="185"/>
      <c r="BI85" s="67"/>
      <c r="BJ85" s="67"/>
      <c r="BK85" s="67"/>
      <c r="BL85" s="157"/>
      <c r="BM85" s="66"/>
      <c r="BN85" s="67"/>
      <c r="BO85" s="67"/>
      <c r="BP85" s="67"/>
      <c r="BQ85" s="74"/>
      <c r="BR85" s="67"/>
      <c r="BS85" s="86"/>
      <c r="BT85" s="185"/>
      <c r="BU85" s="1"/>
      <c r="BV85">
        <f t="shared" si="232"/>
        <v>76</v>
      </c>
    </row>
    <row r="86" spans="2:84" x14ac:dyDescent="0.3">
      <c r="B86" s="173">
        <f t="shared" si="209"/>
        <v>43986</v>
      </c>
      <c r="D86" s="18"/>
      <c r="E86" s="19"/>
      <c r="F86" s="19"/>
      <c r="G86" s="19"/>
      <c r="H86" s="19"/>
      <c r="I86" s="19"/>
      <c r="J86" s="39"/>
      <c r="K86" s="19"/>
      <c r="L86" s="19"/>
      <c r="M86" s="19"/>
      <c r="N86" s="19"/>
      <c r="O86" s="43"/>
      <c r="P86" s="18"/>
      <c r="Q86" s="19"/>
      <c r="R86" s="19"/>
      <c r="S86" s="19"/>
      <c r="T86" s="43"/>
      <c r="U86" s="1"/>
      <c r="V86" s="35"/>
      <c r="W86" s="36"/>
      <c r="X86" s="36"/>
      <c r="Y86" s="36"/>
      <c r="Z86" s="36"/>
      <c r="AA86" s="36"/>
      <c r="AB86" s="47"/>
      <c r="AC86" s="36"/>
      <c r="AD86" s="36"/>
      <c r="AE86" s="51"/>
      <c r="AF86" s="36"/>
      <c r="AG86" s="36"/>
      <c r="AH86" s="36"/>
      <c r="AI86" s="51"/>
      <c r="AJ86" s="1"/>
      <c r="AK86" s="26"/>
      <c r="AL86" s="27"/>
      <c r="AM86" s="27"/>
      <c r="AN86" s="27"/>
      <c r="AO86" s="27"/>
      <c r="AP86" s="27"/>
      <c r="AQ86" s="27"/>
      <c r="AR86" s="27"/>
      <c r="AS86" s="27"/>
      <c r="AT86" s="27"/>
      <c r="AU86" s="346"/>
      <c r="AV86" s="346"/>
      <c r="AW86" s="27"/>
      <c r="AX86" s="353"/>
      <c r="AY86" s="1"/>
      <c r="AZ86" s="68"/>
      <c r="BA86" s="69"/>
      <c r="BB86" s="69"/>
      <c r="BC86" s="69"/>
      <c r="BD86" s="69"/>
      <c r="BE86" s="69"/>
      <c r="BF86" s="69"/>
      <c r="BG86" s="69"/>
      <c r="BH86" s="186"/>
      <c r="BI86" s="69"/>
      <c r="BJ86" s="69"/>
      <c r="BK86" s="69"/>
      <c r="BL86" s="69"/>
      <c r="BM86" s="68"/>
      <c r="BN86" s="69"/>
      <c r="BO86" s="69"/>
      <c r="BP86" s="69"/>
      <c r="BQ86" s="71"/>
      <c r="BR86" s="69"/>
      <c r="BS86" s="69"/>
      <c r="BT86" s="186"/>
      <c r="BU86" s="1"/>
      <c r="BV86">
        <f t="shared" si="232"/>
        <v>77</v>
      </c>
    </row>
    <row r="87" spans="2:84" x14ac:dyDescent="0.3">
      <c r="B87" s="56"/>
      <c r="D87" s="1"/>
      <c r="E87" s="1"/>
      <c r="F87" s="1"/>
      <c r="G87" s="1"/>
      <c r="H87" s="59"/>
      <c r="I87" s="1"/>
      <c r="J87" s="59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59"/>
      <c r="W87" s="1"/>
      <c r="X87" s="1"/>
      <c r="Y87" s="1"/>
      <c r="Z87" s="1"/>
      <c r="AA87" s="1"/>
      <c r="AB87" s="59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59"/>
      <c r="BC87" s="1"/>
      <c r="BD87" s="59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2:84" x14ac:dyDescent="0.3">
      <c r="B88" s="181" t="s">
        <v>84</v>
      </c>
      <c r="D88" s="56">
        <f>+D79</f>
        <v>22658</v>
      </c>
      <c r="E88" s="56"/>
      <c r="F88" s="56"/>
      <c r="G88" s="56"/>
      <c r="H88" s="56">
        <f t="shared" ref="H88:BO88" si="277">+H79</f>
        <v>1768479</v>
      </c>
      <c r="I88" s="56">
        <f t="shared" si="277"/>
        <v>0</v>
      </c>
      <c r="J88" s="56">
        <f t="shared" si="277"/>
        <v>1.2978421040874179E-2</v>
      </c>
      <c r="K88" s="56">
        <f t="shared" si="277"/>
        <v>0</v>
      </c>
      <c r="L88" s="56">
        <f t="shared" si="277"/>
        <v>0</v>
      </c>
      <c r="M88" s="56">
        <f t="shared" si="277"/>
        <v>0</v>
      </c>
      <c r="N88" s="56">
        <f t="shared" si="277"/>
        <v>25263.985714285714</v>
      </c>
      <c r="O88" s="56">
        <f t="shared" si="277"/>
        <v>0</v>
      </c>
      <c r="P88" s="56">
        <f t="shared" si="277"/>
        <v>147581</v>
      </c>
      <c r="Q88" s="56">
        <f t="shared" si="277"/>
        <v>0</v>
      </c>
      <c r="R88" s="56" t="e">
        <f t="shared" si="277"/>
        <v>#DIV/0!</v>
      </c>
      <c r="S88" s="56">
        <f t="shared" si="277"/>
        <v>0</v>
      </c>
      <c r="T88" s="56">
        <f t="shared" si="277"/>
        <v>0</v>
      </c>
      <c r="U88" s="56"/>
      <c r="V88" s="56">
        <f t="shared" si="277"/>
        <v>1223</v>
      </c>
      <c r="W88" s="56">
        <f t="shared" si="277"/>
        <v>0</v>
      </c>
      <c r="X88" s="56">
        <f t="shared" si="277"/>
        <v>0</v>
      </c>
      <c r="Y88" s="56">
        <f t="shared" si="277"/>
        <v>0</v>
      </c>
      <c r="Z88" s="56">
        <f t="shared" si="277"/>
        <v>103337</v>
      </c>
      <c r="AA88" s="56">
        <f t="shared" si="277"/>
        <v>0</v>
      </c>
      <c r="AB88" s="56">
        <f t="shared" si="277"/>
        <v>5.8432698380925074E-2</v>
      </c>
      <c r="AC88" s="56">
        <f t="shared" si="277"/>
        <v>0</v>
      </c>
      <c r="AD88" s="56">
        <f t="shared" si="277"/>
        <v>1476.2428571428572</v>
      </c>
      <c r="AE88" s="56">
        <f t="shared" si="277"/>
        <v>0</v>
      </c>
      <c r="AF88" s="56">
        <f t="shared" si="277"/>
        <v>6983</v>
      </c>
      <c r="AG88" s="56">
        <f t="shared" si="277"/>
        <v>0</v>
      </c>
      <c r="AH88" s="56" t="e">
        <f t="shared" si="277"/>
        <v>#DIV/0!</v>
      </c>
      <c r="AI88" s="56">
        <f t="shared" si="277"/>
        <v>0</v>
      </c>
      <c r="AJ88" s="56"/>
      <c r="AK88" s="56">
        <f t="shared" si="277"/>
        <v>8595</v>
      </c>
      <c r="AL88" s="56">
        <f t="shared" si="277"/>
        <v>0</v>
      </c>
      <c r="AM88" s="56">
        <f t="shared" si="277"/>
        <v>0</v>
      </c>
      <c r="AN88" s="56">
        <f t="shared" si="277"/>
        <v>178263</v>
      </c>
      <c r="AO88" s="56">
        <f t="shared" si="277"/>
        <v>498725</v>
      </c>
      <c r="AP88" s="56">
        <f t="shared" si="277"/>
        <v>0</v>
      </c>
      <c r="AQ88" s="56">
        <f t="shared" si="277"/>
        <v>1.7536163874890334E-2</v>
      </c>
      <c r="AR88" s="56">
        <f t="shared" si="277"/>
        <v>0</v>
      </c>
      <c r="AS88" s="56">
        <f t="shared" si="277"/>
        <v>0</v>
      </c>
      <c r="AT88" s="56">
        <f t="shared" si="277"/>
        <v>0</v>
      </c>
      <c r="AU88" s="56">
        <f t="shared" si="277"/>
        <v>0.28200787230156538</v>
      </c>
      <c r="AV88" s="56">
        <f t="shared" si="277"/>
        <v>0</v>
      </c>
      <c r="AW88" s="56">
        <f t="shared" si="277"/>
        <v>7124.6428571428569</v>
      </c>
      <c r="AX88" s="56">
        <f t="shared" si="277"/>
        <v>0</v>
      </c>
      <c r="AY88" s="56"/>
      <c r="AZ88" s="56">
        <f t="shared" si="277"/>
        <v>455839</v>
      </c>
      <c r="BA88" s="56">
        <f t="shared" si="277"/>
        <v>0</v>
      </c>
      <c r="BB88" s="56">
        <f t="shared" si="277"/>
        <v>16331312</v>
      </c>
      <c r="BC88" s="56">
        <f t="shared" si="277"/>
        <v>0</v>
      </c>
      <c r="BD88" s="56">
        <f t="shared" si="277"/>
        <v>22658</v>
      </c>
      <c r="BE88" s="56">
        <f t="shared" si="277"/>
        <v>0</v>
      </c>
      <c r="BF88" s="56">
        <f t="shared" si="277"/>
        <v>4.9706146249004581E-2</v>
      </c>
      <c r="BG88" s="56">
        <f t="shared" si="277"/>
        <v>0</v>
      </c>
      <c r="BH88" s="56"/>
      <c r="BI88" s="56">
        <f t="shared" si="277"/>
        <v>0</v>
      </c>
      <c r="BJ88" s="56">
        <f t="shared" si="277"/>
        <v>2892198</v>
      </c>
      <c r="BK88" s="56">
        <f t="shared" si="277"/>
        <v>0</v>
      </c>
      <c r="BL88" s="56">
        <f t="shared" si="277"/>
        <v>5.1027280981454246E-2</v>
      </c>
      <c r="BM88" s="56">
        <f t="shared" si="277"/>
        <v>233304.45714285714</v>
      </c>
      <c r="BN88" s="56">
        <f t="shared" si="277"/>
        <v>0</v>
      </c>
      <c r="BO88" s="56">
        <f t="shared" si="277"/>
        <v>1516157</v>
      </c>
      <c r="BP88" s="10"/>
      <c r="BQ88" s="62"/>
      <c r="BR88" s="10"/>
      <c r="BS88" s="10"/>
      <c r="BT88" s="10"/>
      <c r="BU88" s="10"/>
      <c r="BV88" s="161"/>
      <c r="BW88" s="10"/>
      <c r="BX88" s="62"/>
      <c r="BY88" s="10"/>
      <c r="BZ88" s="161"/>
      <c r="CA88" s="61"/>
      <c r="CB88" s="61"/>
      <c r="CC88" s="61"/>
      <c r="CD88" s="61"/>
      <c r="CE88" s="61"/>
      <c r="CF88" s="158"/>
    </row>
    <row r="89" spans="2:84" x14ac:dyDescent="0.3">
      <c r="B89" t="s">
        <v>120</v>
      </c>
      <c r="D89" s="56">
        <f>+D78-D79</f>
        <v>-2112</v>
      </c>
      <c r="H89" s="56">
        <f t="shared" ref="H89:BO89" si="278">+H78-H79</f>
        <v>-22658</v>
      </c>
      <c r="I89" s="56">
        <f t="shared" si="278"/>
        <v>0</v>
      </c>
      <c r="J89" s="56">
        <f t="shared" si="278"/>
        <v>-1.069594911706365E-3</v>
      </c>
      <c r="K89" s="56">
        <f t="shared" si="278"/>
        <v>0</v>
      </c>
      <c r="L89" s="56">
        <f t="shared" si="278"/>
        <v>0</v>
      </c>
      <c r="M89" s="56">
        <f t="shared" si="278"/>
        <v>0</v>
      </c>
      <c r="N89" s="56">
        <f t="shared" si="278"/>
        <v>37.767908902689669</v>
      </c>
      <c r="O89" s="56">
        <f t="shared" si="278"/>
        <v>0</v>
      </c>
      <c r="P89" s="56">
        <f t="shared" si="278"/>
        <v>5517</v>
      </c>
      <c r="Q89" s="56">
        <f t="shared" si="278"/>
        <v>0</v>
      </c>
      <c r="R89" s="56" t="e">
        <f t="shared" si="278"/>
        <v>#DIV/0!</v>
      </c>
      <c r="S89" s="56">
        <f t="shared" si="278"/>
        <v>0</v>
      </c>
      <c r="T89" s="56">
        <f t="shared" si="278"/>
        <v>0</v>
      </c>
      <c r="U89" s="56"/>
      <c r="V89" s="56">
        <f t="shared" si="278"/>
        <v>312</v>
      </c>
      <c r="W89" s="56">
        <f t="shared" si="278"/>
        <v>0</v>
      </c>
      <c r="X89" s="56">
        <f t="shared" si="278"/>
        <v>0</v>
      </c>
      <c r="Y89" s="56">
        <f t="shared" si="278"/>
        <v>0</v>
      </c>
      <c r="Z89" s="56">
        <f t="shared" si="278"/>
        <v>-1223</v>
      </c>
      <c r="AA89" s="56">
        <f t="shared" si="278"/>
        <v>0</v>
      </c>
      <c r="AB89" s="56">
        <f t="shared" si="278"/>
        <v>5.7834153624571061E-5</v>
      </c>
      <c r="AC89" s="56">
        <f t="shared" si="278"/>
        <v>0</v>
      </c>
      <c r="AD89" s="56">
        <f t="shared" si="278"/>
        <v>3.670186335403514</v>
      </c>
      <c r="AE89" s="56">
        <f t="shared" si="278"/>
        <v>0</v>
      </c>
      <c r="AF89" s="56">
        <f t="shared" si="278"/>
        <v>195</v>
      </c>
      <c r="AG89" s="56">
        <f t="shared" si="278"/>
        <v>0</v>
      </c>
      <c r="AH89" s="56" t="e">
        <f t="shared" si="278"/>
        <v>#DIV/0!</v>
      </c>
      <c r="AI89" s="56">
        <f t="shared" si="278"/>
        <v>0</v>
      </c>
      <c r="AJ89" s="56"/>
      <c r="AK89" s="56">
        <f t="shared" si="278"/>
        <v>1566</v>
      </c>
      <c r="AL89" s="56">
        <f t="shared" si="278"/>
        <v>0</v>
      </c>
      <c r="AM89" s="56">
        <f t="shared" si="278"/>
        <v>0</v>
      </c>
      <c r="AN89" s="56">
        <f t="shared" si="278"/>
        <v>0</v>
      </c>
      <c r="AO89" s="56">
        <f t="shared" si="278"/>
        <v>-8595</v>
      </c>
      <c r="AP89" s="56">
        <f t="shared" si="278"/>
        <v>0</v>
      </c>
      <c r="AQ89" s="56">
        <f t="shared" si="278"/>
        <v>3.6339533618478734E-3</v>
      </c>
      <c r="AR89" s="56">
        <f t="shared" si="278"/>
        <v>0</v>
      </c>
      <c r="AS89" s="56">
        <f t="shared" si="278"/>
        <v>0</v>
      </c>
      <c r="AT89" s="56">
        <f t="shared" si="278"/>
        <v>0</v>
      </c>
      <c r="AU89" s="56">
        <f t="shared" si="278"/>
        <v>-1.2631682339662165E-3</v>
      </c>
      <c r="AV89" s="56">
        <f t="shared" si="278"/>
        <v>0</v>
      </c>
      <c r="AW89" s="56">
        <f t="shared" si="278"/>
        <v>-21.309523809523853</v>
      </c>
      <c r="AX89" s="56">
        <f t="shared" si="278"/>
        <v>0</v>
      </c>
      <c r="AY89" s="56"/>
      <c r="AZ89" s="56">
        <f t="shared" si="278"/>
        <v>-112525</v>
      </c>
      <c r="BA89" s="56">
        <f t="shared" si="278"/>
        <v>0</v>
      </c>
      <c r="BB89" s="56">
        <f t="shared" si="278"/>
        <v>-455839</v>
      </c>
      <c r="BC89" s="56">
        <f t="shared" si="278"/>
        <v>0</v>
      </c>
      <c r="BD89" s="56">
        <f t="shared" si="278"/>
        <v>-2112</v>
      </c>
      <c r="BE89" s="56">
        <f t="shared" si="278"/>
        <v>0</v>
      </c>
      <c r="BF89" s="56">
        <f t="shared" si="278"/>
        <v>1.0139942171508418E-2</v>
      </c>
      <c r="BG89" s="56">
        <f t="shared" si="278"/>
        <v>0</v>
      </c>
      <c r="BH89" s="56"/>
      <c r="BI89" s="56">
        <f t="shared" si="278"/>
        <v>0</v>
      </c>
      <c r="BJ89" s="56">
        <f t="shared" si="278"/>
        <v>14701</v>
      </c>
      <c r="BK89" s="56">
        <f t="shared" si="278"/>
        <v>0</v>
      </c>
      <c r="BL89" s="56">
        <f t="shared" si="278"/>
        <v>1.6398395480171912E-3</v>
      </c>
      <c r="BM89" s="56">
        <f t="shared" si="278"/>
        <v>-3225.1383022774244</v>
      </c>
      <c r="BN89" s="56">
        <f t="shared" si="278"/>
        <v>0</v>
      </c>
      <c r="BO89" s="56">
        <f t="shared" si="278"/>
        <v>-22658</v>
      </c>
      <c r="BP89" s="10"/>
      <c r="BQ89" s="10"/>
      <c r="BR89" s="10"/>
      <c r="BS89" s="10"/>
      <c r="BT89" s="10"/>
      <c r="BU89" s="10"/>
      <c r="BV89" s="62"/>
      <c r="BW89" s="10"/>
      <c r="BX89" s="10"/>
      <c r="BY89" s="10"/>
      <c r="BZ89" s="62"/>
      <c r="CA89" s="61"/>
      <c r="CB89" s="61"/>
      <c r="CC89" s="61"/>
      <c r="CD89" s="61"/>
      <c r="CE89" s="61"/>
      <c r="CF89" s="117"/>
    </row>
    <row r="90" spans="2:84" x14ac:dyDescent="0.3">
      <c r="N90" s="59"/>
      <c r="Z90" s="56"/>
      <c r="AB90" s="59"/>
      <c r="AD90" s="275"/>
      <c r="AZ90" s="59"/>
      <c r="BF90" s="59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61"/>
      <c r="CB90" s="117"/>
      <c r="CC90" s="117"/>
      <c r="CD90" s="117"/>
      <c r="CE90" s="117"/>
    </row>
    <row r="91" spans="2:84" x14ac:dyDescent="0.3">
      <c r="D91" s="56"/>
      <c r="H91" s="1"/>
      <c r="N91" s="59"/>
      <c r="V91" s="56"/>
      <c r="Z91" s="1"/>
      <c r="AZ91" s="59"/>
      <c r="BB91" s="56"/>
      <c r="BD91" s="59"/>
      <c r="BI91" s="61"/>
      <c r="BJ91" s="61"/>
      <c r="BK91" s="61"/>
      <c r="BL91" s="61"/>
      <c r="BM91" s="61"/>
      <c r="BN91" s="61"/>
      <c r="BO91" s="61"/>
      <c r="BP91" s="61"/>
      <c r="BQ91" s="61"/>
      <c r="BR91" s="10"/>
      <c r="BS91" s="10"/>
    </row>
    <row r="92" spans="2:84" x14ac:dyDescent="0.3">
      <c r="H92" s="56"/>
      <c r="Z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BG92" s="108"/>
      <c r="BH92" s="108"/>
      <c r="BI92" s="108"/>
      <c r="BJ92" s="108"/>
      <c r="BK92" s="108"/>
      <c r="BL92" s="108"/>
      <c r="BM92" s="108"/>
      <c r="BN92" s="108"/>
      <c r="BO92" s="108"/>
      <c r="BP92" s="108"/>
      <c r="BQ92" s="90"/>
      <c r="BR92" s="1"/>
      <c r="BS92" s="1"/>
    </row>
    <row r="93" spans="2:84" x14ac:dyDescent="0.3">
      <c r="D93" s="1"/>
      <c r="E93" s="123" t="s">
        <v>28</v>
      </c>
      <c r="F93" s="124"/>
      <c r="G93" s="124" t="s">
        <v>68</v>
      </c>
      <c r="H93" s="116"/>
      <c r="I93" s="116"/>
      <c r="J93" s="116"/>
      <c r="K93" s="61"/>
      <c r="L93" s="10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90"/>
      <c r="BR93" s="1"/>
      <c r="BS93" s="1"/>
    </row>
    <row r="94" spans="2:84" x14ac:dyDescent="0.3">
      <c r="D94" s="1"/>
      <c r="E94" s="123" t="s">
        <v>40</v>
      </c>
      <c r="F94" s="124"/>
      <c r="G94" s="124" t="s">
        <v>42</v>
      </c>
      <c r="H94" s="10"/>
      <c r="I94" s="10"/>
      <c r="J94" s="10"/>
      <c r="K94" s="61"/>
      <c r="L94" s="10"/>
      <c r="AC94" s="1"/>
      <c r="AD94" s="1"/>
      <c r="AE94" s="1"/>
      <c r="AF94" s="1"/>
      <c r="AG94" s="1"/>
      <c r="AH94" s="1"/>
      <c r="AI94" s="1"/>
      <c r="AJ94" s="1"/>
      <c r="AK94" s="1" t="s">
        <v>17</v>
      </c>
      <c r="AL94" s="1"/>
      <c r="AM94" s="1"/>
      <c r="AN94" s="1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90"/>
      <c r="BR94" s="1"/>
      <c r="BS94" s="1"/>
    </row>
    <row r="95" spans="2:84" x14ac:dyDescent="0.3">
      <c r="D95" s="1"/>
      <c r="E95" s="123" t="s">
        <v>47</v>
      </c>
      <c r="F95" s="124"/>
      <c r="G95" s="124" t="s">
        <v>58</v>
      </c>
      <c r="H95" s="10"/>
      <c r="I95" s="10"/>
      <c r="J95" s="10"/>
      <c r="K95" s="61"/>
      <c r="L95" s="10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90"/>
      <c r="BR95" s="1"/>
      <c r="BS95" s="1"/>
    </row>
    <row r="96" spans="2:84" x14ac:dyDescent="0.3">
      <c r="D96" s="1"/>
      <c r="E96" s="123" t="s">
        <v>69</v>
      </c>
      <c r="F96" s="61"/>
      <c r="G96" s="93" t="s">
        <v>70</v>
      </c>
      <c r="H96" s="61"/>
      <c r="I96" s="61"/>
      <c r="J96" s="61"/>
      <c r="K96" s="61"/>
      <c r="L96" s="6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90"/>
      <c r="BR96" s="1"/>
      <c r="BS96" s="1"/>
    </row>
    <row r="97" spans="4:86" x14ac:dyDescent="0.3">
      <c r="AC97" s="1"/>
      <c r="AD97" s="1"/>
      <c r="AE97" s="1"/>
      <c r="AF97" s="1"/>
      <c r="AG97" s="1"/>
      <c r="AH97" s="1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1"/>
      <c r="BS97" s="1"/>
    </row>
    <row r="98" spans="4:86" x14ac:dyDescent="0.3">
      <c r="AC98" s="1"/>
      <c r="AD98" s="1"/>
      <c r="AE98" s="1"/>
      <c r="AF98" s="1"/>
      <c r="AG98" s="1"/>
      <c r="AH98" s="1"/>
    </row>
    <row r="99" spans="4:86" x14ac:dyDescent="0.3">
      <c r="D99" s="56"/>
      <c r="AC99" s="1"/>
      <c r="AD99" s="1"/>
      <c r="AE99" s="1"/>
      <c r="AF99" s="1"/>
      <c r="AG99" s="1"/>
      <c r="AH99" s="1"/>
    </row>
    <row r="100" spans="4:86" x14ac:dyDescent="0.3">
      <c r="D100" s="1">
        <v>4900</v>
      </c>
      <c r="AC100" s="1"/>
      <c r="AD100" s="1"/>
      <c r="AE100" s="1"/>
      <c r="AF100" s="1"/>
      <c r="AG100" s="1"/>
      <c r="AH100" s="1"/>
    </row>
    <row r="101" spans="4:86" x14ac:dyDescent="0.3">
      <c r="D101" s="1">
        <v>1000000</v>
      </c>
      <c r="AC101" s="1"/>
      <c r="AD101" s="1"/>
      <c r="AE101" s="1"/>
      <c r="AF101" s="1"/>
      <c r="AG101" s="1"/>
      <c r="AH101" s="1"/>
    </row>
    <row r="102" spans="4:86" x14ac:dyDescent="0.3">
      <c r="AC102" s="1"/>
      <c r="AD102" s="1"/>
      <c r="AE102" s="1"/>
      <c r="AF102" s="1"/>
      <c r="AG102" s="1"/>
      <c r="AH102" s="1"/>
    </row>
    <row r="103" spans="4:86" x14ac:dyDescent="0.3">
      <c r="D103" s="279">
        <f>+D100/D101</f>
        <v>4.8999999999999998E-3</v>
      </c>
      <c r="AC103" s="1"/>
      <c r="AD103" s="1"/>
      <c r="AE103" s="1"/>
      <c r="AF103" s="1"/>
      <c r="AG103" s="1"/>
      <c r="AH103" s="1"/>
    </row>
    <row r="104" spans="4:86" x14ac:dyDescent="0.3">
      <c r="AC104" s="1"/>
      <c r="AD104" s="1"/>
      <c r="AE104" s="1"/>
      <c r="AF104" s="1"/>
      <c r="AG104" s="1"/>
      <c r="AH104" s="1"/>
    </row>
    <row r="105" spans="4:86" x14ac:dyDescent="0.3">
      <c r="AC105" s="1"/>
      <c r="AD105" s="1"/>
      <c r="AE105" s="1"/>
      <c r="AF105" s="1"/>
      <c r="AG105" s="1"/>
      <c r="AH105" s="1"/>
    </row>
    <row r="106" spans="4:86" x14ac:dyDescent="0.3">
      <c r="AC106" s="1"/>
      <c r="AD106" s="1"/>
      <c r="AE106" s="1"/>
      <c r="AF106" s="1"/>
      <c r="AG106" s="1"/>
      <c r="AH106" s="1"/>
    </row>
    <row r="107" spans="4:86" x14ac:dyDescent="0.3">
      <c r="AC107" s="1"/>
      <c r="AD107" s="1"/>
      <c r="AE107" s="1"/>
      <c r="AF107" s="1"/>
      <c r="AG107" s="1"/>
      <c r="AH107" s="1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1"/>
      <c r="BS107" s="1"/>
      <c r="BT107" s="1"/>
      <c r="BU107" s="1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90"/>
    </row>
    <row r="108" spans="4:86" x14ac:dyDescent="0.3">
      <c r="AC108" s="10"/>
      <c r="AD108" s="10"/>
      <c r="AE108" s="10"/>
      <c r="AF108" s="10"/>
      <c r="AG108" s="10"/>
      <c r="AH108" s="10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89"/>
      <c r="BW108" s="89"/>
      <c r="BX108" s="89"/>
      <c r="BY108" s="89"/>
      <c r="BZ108" s="121"/>
      <c r="CA108" s="1"/>
      <c r="CB108" s="1"/>
      <c r="CC108" s="1"/>
      <c r="CD108" s="1"/>
      <c r="CE108" s="1"/>
      <c r="CF108" s="1"/>
      <c r="CG108" s="1"/>
      <c r="CH108" s="1"/>
    </row>
    <row r="109" spans="4:86" x14ac:dyDescent="0.3">
      <c r="D109">
        <v>10</v>
      </c>
      <c r="AC109" s="10"/>
      <c r="AD109" s="10"/>
      <c r="AE109" s="10"/>
      <c r="AF109" s="10"/>
      <c r="AG109" s="10"/>
      <c r="AH109" s="10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89"/>
      <c r="BW109" s="89"/>
      <c r="BX109" s="89"/>
      <c r="BY109" s="89"/>
      <c r="BZ109" s="89"/>
      <c r="CA109" s="1"/>
      <c r="CB109" s="1"/>
      <c r="CC109" s="1"/>
      <c r="CD109" s="1"/>
      <c r="CE109" s="1"/>
      <c r="CF109" s="1"/>
      <c r="CG109" s="1"/>
      <c r="CH109" s="1"/>
    </row>
    <row r="110" spans="4:86" x14ac:dyDescent="0.3">
      <c r="D110" s="1">
        <v>1000000</v>
      </c>
      <c r="AC110" s="10"/>
      <c r="AD110" s="10"/>
      <c r="AE110" s="10"/>
      <c r="AF110" s="10"/>
      <c r="AG110" s="10"/>
      <c r="AH110" s="10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89"/>
      <c r="BW110" s="89"/>
      <c r="BX110" s="89"/>
      <c r="BY110" s="89"/>
      <c r="BZ110" s="89"/>
      <c r="CA110" s="1"/>
      <c r="CB110" s="1"/>
      <c r="CC110" s="1"/>
      <c r="CD110" s="1"/>
      <c r="CE110" s="1"/>
      <c r="CF110" s="1"/>
    </row>
    <row r="111" spans="4:86" x14ac:dyDescent="0.3">
      <c r="D111" s="57">
        <f>+D109/D110</f>
        <v>1.0000000000000001E-5</v>
      </c>
      <c r="AC111" s="10"/>
      <c r="AD111" s="10"/>
      <c r="AE111" s="10"/>
      <c r="AF111" s="10"/>
      <c r="AG111" s="10"/>
      <c r="AH111" s="10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89"/>
      <c r="BW111" s="89"/>
      <c r="BX111" s="89"/>
      <c r="BY111" s="89"/>
      <c r="BZ111" s="89"/>
      <c r="CA111" s="1"/>
      <c r="CB111" s="1"/>
      <c r="CC111" s="1"/>
      <c r="CD111" s="1"/>
      <c r="CE111" s="1"/>
      <c r="CF111" s="1"/>
    </row>
    <row r="112" spans="4:86" x14ac:dyDescent="0.3">
      <c r="AC112" s="10"/>
      <c r="AD112" s="10"/>
      <c r="AE112" s="10"/>
      <c r="AF112" s="10"/>
      <c r="AG112" s="10"/>
      <c r="AH112" s="10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89"/>
      <c r="BW112" s="89"/>
      <c r="BX112" s="122"/>
      <c r="BY112" s="89"/>
      <c r="BZ112" s="89"/>
    </row>
    <row r="113" spans="2:78" x14ac:dyDescent="0.3">
      <c r="D113" s="1">
        <v>330000000</v>
      </c>
      <c r="AC113" s="10"/>
      <c r="AD113" s="10"/>
      <c r="AE113" s="10"/>
      <c r="AF113" s="10"/>
      <c r="AG113" s="10"/>
      <c r="AH113" s="10"/>
      <c r="AI113" s="90"/>
      <c r="AJ113" s="90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90"/>
      <c r="BB113" s="90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89"/>
      <c r="BW113" s="89"/>
      <c r="BX113" s="89"/>
      <c r="BY113" s="89"/>
      <c r="BZ113" s="89"/>
    </row>
    <row r="114" spans="2:78" x14ac:dyDescent="0.3">
      <c r="AC114" s="10"/>
      <c r="AD114" s="10"/>
      <c r="AE114" s="10"/>
      <c r="AF114" s="10"/>
      <c r="AG114" s="10"/>
      <c r="AH114" s="10"/>
      <c r="AI114" s="90"/>
      <c r="AJ114" s="90"/>
      <c r="AK114" s="151"/>
      <c r="AL114" s="151"/>
      <c r="AM114" s="151"/>
      <c r="AN114" s="151"/>
      <c r="AO114" s="151"/>
      <c r="AP114" s="151"/>
      <c r="AQ114" s="151"/>
      <c r="AR114" s="90"/>
      <c r="AS114" s="90"/>
      <c r="AT114" s="90"/>
      <c r="AU114" s="110"/>
      <c r="AV114" s="110"/>
      <c r="AW114" s="110"/>
      <c r="AX114" s="110"/>
      <c r="AY114" s="90"/>
      <c r="AZ114" s="90"/>
      <c r="BA114" s="110"/>
      <c r="BB114" s="9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89"/>
      <c r="BW114" s="89"/>
      <c r="BX114" s="89"/>
      <c r="BY114" s="89"/>
      <c r="BZ114" s="89"/>
    </row>
    <row r="115" spans="2:78" x14ac:dyDescent="0.3">
      <c r="D115" s="472">
        <f>+H72/D113</f>
        <v>4.9118121212121208E-3</v>
      </c>
      <c r="AC115" s="10"/>
      <c r="AD115" s="10"/>
      <c r="AE115" s="10"/>
      <c r="AF115" s="10"/>
      <c r="AG115" s="10"/>
      <c r="AH115" s="10"/>
      <c r="AI115" s="90"/>
      <c r="AJ115" s="90"/>
      <c r="AK115" s="151"/>
      <c r="AL115" s="151"/>
      <c r="AM115" s="151"/>
      <c r="AN115" s="151"/>
      <c r="AO115" s="151"/>
      <c r="AP115" s="151"/>
      <c r="AQ115" s="151"/>
      <c r="AR115" s="151"/>
      <c r="AS115" s="110"/>
      <c r="AT115" s="90"/>
      <c r="AU115" s="110"/>
      <c r="AV115" s="110"/>
      <c r="AW115" s="110"/>
      <c r="AX115" s="110"/>
      <c r="AY115" s="90"/>
      <c r="AZ115" s="90"/>
      <c r="BA115" s="110"/>
      <c r="BB115" s="90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89"/>
      <c r="BW115" s="89"/>
      <c r="BX115" s="89"/>
      <c r="BY115" s="89"/>
      <c r="BZ115" s="89"/>
    </row>
    <row r="116" spans="2:78" x14ac:dyDescent="0.3">
      <c r="D116">
        <v>150000</v>
      </c>
      <c r="AC116" s="10"/>
      <c r="AD116" s="10"/>
      <c r="AE116" s="10"/>
      <c r="AF116" s="10"/>
      <c r="AG116" s="10"/>
      <c r="AH116" s="10"/>
      <c r="AI116" s="90"/>
      <c r="AJ116" s="90"/>
      <c r="AK116" s="90"/>
      <c r="AL116" s="90"/>
      <c r="AM116" s="152"/>
      <c r="AN116" s="152"/>
      <c r="AO116" s="152"/>
      <c r="AP116" s="152"/>
      <c r="AQ116" s="152"/>
      <c r="AR116" s="90"/>
      <c r="AS116" s="90"/>
      <c r="AT116" s="90"/>
      <c r="AU116" s="110"/>
      <c r="AV116" s="110"/>
      <c r="AW116" s="110"/>
      <c r="AX116" s="110"/>
      <c r="AY116" s="90"/>
      <c r="AZ116" s="90"/>
      <c r="BA116" s="110"/>
      <c r="BB116" s="90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89"/>
      <c r="BW116" s="89"/>
      <c r="BX116" s="89"/>
      <c r="BY116" s="89"/>
      <c r="BZ116" s="89"/>
    </row>
    <row r="117" spans="2:78" x14ac:dyDescent="0.3">
      <c r="D117" s="279">
        <f>+D116/D113</f>
        <v>4.5454545454545455E-4</v>
      </c>
      <c r="AC117" s="10"/>
      <c r="AD117" s="10"/>
      <c r="AE117" s="10"/>
      <c r="AF117" s="10"/>
      <c r="AG117" s="10"/>
      <c r="AH117" s="10"/>
      <c r="AI117" s="90"/>
      <c r="AJ117" s="90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10"/>
      <c r="AV117" s="110"/>
      <c r="AW117" s="110"/>
      <c r="AX117" s="110"/>
      <c r="AY117" s="90"/>
      <c r="AZ117" s="90"/>
      <c r="BA117" s="110"/>
      <c r="BB117" s="90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</row>
    <row r="118" spans="2:78" x14ac:dyDescent="0.3">
      <c r="D118">
        <v>28.59</v>
      </c>
      <c r="AC118" s="10"/>
      <c r="AD118" s="10"/>
      <c r="AE118" s="10"/>
      <c r="AF118" s="10"/>
      <c r="AG118" s="10"/>
      <c r="AH118" s="10"/>
      <c r="AI118" s="90"/>
      <c r="AJ118" s="90"/>
      <c r="AK118" s="90"/>
      <c r="AL118" s="90"/>
      <c r="AM118" s="152"/>
      <c r="AN118" s="152"/>
      <c r="AO118" s="152"/>
      <c r="AP118" s="152"/>
      <c r="AQ118" s="152"/>
      <c r="AR118" s="152"/>
      <c r="AS118" s="152"/>
      <c r="AT118" s="90"/>
      <c r="AU118" s="110"/>
      <c r="AV118" s="110"/>
      <c r="AW118" s="110"/>
      <c r="AX118" s="110"/>
      <c r="AY118" s="90"/>
      <c r="AZ118" s="90"/>
      <c r="BA118" s="110"/>
      <c r="BB118" s="90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</row>
    <row r="119" spans="2:78" x14ac:dyDescent="0.3">
      <c r="AC119" s="10"/>
      <c r="AD119" s="10"/>
      <c r="AE119" s="10"/>
      <c r="AF119" s="10"/>
      <c r="AG119" s="10"/>
      <c r="AH119" s="10"/>
      <c r="AI119" s="90"/>
      <c r="AJ119" s="90"/>
      <c r="AK119" s="90"/>
      <c r="AL119" s="90"/>
      <c r="AM119" s="152"/>
      <c r="AN119" s="152"/>
      <c r="AO119" s="152"/>
      <c r="AP119" s="152"/>
      <c r="AQ119" s="152"/>
      <c r="AR119" s="152"/>
      <c r="AS119" s="152"/>
      <c r="AT119" s="90"/>
      <c r="AU119" s="110"/>
      <c r="AV119" s="110"/>
      <c r="AW119" s="110"/>
      <c r="AX119" s="110"/>
      <c r="AY119" s="90"/>
      <c r="AZ119" s="90"/>
      <c r="BA119" s="110"/>
      <c r="BB119" s="90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</row>
    <row r="120" spans="2:78" x14ac:dyDescent="0.3">
      <c r="D120">
        <f>+D113/100000</f>
        <v>3300</v>
      </c>
      <c r="AC120" s="10"/>
      <c r="AD120" s="10"/>
      <c r="AE120" s="10"/>
      <c r="AF120" s="10"/>
      <c r="AG120" s="10"/>
      <c r="AH120" s="10"/>
      <c r="AI120" s="90"/>
      <c r="AJ120" s="90"/>
      <c r="AK120" s="90"/>
      <c r="AL120" s="90"/>
      <c r="AM120" s="152"/>
      <c r="AN120" s="152"/>
      <c r="AO120" s="152"/>
      <c r="AP120" s="152"/>
      <c r="AQ120" s="152"/>
      <c r="AR120" s="152"/>
      <c r="AS120" s="152"/>
      <c r="AT120" s="90"/>
      <c r="AU120" s="110"/>
      <c r="AV120" s="110"/>
      <c r="AW120" s="110"/>
      <c r="AX120" s="110"/>
      <c r="AY120" s="90"/>
      <c r="AZ120" s="90"/>
      <c r="BA120" s="110"/>
      <c r="BB120" s="90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</row>
    <row r="121" spans="2:78" x14ac:dyDescent="0.3">
      <c r="D121">
        <f>+D120*D118</f>
        <v>94347</v>
      </c>
      <c r="AC121" s="10"/>
      <c r="AD121" s="10"/>
      <c r="AE121" s="10"/>
      <c r="AF121" s="10"/>
      <c r="AG121" s="10"/>
      <c r="AH121" s="10"/>
      <c r="AI121" s="90"/>
      <c r="AJ121" s="90"/>
      <c r="AK121" s="90"/>
      <c r="AL121" s="90"/>
      <c r="AM121" s="152"/>
      <c r="AN121" s="152"/>
      <c r="AO121" s="152"/>
      <c r="AP121" s="152"/>
      <c r="AQ121" s="152"/>
      <c r="AR121" s="152"/>
      <c r="AS121" s="152"/>
      <c r="AT121" s="90"/>
      <c r="AU121" s="110"/>
      <c r="AV121" s="110"/>
      <c r="AW121" s="110"/>
      <c r="AX121" s="110"/>
      <c r="AY121" s="90"/>
      <c r="AZ121" s="90"/>
      <c r="BA121" s="110"/>
      <c r="BB121" s="90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</row>
    <row r="122" spans="2:78" x14ac:dyDescent="0.3">
      <c r="AC122" s="10"/>
      <c r="AD122" s="10"/>
      <c r="AE122" s="10"/>
      <c r="AF122" s="10"/>
      <c r="AG122" s="10"/>
      <c r="AH122" s="10"/>
      <c r="AI122" s="90"/>
      <c r="AJ122" s="90"/>
      <c r="AK122" s="90"/>
      <c r="AL122" s="90"/>
      <c r="AM122" s="152"/>
      <c r="AN122" s="152"/>
      <c r="AO122" s="152"/>
      <c r="AP122" s="152"/>
      <c r="AQ122" s="152"/>
      <c r="AR122" s="152"/>
      <c r="AS122" s="152"/>
      <c r="AT122" s="90"/>
      <c r="AU122" s="110"/>
      <c r="AV122" s="110"/>
      <c r="AW122" s="110"/>
      <c r="AX122" s="110"/>
      <c r="AY122" s="90"/>
      <c r="AZ122" s="90"/>
      <c r="BA122" s="110"/>
      <c r="BB122" s="90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</row>
    <row r="123" spans="2:78" x14ac:dyDescent="0.3">
      <c r="AC123" s="10"/>
      <c r="AD123" s="10"/>
      <c r="AE123" s="10"/>
      <c r="AF123" s="10"/>
      <c r="AG123" s="10"/>
      <c r="AH123" s="10"/>
      <c r="AI123" s="90"/>
      <c r="AJ123" s="90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90"/>
      <c r="AV123" s="90"/>
      <c r="AW123" s="90"/>
      <c r="AX123" s="90"/>
      <c r="AY123" s="90"/>
      <c r="AZ123" s="110"/>
      <c r="BA123" s="110"/>
      <c r="BB123" s="9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</row>
    <row r="124" spans="2:78" x14ac:dyDescent="0.3">
      <c r="AC124" s="10"/>
      <c r="AD124" s="10"/>
      <c r="AE124" s="10"/>
      <c r="AF124" s="10"/>
      <c r="AG124" s="10"/>
      <c r="AH124" s="10"/>
      <c r="AI124" s="90"/>
      <c r="AJ124" s="90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90"/>
      <c r="AZ124" s="90"/>
      <c r="BA124" s="110"/>
      <c r="BB124" s="90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</row>
    <row r="125" spans="2:78" x14ac:dyDescent="0.3">
      <c r="AI125" s="110"/>
      <c r="AJ125" s="110"/>
      <c r="AK125" s="110"/>
      <c r="AL125" s="110"/>
      <c r="AM125" s="110"/>
      <c r="AN125" s="110"/>
      <c r="AO125" s="110"/>
      <c r="AP125" s="110"/>
      <c r="AQ125" s="110"/>
      <c r="AR125" s="110"/>
      <c r="AS125" s="90"/>
      <c r="AT125" s="110"/>
      <c r="AU125" s="153"/>
      <c r="AV125" s="153"/>
      <c r="AW125" s="153"/>
      <c r="AX125" s="153"/>
      <c r="AY125" s="110"/>
      <c r="AZ125" s="110"/>
      <c r="BA125" s="110"/>
      <c r="BB125" s="110"/>
    </row>
    <row r="126" spans="2:78" x14ac:dyDescent="0.3">
      <c r="B126" s="125"/>
      <c r="D126" s="55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90"/>
      <c r="AV126" s="90"/>
      <c r="AW126" s="90"/>
      <c r="AX126" s="90"/>
      <c r="AY126" s="110"/>
      <c r="AZ126" s="154"/>
      <c r="BA126" s="110"/>
      <c r="BB126" s="110"/>
    </row>
    <row r="127" spans="2:78" x14ac:dyDescent="0.3">
      <c r="B127" s="1"/>
      <c r="D127" s="55"/>
      <c r="W127" s="61"/>
      <c r="X127" s="61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</row>
    <row r="128" spans="2:78" x14ac:dyDescent="0.3">
      <c r="B128" s="1"/>
      <c r="D128" s="55"/>
      <c r="W128" s="61"/>
      <c r="X128" s="61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110"/>
    </row>
    <row r="129" spans="2:43" x14ac:dyDescent="0.3">
      <c r="B129" s="1"/>
      <c r="D129" s="55"/>
      <c r="W129" s="61"/>
      <c r="X129" s="61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</row>
    <row r="130" spans="2:43" x14ac:dyDescent="0.3">
      <c r="B130" s="1"/>
      <c r="D130" s="55"/>
      <c r="W130" s="61"/>
      <c r="X130" s="61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</row>
    <row r="131" spans="2:43" x14ac:dyDescent="0.3">
      <c r="B131" s="55"/>
      <c r="D131" s="55"/>
      <c r="W131" s="61"/>
      <c r="X131" s="61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</row>
    <row r="132" spans="2:43" x14ac:dyDescent="0.3">
      <c r="B132" s="57"/>
      <c r="D132" s="55"/>
      <c r="W132" s="61"/>
      <c r="X132" s="61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110"/>
      <c r="AQ132" s="110"/>
    </row>
    <row r="133" spans="2:43" x14ac:dyDescent="0.3">
      <c r="B133" s="1"/>
      <c r="D133" s="55"/>
      <c r="W133" s="61"/>
      <c r="X133" s="61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</row>
    <row r="134" spans="2:43" x14ac:dyDescent="0.3">
      <c r="B134" s="1"/>
      <c r="D134" s="55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</row>
    <row r="135" spans="2:43" x14ac:dyDescent="0.3">
      <c r="B135" s="1"/>
      <c r="D135" s="55"/>
    </row>
    <row r="136" spans="2:43" x14ac:dyDescent="0.3">
      <c r="B136" s="1"/>
      <c r="D136" s="55"/>
    </row>
    <row r="137" spans="2:43" x14ac:dyDescent="0.3">
      <c r="B137" s="57" t="e">
        <f>+B136/B135</f>
        <v>#DIV/0!</v>
      </c>
      <c r="D137" s="55"/>
    </row>
    <row r="138" spans="2:43" x14ac:dyDescent="0.3">
      <c r="B138" s="1"/>
      <c r="D138" s="55"/>
    </row>
    <row r="139" spans="2:43" x14ac:dyDescent="0.3">
      <c r="B139" s="1"/>
      <c r="D139" s="55"/>
    </row>
    <row r="140" spans="2:43" x14ac:dyDescent="0.3">
      <c r="B140" s="1">
        <f>+B136*50</f>
        <v>0</v>
      </c>
      <c r="D140" s="55"/>
    </row>
    <row r="141" spans="2:43" x14ac:dyDescent="0.3">
      <c r="B141" s="1"/>
      <c r="D141" s="55"/>
    </row>
    <row r="142" spans="2:43" x14ac:dyDescent="0.3">
      <c r="B142" s="1"/>
      <c r="D142" s="55"/>
    </row>
    <row r="143" spans="2:43" x14ac:dyDescent="0.3">
      <c r="B143" s="1"/>
      <c r="D143" s="55"/>
    </row>
    <row r="144" spans="2:43" x14ac:dyDescent="0.3">
      <c r="B144" s="1"/>
      <c r="D144" s="55"/>
    </row>
    <row r="145" spans="2:4" x14ac:dyDescent="0.3">
      <c r="B145" s="1"/>
      <c r="D145" s="55"/>
    </row>
    <row r="146" spans="2:4" x14ac:dyDescent="0.3">
      <c r="B146" s="1"/>
      <c r="D146" s="55"/>
    </row>
    <row r="147" spans="2:4" x14ac:dyDescent="0.3">
      <c r="B147" s="1"/>
      <c r="D147" s="55"/>
    </row>
    <row r="148" spans="2:4" x14ac:dyDescent="0.3">
      <c r="B148" s="1"/>
      <c r="D148" s="55"/>
    </row>
    <row r="149" spans="2:4" x14ac:dyDescent="0.3">
      <c r="B149" s="1"/>
      <c r="D149" s="55"/>
    </row>
    <row r="150" spans="2:4" x14ac:dyDescent="0.3">
      <c r="B150" s="1"/>
    </row>
    <row r="151" spans="2:4" x14ac:dyDescent="0.3">
      <c r="B151" s="1"/>
    </row>
    <row r="152" spans="2:4" x14ac:dyDescent="0.3">
      <c r="B152" s="1"/>
    </row>
    <row r="153" spans="2:4" x14ac:dyDescent="0.3">
      <c r="B153" s="1"/>
    </row>
    <row r="154" spans="2:4" x14ac:dyDescent="0.3">
      <c r="B154" s="1"/>
    </row>
    <row r="155" spans="2:4" x14ac:dyDescent="0.3">
      <c r="B155" s="1"/>
    </row>
    <row r="156" spans="2:4" x14ac:dyDescent="0.3">
      <c r="B156" s="1"/>
    </row>
    <row r="157" spans="2:4" x14ac:dyDescent="0.3">
      <c r="B157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99"/>
  <sheetViews>
    <sheetView topLeftCell="A52" workbookViewId="0">
      <selection activeCell="Q80" sqref="Q8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04" t="s">
        <v>7</v>
      </c>
      <c r="F7" s="505"/>
      <c r="G7" s="509">
        <v>0.7</v>
      </c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10"/>
    </row>
    <row r="8" spans="3:40" x14ac:dyDescent="0.3">
      <c r="E8" s="506" t="s">
        <v>125</v>
      </c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8"/>
    </row>
    <row r="9" spans="3:40" x14ac:dyDescent="0.3">
      <c r="E9" s="524" t="s">
        <v>37</v>
      </c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6"/>
      <c r="Q9" s="522" t="s">
        <v>118</v>
      </c>
      <c r="R9" s="5"/>
      <c r="S9" s="519" t="s">
        <v>4</v>
      </c>
      <c r="T9" s="520"/>
      <c r="U9" s="521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4"/>
      <c r="Q10" s="523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85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85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16" t="s">
        <v>48</v>
      </c>
      <c r="AE14" s="517"/>
      <c r="AF14" s="518"/>
      <c r="AG14" s="208"/>
      <c r="AH14" s="514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15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+K87</f>
        <v>565477</v>
      </c>
      <c r="AG16" s="202"/>
      <c r="AH16" s="216">
        <f>+AJ31</f>
        <v>1739.3792650203216</v>
      </c>
      <c r="AI16" s="216"/>
      <c r="AJ16" s="217">
        <f>+S87</f>
        <v>44626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94895</v>
      </c>
      <c r="AG17" s="203"/>
      <c r="AH17" s="164">
        <v>1377</v>
      </c>
      <c r="AI17" s="216"/>
      <c r="AJ17" s="163">
        <v>6640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74220</v>
      </c>
      <c r="AG18" s="203"/>
      <c r="AH18" s="164">
        <v>580</v>
      </c>
      <c r="AI18" s="216"/>
      <c r="AJ18" s="163">
        <v>5373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734592</v>
      </c>
      <c r="AG19" s="203"/>
      <c r="AH19" s="203"/>
      <c r="AI19" s="203"/>
      <c r="AJ19" s="221">
        <f>SUM(AJ16:AJ18)</f>
        <v>56639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Table'!H88</f>
        <v>0.4153806745796812</v>
      </c>
      <c r="AG21" s="203"/>
      <c r="AH21" s="203"/>
      <c r="AI21" s="203"/>
      <c r="AJ21" s="223">
        <f>+AJ19/'Main Table'!Z88</f>
        <v>0.54809990613236304</v>
      </c>
      <c r="AK21" s="220"/>
      <c r="AL21" s="110"/>
      <c r="AM21" s="90"/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M24" s="90"/>
      <c r="AN24" s="90"/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16" t="s">
        <v>57</v>
      </c>
      <c r="AB25" s="517"/>
      <c r="AC25" s="517"/>
      <c r="AD25" s="517"/>
      <c r="AE25" s="517"/>
      <c r="AF25" s="517"/>
      <c r="AG25" s="517"/>
      <c r="AH25" s="517"/>
      <c r="AI25" s="517"/>
      <c r="AJ25" s="517"/>
      <c r="AK25" s="518"/>
      <c r="AL25" s="155"/>
      <c r="AM25" s="155"/>
      <c r="AN25" s="90"/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0"/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+E87</f>
        <v>366733</v>
      </c>
      <c r="AE27" s="170"/>
      <c r="AF27" s="201">
        <v>1885</v>
      </c>
      <c r="AG27" s="170"/>
      <c r="AH27" s="192">
        <f>+AD27/AD$31</f>
        <v>0.55534304906931242</v>
      </c>
      <c r="AI27" s="192"/>
      <c r="AJ27" s="170">
        <f>+AF27*AH27</f>
        <v>1046.8216474956539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+G87</f>
        <v>157185</v>
      </c>
      <c r="AE28" s="170"/>
      <c r="AF28" s="201">
        <v>1770</v>
      </c>
      <c r="AG28" s="170"/>
      <c r="AH28" s="192">
        <f>+AD28/AD$31</f>
        <v>0.23802493140230052</v>
      </c>
      <c r="AI28" s="192"/>
      <c r="AJ28" s="170">
        <f>+AF28*AH28</f>
        <v>421.30412858207194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+I87</f>
        <v>41559</v>
      </c>
      <c r="AE29" s="170"/>
      <c r="AF29" s="201">
        <v>1166</v>
      </c>
      <c r="AG29" s="170"/>
      <c r="AH29" s="192">
        <f>+AD29/AD$31</f>
        <v>6.2932710653995028E-2</v>
      </c>
      <c r="AI29" s="192"/>
      <c r="AJ29" s="170">
        <f>+AF29*AH29</f>
        <v>73.379540622558196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94895</v>
      </c>
      <c r="AE30" s="282"/>
      <c r="AF30" s="170">
        <f>+AH17</f>
        <v>1377</v>
      </c>
      <c r="AG30" s="282"/>
      <c r="AH30" s="192">
        <f>+AD30/AD$31</f>
        <v>0.143699308874392</v>
      </c>
      <c r="AI30" s="282"/>
      <c r="AJ30" s="170">
        <f>+AF30*AH30</f>
        <v>197.87394832003778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660372</v>
      </c>
      <c r="AE31" s="170"/>
      <c r="AF31" s="170"/>
      <c r="AG31" s="170"/>
      <c r="AH31" s="195">
        <f>SUM(AH27:AH30)</f>
        <v>0.99999999999999989</v>
      </c>
      <c r="AI31" s="192"/>
      <c r="AJ31" s="194">
        <f>SUM(AJ27:AJ30)</f>
        <v>1739.3792650203216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11" t="s">
        <v>31</v>
      </c>
      <c r="AB36" s="512"/>
      <c r="AC36" s="512"/>
      <c r="AD36" s="512"/>
      <c r="AE36" s="512"/>
      <c r="AF36" s="512"/>
      <c r="AG36" s="512"/>
      <c r="AH36" s="512"/>
      <c r="AI36" s="513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ref="K75" si="45">SUM(E75:I75)</f>
        <v>552706</v>
      </c>
      <c r="L75" s="6"/>
      <c r="M75" s="29">
        <f t="shared" ref="M75" si="46">+(K75-K74)/K74</f>
        <v>4.2389434074709331E-3</v>
      </c>
      <c r="N75" s="29"/>
      <c r="O75" s="29"/>
      <c r="P75" s="29"/>
      <c r="Q75" s="378">
        <f t="shared" ref="Q75" si="47">+K75-K74</f>
        <v>2333</v>
      </c>
      <c r="R75" s="6"/>
      <c r="S75" s="7">
        <f>28926+11082+3637</f>
        <v>43645</v>
      </c>
      <c r="T75" s="6"/>
      <c r="U75" s="288">
        <f t="shared" ref="U75" si="48">+S75/K75</f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ref="K76" si="49">SUM(E76:I76)</f>
        <v>556137</v>
      </c>
      <c r="L76" s="6"/>
      <c r="M76" s="29">
        <f t="shared" ref="M76" si="50">+(K76-K75)/K75</f>
        <v>6.2076402282587846E-3</v>
      </c>
      <c r="N76" s="29"/>
      <c r="O76" s="29"/>
      <c r="P76" s="29"/>
      <c r="Q76" s="378">
        <f t="shared" ref="Q76" si="51">+K76-K75</f>
        <v>3431</v>
      </c>
      <c r="R76" s="6"/>
      <c r="S76" s="7">
        <f>29141+11138+3696</f>
        <v>43975</v>
      </c>
      <c r="T76" s="6"/>
      <c r="U76" s="288">
        <f t="shared" ref="U76" si="52">+S76/K76</f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ref="K77" si="53">SUM(E77:I77)</f>
        <v>558729</v>
      </c>
      <c r="L77" s="6"/>
      <c r="M77" s="29">
        <f t="shared" ref="M77" si="54">+(K77-K76)/K76</f>
        <v>4.6607220882624242E-3</v>
      </c>
      <c r="N77" s="29"/>
      <c r="O77" s="29"/>
      <c r="P77" s="29"/>
      <c r="Q77" s="378">
        <f t="shared" ref="Q77" si="55">+K77-K76</f>
        <v>2592</v>
      </c>
      <c r="R77" s="6"/>
      <c r="S77" s="7">
        <f>29229+11147+3742</f>
        <v>44118</v>
      </c>
      <c r="T77" s="6"/>
      <c r="U77" s="288">
        <f t="shared" ref="U77" si="56">+S77/K77</f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>
        <v>363836</v>
      </c>
      <c r="F78" s="7"/>
      <c r="G78" s="7">
        <v>155764</v>
      </c>
      <c r="H78" s="7"/>
      <c r="I78" s="7">
        <v>41303</v>
      </c>
      <c r="J78" s="289"/>
      <c r="K78" s="7">
        <f t="shared" ref="K78" si="57">SUM(E78:I78)</f>
        <v>560903</v>
      </c>
      <c r="L78" s="6"/>
      <c r="M78" s="29">
        <f t="shared" ref="M78" si="58">+(K78-K77)/K77</f>
        <v>3.8909739784403529E-3</v>
      </c>
      <c r="N78" s="29"/>
      <c r="O78" s="29"/>
      <c r="P78" s="29"/>
      <c r="Q78" s="378">
        <f t="shared" ref="Q78" si="59">+K78-K77</f>
        <v>2174</v>
      </c>
      <c r="R78" s="6"/>
      <c r="S78" s="7">
        <f>29302+11194+3769</f>
        <v>44265</v>
      </c>
      <c r="T78" s="6"/>
      <c r="U78" s="288">
        <f t="shared" ref="U78" si="60">+S78/K78</f>
        <v>7.8917388568076827E-2</v>
      </c>
      <c r="W78">
        <f t="shared" si="0"/>
        <v>68</v>
      </c>
    </row>
    <row r="79" spans="3:23" x14ac:dyDescent="0.3">
      <c r="C79" s="172">
        <f t="shared" si="1"/>
        <v>43978</v>
      </c>
      <c r="E79" s="286">
        <v>364965</v>
      </c>
      <c r="F79" s="7"/>
      <c r="G79" s="7">
        <v>156628</v>
      </c>
      <c r="H79" s="7"/>
      <c r="I79" s="7">
        <v>41288</v>
      </c>
      <c r="J79" s="289"/>
      <c r="K79" s="7">
        <f t="shared" ref="K79" si="61">SUM(E79:I79)</f>
        <v>562881</v>
      </c>
      <c r="L79" s="6"/>
      <c r="M79" s="29">
        <f t="shared" ref="M79" si="62">+(K79-K78)/K78</f>
        <v>3.5264564461234831E-3</v>
      </c>
      <c r="N79" s="29"/>
      <c r="O79" s="29"/>
      <c r="P79" s="29"/>
      <c r="Q79" s="378">
        <f t="shared" ref="Q79" si="63">+K79-K78</f>
        <v>1978</v>
      </c>
      <c r="R79" s="6"/>
      <c r="S79" s="7">
        <f>29484+11339+3803</f>
        <v>44626</v>
      </c>
      <c r="T79" s="6"/>
      <c r="U79" s="288">
        <f t="shared" ref="U79" si="64">+S79/K79</f>
        <v>7.9281411168612897E-2</v>
      </c>
      <c r="W79">
        <f t="shared" si="0"/>
        <v>69</v>
      </c>
    </row>
    <row r="80" spans="3:23" x14ac:dyDescent="0.3">
      <c r="C80" s="172">
        <f t="shared" si="1"/>
        <v>43979</v>
      </c>
      <c r="E80" s="286">
        <v>366733</v>
      </c>
      <c r="F80" s="7"/>
      <c r="G80" s="7">
        <v>157185</v>
      </c>
      <c r="H80" s="7"/>
      <c r="I80" s="7">
        <v>41559</v>
      </c>
      <c r="J80" s="289"/>
      <c r="K80" s="7">
        <f t="shared" ref="K80" si="65">SUM(E80:I80)</f>
        <v>565477</v>
      </c>
      <c r="L80" s="6"/>
      <c r="M80" s="29">
        <f t="shared" ref="M80" si="66">+(K80-K79)/K79</f>
        <v>4.6119872584080828E-3</v>
      </c>
      <c r="N80" s="29"/>
      <c r="O80" s="29"/>
      <c r="P80" s="29"/>
      <c r="Q80" s="378">
        <f t="shared" ref="Q80" si="67">+K80-K79</f>
        <v>2596</v>
      </c>
      <c r="R80" s="6"/>
      <c r="S80" s="7">
        <f>29484+11339+3803</f>
        <v>44626</v>
      </c>
      <c r="T80" s="6"/>
      <c r="U80" s="288">
        <f t="shared" ref="U80" si="68">+S80/K80</f>
        <v>7.8917444918184115E-2</v>
      </c>
      <c r="W80">
        <f t="shared" si="0"/>
        <v>70</v>
      </c>
    </row>
    <row r="81" spans="3:41" x14ac:dyDescent="0.3">
      <c r="C81" s="172">
        <f t="shared" si="1"/>
        <v>43980</v>
      </c>
      <c r="E81" s="286"/>
      <c r="F81" s="7"/>
      <c r="G81" s="7"/>
      <c r="H81" s="7"/>
      <c r="I81" s="7"/>
      <c r="J81" s="289"/>
      <c r="K81" s="7"/>
      <c r="L81" s="6"/>
      <c r="M81" s="29"/>
      <c r="N81" s="29"/>
      <c r="O81" s="29"/>
      <c r="P81" s="29"/>
      <c r="Q81" s="378"/>
      <c r="R81" s="6"/>
      <c r="S81" s="7"/>
      <c r="T81" s="6"/>
      <c r="U81" s="288"/>
      <c r="W81">
        <f t="shared" si="0"/>
        <v>71</v>
      </c>
    </row>
    <row r="82" spans="3:41" x14ac:dyDescent="0.3">
      <c r="C82" s="172">
        <f t="shared" si="1"/>
        <v>43981</v>
      </c>
      <c r="E82" s="286"/>
      <c r="F82" s="7"/>
      <c r="G82" s="7"/>
      <c r="H82" s="7"/>
      <c r="I82" s="7"/>
      <c r="J82" s="289"/>
      <c r="K82" s="7"/>
      <c r="L82" s="6"/>
      <c r="M82" s="29"/>
      <c r="N82" s="29"/>
      <c r="O82" s="29"/>
      <c r="P82" s="29"/>
      <c r="Q82" s="378"/>
      <c r="R82" s="6"/>
      <c r="S82" s="7"/>
      <c r="T82" s="6"/>
      <c r="U82" s="288"/>
      <c r="W82">
        <f t="shared" si="0"/>
        <v>72</v>
      </c>
    </row>
    <row r="83" spans="3:41" x14ac:dyDescent="0.3">
      <c r="C83" s="172">
        <f t="shared" si="1"/>
        <v>43982</v>
      </c>
      <c r="E83" s="286"/>
      <c r="F83" s="7"/>
      <c r="G83" s="7"/>
      <c r="H83" s="7"/>
      <c r="I83" s="7"/>
      <c r="J83" s="289"/>
      <c r="K83" s="7"/>
      <c r="L83" s="6"/>
      <c r="M83" s="29"/>
      <c r="N83" s="29"/>
      <c r="O83" s="29"/>
      <c r="P83" s="29"/>
      <c r="Q83" s="378"/>
      <c r="R83" s="6"/>
      <c r="S83" s="7"/>
      <c r="T83" s="6"/>
      <c r="U83" s="288"/>
      <c r="W83">
        <f t="shared" si="0"/>
        <v>73</v>
      </c>
    </row>
    <row r="84" spans="3:41" x14ac:dyDescent="0.3">
      <c r="C84" s="172">
        <f t="shared" si="1"/>
        <v>43983</v>
      </c>
      <c r="E84" s="286"/>
      <c r="F84" s="7"/>
      <c r="G84" s="7"/>
      <c r="H84" s="7"/>
      <c r="I84" s="7"/>
      <c r="J84" s="289"/>
      <c r="K84" s="7"/>
      <c r="L84" s="6"/>
      <c r="M84" s="29"/>
      <c r="N84" s="29"/>
      <c r="O84" s="29"/>
      <c r="P84" s="29"/>
      <c r="Q84" s="378"/>
      <c r="R84" s="6"/>
      <c r="S84" s="7"/>
      <c r="T84" s="6"/>
      <c r="U84" s="288"/>
      <c r="W84">
        <f t="shared" si="0"/>
        <v>74</v>
      </c>
    </row>
    <row r="85" spans="3:41" ht="15" thickBot="1" x14ac:dyDescent="0.35">
      <c r="C85" s="172">
        <f t="shared" si="1"/>
        <v>43984</v>
      </c>
      <c r="E85" s="290"/>
      <c r="F85" s="291"/>
      <c r="G85" s="291"/>
      <c r="H85" s="291"/>
      <c r="I85" s="291"/>
      <c r="J85" s="291"/>
      <c r="K85" s="291"/>
      <c r="L85" s="292"/>
      <c r="M85" s="293"/>
      <c r="N85" s="293"/>
      <c r="O85" s="293"/>
      <c r="P85" s="293"/>
      <c r="Q85" s="377"/>
      <c r="R85" s="292"/>
      <c r="S85" s="292"/>
      <c r="T85" s="292"/>
      <c r="U85" s="294"/>
      <c r="W85">
        <f t="shared" si="0"/>
        <v>75</v>
      </c>
    </row>
    <row r="86" spans="3:41" x14ac:dyDescent="0.3">
      <c r="E86" s="56"/>
      <c r="F86" s="1"/>
      <c r="G86" s="56"/>
      <c r="H86" s="56"/>
      <c r="I86" s="56"/>
      <c r="J86" s="1"/>
      <c r="K86" s="56"/>
      <c r="S86" s="56"/>
    </row>
    <row r="87" spans="3:41" x14ac:dyDescent="0.3">
      <c r="C87" s="181" t="s">
        <v>83</v>
      </c>
      <c r="E87" s="56">
        <f>+E80</f>
        <v>366733</v>
      </c>
      <c r="F87" s="56">
        <f>+F52</f>
        <v>0</v>
      </c>
      <c r="G87" s="56">
        <f t="shared" ref="G87:S87" si="69">+G80</f>
        <v>157185</v>
      </c>
      <c r="H87" s="56">
        <f t="shared" si="69"/>
        <v>0</v>
      </c>
      <c r="I87" s="56">
        <f t="shared" si="69"/>
        <v>41559</v>
      </c>
      <c r="J87" s="56">
        <f t="shared" si="69"/>
        <v>0</v>
      </c>
      <c r="K87" s="56">
        <f t="shared" si="69"/>
        <v>565477</v>
      </c>
      <c r="L87" s="56">
        <f t="shared" si="69"/>
        <v>0</v>
      </c>
      <c r="M87" s="56">
        <f t="shared" si="69"/>
        <v>4.6119872584080828E-3</v>
      </c>
      <c r="N87" s="56">
        <f t="shared" si="69"/>
        <v>0</v>
      </c>
      <c r="O87" s="56"/>
      <c r="P87" s="56">
        <f t="shared" si="69"/>
        <v>0</v>
      </c>
      <c r="Q87" s="56">
        <f t="shared" si="69"/>
        <v>2596</v>
      </c>
      <c r="R87" s="56">
        <f t="shared" si="69"/>
        <v>0</v>
      </c>
      <c r="S87" s="56">
        <f t="shared" si="69"/>
        <v>44626</v>
      </c>
      <c r="T87" s="56">
        <f>+T60</f>
        <v>0</v>
      </c>
    </row>
    <row r="88" spans="3:41" x14ac:dyDescent="0.3">
      <c r="E88" s="56"/>
      <c r="G88" s="56"/>
      <c r="H88" s="56"/>
      <c r="I88" s="56"/>
      <c r="J88" s="56"/>
      <c r="K88" s="56"/>
      <c r="L88" s="56"/>
      <c r="M88" s="59"/>
      <c r="N88" s="56"/>
      <c r="O88" s="56"/>
      <c r="P88" s="56"/>
      <c r="Q88" s="56">
        <f>+Q78-Q79</f>
        <v>196</v>
      </c>
      <c r="R88" s="56"/>
      <c r="S88" s="56"/>
    </row>
    <row r="89" spans="3:41" x14ac:dyDescent="0.3">
      <c r="E89" s="59"/>
      <c r="K89" s="1"/>
    </row>
    <row r="90" spans="3:41" x14ac:dyDescent="0.3">
      <c r="C90" s="123"/>
      <c r="D90" s="124"/>
      <c r="E90" s="395"/>
      <c r="F90" s="10"/>
      <c r="G90" s="10"/>
      <c r="H90" s="10"/>
      <c r="I90" s="61"/>
      <c r="J90" s="10"/>
      <c r="K90" s="10"/>
      <c r="L90" s="10"/>
      <c r="M90" s="10"/>
      <c r="N90" s="10"/>
      <c r="O90" s="10"/>
      <c r="P90" s="10"/>
      <c r="Q90" s="395"/>
      <c r="R90" s="10"/>
      <c r="S90" s="10"/>
    </row>
    <row r="91" spans="3:41" x14ac:dyDescent="0.3">
      <c r="E91" s="56"/>
      <c r="K91" s="56">
        <f>+K73-K59</f>
        <v>54008</v>
      </c>
      <c r="Q91" s="56"/>
    </row>
    <row r="92" spans="3:41" x14ac:dyDescent="0.3">
      <c r="Q92" s="56"/>
      <c r="S92" s="59"/>
    </row>
    <row r="95" spans="3:41" x14ac:dyDescent="0.3">
      <c r="AO95" s="1">
        <v>3797000</v>
      </c>
    </row>
    <row r="96" spans="3:41" x14ac:dyDescent="0.3">
      <c r="C96" s="1"/>
    </row>
    <row r="97" spans="3:41" x14ac:dyDescent="0.3">
      <c r="C97" s="1"/>
      <c r="AO97" s="1">
        <v>30000</v>
      </c>
    </row>
    <row r="98" spans="3:41" x14ac:dyDescent="0.3">
      <c r="C98" s="59"/>
    </row>
    <row r="99" spans="3:41" x14ac:dyDescent="0.3">
      <c r="AO99" s="279">
        <f>+AO97/AO95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9"/>
  <sheetViews>
    <sheetView topLeftCell="A19" workbookViewId="0">
      <selection activeCell="P38" sqref="P38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4.6640625" bestFit="1" customWidth="1"/>
    <col min="22" max="22" width="1.88671875" customWidth="1"/>
    <col min="24" max="24" width="2" customWidth="1"/>
    <col min="26" max="26" width="2.33203125" customWidth="1"/>
    <col min="27" max="27" width="1.88671875" customWidth="1"/>
    <col min="28" max="28" width="2.44140625" customWidth="1"/>
  </cols>
  <sheetData>
    <row r="1" spans="2:28" ht="15.6" x14ac:dyDescent="0.3">
      <c r="B1" s="260" t="s">
        <v>5</v>
      </c>
      <c r="C1" s="260"/>
      <c r="D1" s="260"/>
    </row>
    <row r="2" spans="2:28" ht="16.2" thickBot="1" x14ac:dyDescent="0.35">
      <c r="B2" s="260" t="s">
        <v>6</v>
      </c>
      <c r="C2" s="260"/>
      <c r="D2" s="260"/>
    </row>
    <row r="3" spans="2:28" ht="16.2" thickBot="1" x14ac:dyDescent="0.35">
      <c r="B3" s="258" t="s">
        <v>13</v>
      </c>
      <c r="C3" s="258"/>
      <c r="D3" s="168"/>
      <c r="R3" s="580" t="s">
        <v>116</v>
      </c>
      <c r="S3" s="581"/>
      <c r="T3" s="581"/>
      <c r="U3" s="581"/>
      <c r="V3" s="581"/>
      <c r="W3" s="581"/>
      <c r="X3" s="581"/>
      <c r="Y3" s="581"/>
      <c r="Z3" s="581"/>
      <c r="AA3" s="581"/>
      <c r="AB3" s="582"/>
    </row>
    <row r="4" spans="2:28" ht="15.6" x14ac:dyDescent="0.3">
      <c r="B4" s="258"/>
      <c r="C4" s="258"/>
      <c r="D4" s="168"/>
      <c r="R4" s="295"/>
      <c r="S4" s="396" t="s">
        <v>80</v>
      </c>
      <c r="T4" s="6"/>
      <c r="U4" s="396" t="s">
        <v>108</v>
      </c>
      <c r="V4" s="5"/>
      <c r="W4" s="396" t="s">
        <v>109</v>
      </c>
      <c r="X4" s="5"/>
      <c r="Y4" s="396" t="s">
        <v>75</v>
      </c>
      <c r="Z4" s="6"/>
      <c r="AA4" s="296" t="s">
        <v>15</v>
      </c>
      <c r="AB4" s="297"/>
    </row>
    <row r="5" spans="2:28" ht="15.6" x14ac:dyDescent="0.3">
      <c r="B5" s="258"/>
      <c r="C5" t="s">
        <v>94</v>
      </c>
      <c r="D5" s="168"/>
      <c r="E5" t="s">
        <v>95</v>
      </c>
      <c r="R5" s="295"/>
      <c r="S5" s="6"/>
      <c r="T5" s="6"/>
      <c r="U5" s="6"/>
      <c r="V5" s="6"/>
      <c r="W5" s="6"/>
      <c r="X5" s="6"/>
      <c r="Y5" s="6"/>
      <c r="Z5" s="6"/>
      <c r="AA5" s="6"/>
      <c r="AB5" s="297"/>
    </row>
    <row r="6" spans="2:28" ht="15.6" x14ac:dyDescent="0.3">
      <c r="B6" s="258"/>
      <c r="C6" s="258"/>
      <c r="D6" s="171"/>
      <c r="E6" t="s">
        <v>96</v>
      </c>
      <c r="F6" t="s">
        <v>113</v>
      </c>
      <c r="R6" s="295"/>
      <c r="S6" s="298">
        <v>43951</v>
      </c>
      <c r="T6" s="6"/>
      <c r="U6" s="7">
        <v>427734</v>
      </c>
      <c r="V6" s="6"/>
      <c r="W6" s="44">
        <v>0.39100000000000001</v>
      </c>
      <c r="X6" s="6"/>
      <c r="Y6" s="6"/>
      <c r="Z6" s="6"/>
      <c r="AA6" s="6"/>
      <c r="AB6" s="297"/>
    </row>
    <row r="7" spans="2:28" ht="15.6" x14ac:dyDescent="0.3">
      <c r="B7" s="258"/>
      <c r="C7" s="258"/>
      <c r="D7" s="171"/>
      <c r="E7" t="s">
        <v>97</v>
      </c>
      <c r="F7" t="s">
        <v>99</v>
      </c>
      <c r="R7" s="295"/>
      <c r="S7" s="298">
        <f>+S6+1</f>
        <v>43952</v>
      </c>
      <c r="T7" s="6"/>
      <c r="U7" s="7">
        <v>432831</v>
      </c>
      <c r="V7" s="6"/>
      <c r="W7" s="44">
        <v>0.38300000000000001</v>
      </c>
      <c r="X7" s="6"/>
      <c r="Y7" s="300">
        <f t="shared" ref="Y7:Y19" si="0">+U6-U7</f>
        <v>-5097</v>
      </c>
      <c r="Z7" s="6"/>
      <c r="AA7" s="6"/>
      <c r="AB7" s="297"/>
    </row>
    <row r="8" spans="2:28" ht="15.6" x14ac:dyDescent="0.3">
      <c r="B8" s="258"/>
      <c r="C8" s="258"/>
      <c r="D8" s="171"/>
      <c r="E8" t="s">
        <v>98</v>
      </c>
      <c r="F8" t="s">
        <v>114</v>
      </c>
      <c r="R8" s="295"/>
      <c r="S8" s="298">
        <f t="shared" ref="S8:S40" si="1">+S7+1</f>
        <v>43953</v>
      </c>
      <c r="T8" s="6"/>
      <c r="U8" s="7">
        <v>433512</v>
      </c>
      <c r="V8" s="6"/>
      <c r="W8" s="44">
        <v>0.373</v>
      </c>
      <c r="X8" s="6"/>
      <c r="Y8" s="300">
        <f t="shared" si="0"/>
        <v>-681</v>
      </c>
      <c r="Z8" s="6"/>
      <c r="AA8" s="6"/>
      <c r="AB8" s="297"/>
    </row>
    <row r="9" spans="2:28" ht="15.6" x14ac:dyDescent="0.3">
      <c r="B9" s="258"/>
      <c r="C9" s="258"/>
      <c r="D9" s="171"/>
      <c r="R9" s="295"/>
      <c r="S9" s="298">
        <f t="shared" si="1"/>
        <v>43954</v>
      </c>
      <c r="T9" s="6"/>
      <c r="U9" s="7">
        <v>434345</v>
      </c>
      <c r="V9" s="6"/>
      <c r="W9" s="44">
        <v>0.36599999999999999</v>
      </c>
      <c r="X9" s="6"/>
      <c r="Y9" s="300">
        <f t="shared" si="0"/>
        <v>-833</v>
      </c>
      <c r="Z9" s="6"/>
      <c r="AA9" s="6"/>
      <c r="AB9" s="297"/>
    </row>
    <row r="10" spans="2:28" ht="15.6" x14ac:dyDescent="0.3">
      <c r="B10" s="258"/>
      <c r="C10" s="280" t="s">
        <v>100</v>
      </c>
      <c r="D10" s="171"/>
      <c r="E10" t="s">
        <v>103</v>
      </c>
      <c r="R10" s="295"/>
      <c r="S10" s="298">
        <f t="shared" si="1"/>
        <v>43955</v>
      </c>
      <c r="T10" s="6"/>
      <c r="U10" s="7">
        <v>458962</v>
      </c>
      <c r="V10" s="6"/>
      <c r="W10" s="44">
        <v>0.378</v>
      </c>
      <c r="X10" s="6"/>
      <c r="Y10" s="300">
        <f t="shared" si="0"/>
        <v>-24617</v>
      </c>
      <c r="Z10" s="6"/>
      <c r="AA10" s="6"/>
      <c r="AB10" s="297"/>
    </row>
    <row r="11" spans="2:28" ht="15.6" x14ac:dyDescent="0.3">
      <c r="B11" s="258"/>
      <c r="C11" s="258"/>
      <c r="D11" s="171"/>
      <c r="E11" t="s">
        <v>96</v>
      </c>
      <c r="F11" t="s">
        <v>101</v>
      </c>
      <c r="R11" s="295"/>
      <c r="S11" s="298">
        <f t="shared" si="1"/>
        <v>43956</v>
      </c>
      <c r="T11" s="6"/>
      <c r="U11" s="299">
        <v>455743</v>
      </c>
      <c r="V11" s="6"/>
      <c r="W11" s="44">
        <v>0.36799999999999999</v>
      </c>
      <c r="X11" s="6"/>
      <c r="Y11" s="300">
        <f t="shared" si="0"/>
        <v>3219</v>
      </c>
      <c r="Z11" s="6"/>
      <c r="AA11" s="304"/>
      <c r="AB11" s="297"/>
    </row>
    <row r="12" spans="2:28" ht="15.6" x14ac:dyDescent="0.3">
      <c r="B12" s="258"/>
      <c r="C12" s="258"/>
      <c r="D12" s="171"/>
      <c r="E12" t="s">
        <v>97</v>
      </c>
      <c r="F12" t="s">
        <v>102</v>
      </c>
      <c r="R12" s="295"/>
      <c r="S12" s="298">
        <f t="shared" si="1"/>
        <v>43957</v>
      </c>
      <c r="T12" s="6"/>
      <c r="U12" s="299">
        <v>454697</v>
      </c>
      <c r="V12" s="6"/>
      <c r="W12" s="44">
        <f>+L$36</f>
        <v>0.18551987329224717</v>
      </c>
      <c r="X12" s="6"/>
      <c r="Y12" s="300">
        <f t="shared" si="0"/>
        <v>1046</v>
      </c>
      <c r="Z12" s="6"/>
      <c r="AA12" s="304"/>
      <c r="AB12" s="297"/>
    </row>
    <row r="13" spans="2:28" ht="15.6" x14ac:dyDescent="0.3">
      <c r="B13" s="258"/>
      <c r="C13" s="258"/>
      <c r="D13" s="171"/>
      <c r="R13" s="295"/>
      <c r="S13" s="298">
        <f t="shared" si="1"/>
        <v>43958</v>
      </c>
      <c r="T13" s="6"/>
      <c r="U13" s="299">
        <v>454838</v>
      </c>
      <c r="V13" s="6"/>
      <c r="W13" s="44">
        <f t="shared" ref="W13:W18" si="2">+L37</f>
        <v>0</v>
      </c>
      <c r="X13" s="6"/>
      <c r="Y13" s="300">
        <f t="shared" si="0"/>
        <v>-141</v>
      </c>
      <c r="Z13" s="6"/>
      <c r="AA13" s="304"/>
      <c r="AB13" s="297"/>
    </row>
    <row r="14" spans="2:28" ht="15.6" x14ac:dyDescent="0.3">
      <c r="B14" s="258"/>
      <c r="C14" s="280" t="s">
        <v>104</v>
      </c>
      <c r="D14" s="171"/>
      <c r="E14" t="s">
        <v>105</v>
      </c>
      <c r="R14" s="295"/>
      <c r="S14" s="298">
        <f t="shared" si="1"/>
        <v>43959</v>
      </c>
      <c r="T14" s="6"/>
      <c r="U14" s="299">
        <v>452043</v>
      </c>
      <c r="V14" s="6"/>
      <c r="W14" s="44">
        <f t="shared" si="2"/>
        <v>0</v>
      </c>
      <c r="X14" s="6"/>
      <c r="Y14" s="300">
        <f t="shared" si="0"/>
        <v>2795</v>
      </c>
      <c r="Z14" s="6"/>
      <c r="AA14" s="304"/>
      <c r="AB14" s="297"/>
    </row>
    <row r="15" spans="2:28" x14ac:dyDescent="0.3">
      <c r="B15" s="258"/>
      <c r="E15" s="583" t="s">
        <v>106</v>
      </c>
      <c r="F15" s="583"/>
      <c r="G15" s="583"/>
      <c r="H15" s="583"/>
      <c r="I15" s="583"/>
      <c r="R15" s="295"/>
      <c r="S15" s="298">
        <f t="shared" si="1"/>
        <v>43960</v>
      </c>
      <c r="T15" s="6"/>
      <c r="U15" s="299">
        <v>439209</v>
      </c>
      <c r="V15" s="6"/>
      <c r="W15" s="44">
        <f t="shared" si="2"/>
        <v>0</v>
      </c>
      <c r="X15" s="6"/>
      <c r="Y15" s="300">
        <f t="shared" si="0"/>
        <v>12834</v>
      </c>
      <c r="Z15" s="6"/>
      <c r="AA15" s="304"/>
      <c r="AB15" s="297"/>
    </row>
    <row r="16" spans="2:28" x14ac:dyDescent="0.3">
      <c r="R16" s="295"/>
      <c r="S16" s="298">
        <f t="shared" si="1"/>
        <v>43961</v>
      </c>
      <c r="T16" s="6"/>
      <c r="U16" s="299">
        <v>423501</v>
      </c>
      <c r="V16" s="6"/>
      <c r="W16" s="44">
        <f t="shared" si="2"/>
        <v>0</v>
      </c>
      <c r="X16" s="6"/>
      <c r="Y16" s="300">
        <f t="shared" si="0"/>
        <v>15708</v>
      </c>
      <c r="Z16" s="6"/>
      <c r="AA16" s="304"/>
      <c r="AB16" s="297"/>
    </row>
    <row r="17" spans="3:28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295"/>
      <c r="S17" s="298">
        <f t="shared" si="1"/>
        <v>43962</v>
      </c>
      <c r="T17" s="6"/>
      <c r="U17" s="299">
        <v>415158</v>
      </c>
      <c r="V17" s="6"/>
      <c r="W17" s="44">
        <f t="shared" si="2"/>
        <v>0</v>
      </c>
      <c r="X17" s="6"/>
      <c r="Y17" s="300">
        <f t="shared" si="0"/>
        <v>8343</v>
      </c>
      <c r="Z17" s="6"/>
      <c r="AA17" s="304"/>
      <c r="AB17" s="297"/>
    </row>
    <row r="18" spans="3:28" ht="15" thickBot="1" x14ac:dyDescent="0.35">
      <c r="C18" s="1"/>
      <c r="D18" s="589" t="s">
        <v>46</v>
      </c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1"/>
      <c r="P18" s="90"/>
      <c r="Q18" s="90"/>
      <c r="R18" s="295"/>
      <c r="S18" s="298">
        <f t="shared" si="1"/>
        <v>43963</v>
      </c>
      <c r="T18" s="6"/>
      <c r="U18" s="299">
        <v>413524</v>
      </c>
      <c r="V18" s="6"/>
      <c r="W18" s="44">
        <f t="shared" si="2"/>
        <v>0</v>
      </c>
      <c r="X18" s="6"/>
      <c r="Y18" s="300">
        <f t="shared" si="0"/>
        <v>1634</v>
      </c>
      <c r="Z18" s="6"/>
      <c r="AA18" s="304"/>
      <c r="AB18" s="297"/>
    </row>
    <row r="19" spans="3:28" ht="15" thickBot="1" x14ac:dyDescent="0.35">
      <c r="C19" s="1"/>
      <c r="D19" s="146"/>
      <c r="E19" s="592" t="s">
        <v>77</v>
      </c>
      <c r="F19" s="592"/>
      <c r="G19" s="592"/>
      <c r="H19" s="592"/>
      <c r="I19" s="147" t="s">
        <v>76</v>
      </c>
      <c r="J19" s="148"/>
      <c r="K19" s="597" t="s">
        <v>74</v>
      </c>
      <c r="L19" s="597"/>
      <c r="M19" s="141"/>
      <c r="N19" s="145" t="s">
        <v>75</v>
      </c>
      <c r="O19" s="142"/>
      <c r="P19" s="114"/>
      <c r="Q19" s="114"/>
      <c r="R19" s="295"/>
      <c r="S19" s="298">
        <f t="shared" si="1"/>
        <v>43964</v>
      </c>
      <c r="T19" s="6"/>
      <c r="U19" s="299">
        <v>410932</v>
      </c>
      <c r="V19" s="6"/>
      <c r="W19" s="44">
        <f>+L43</f>
        <v>0</v>
      </c>
      <c r="X19" s="6"/>
      <c r="Y19" s="300">
        <f t="shared" si="0"/>
        <v>2592</v>
      </c>
      <c r="Z19" s="6"/>
      <c r="AA19" s="304"/>
      <c r="AB19" s="297"/>
    </row>
    <row r="20" spans="3:28" x14ac:dyDescent="0.3">
      <c r="C20" s="1"/>
      <c r="D20" s="126"/>
      <c r="E20" s="127" t="s">
        <v>43</v>
      </c>
      <c r="F20" s="128"/>
      <c r="G20" s="127"/>
      <c r="H20" s="127"/>
      <c r="I20" s="93">
        <f>+'Main Table'!H65</f>
        <v>1457593</v>
      </c>
      <c r="J20" s="129"/>
      <c r="K20" s="140"/>
      <c r="L20" s="140"/>
      <c r="M20" s="140"/>
      <c r="N20" s="140"/>
      <c r="O20" s="136"/>
      <c r="P20" s="90"/>
      <c r="Q20" s="90"/>
      <c r="R20" s="295"/>
      <c r="S20" s="298">
        <f t="shared" si="1"/>
        <v>43965</v>
      </c>
      <c r="T20" s="6"/>
      <c r="U20" s="299">
        <v>409640</v>
      </c>
      <c r="V20" s="6"/>
      <c r="W20" s="44">
        <v>0</v>
      </c>
      <c r="X20" s="6"/>
      <c r="Y20" s="300">
        <f t="shared" ref="Y20" si="3">+U19-U20</f>
        <v>1292</v>
      </c>
      <c r="Z20" s="6"/>
      <c r="AA20" s="304"/>
      <c r="AB20" s="297"/>
    </row>
    <row r="21" spans="3:28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Table'!Z88</f>
        <v>103337</v>
      </c>
      <c r="J21" s="129"/>
      <c r="K21" s="140"/>
      <c r="L21" s="140"/>
      <c r="M21" s="140"/>
      <c r="N21" s="140"/>
      <c r="O21" s="136"/>
      <c r="P21" s="90"/>
      <c r="Q21" s="90"/>
      <c r="R21" s="295"/>
      <c r="S21" s="298">
        <f t="shared" si="1"/>
        <v>43966</v>
      </c>
      <c r="T21" s="6"/>
      <c r="U21" s="299">
        <v>405327</v>
      </c>
      <c r="V21" s="6"/>
      <c r="W21" s="44">
        <v>0.27300000000000002</v>
      </c>
      <c r="X21" s="6"/>
      <c r="Y21" s="300">
        <f t="shared" ref="Y21" si="4">+U20-U21</f>
        <v>4313</v>
      </c>
      <c r="Z21" s="6"/>
      <c r="AA21" s="304"/>
      <c r="AB21" s="297"/>
    </row>
    <row r="22" spans="3:28" x14ac:dyDescent="0.3">
      <c r="C22" s="1"/>
      <c r="D22" s="126"/>
      <c r="E22" s="127"/>
      <c r="F22" s="127" t="s">
        <v>45</v>
      </c>
      <c r="G22" s="127"/>
      <c r="H22" s="127"/>
      <c r="I22" s="159">
        <v>17202</v>
      </c>
      <c r="J22" s="129"/>
      <c r="K22" s="140"/>
      <c r="L22" s="283">
        <v>17166</v>
      </c>
      <c r="M22" s="140"/>
      <c r="N22" s="160">
        <f>+(I22-L22)/I22</f>
        <v>2.0927799093128706E-3</v>
      </c>
      <c r="O22" s="136"/>
      <c r="P22" s="90"/>
      <c r="Q22" s="90"/>
      <c r="R22" s="295"/>
      <c r="S22" s="298">
        <f t="shared" si="1"/>
        <v>43967</v>
      </c>
      <c r="T22" s="6"/>
      <c r="U22" s="299">
        <v>393991</v>
      </c>
      <c r="V22" s="6"/>
      <c r="W22" s="44">
        <v>0.26100000000000001</v>
      </c>
      <c r="X22" s="6"/>
      <c r="Y22" s="300">
        <f t="shared" ref="Y22" si="5">+U21-U22</f>
        <v>11336</v>
      </c>
      <c r="Z22" s="6"/>
      <c r="AA22" s="304"/>
      <c r="AB22" s="297"/>
    </row>
    <row r="23" spans="3:28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1337054</v>
      </c>
      <c r="J23" s="129"/>
      <c r="K23" s="140"/>
      <c r="L23" s="140"/>
      <c r="M23" s="140"/>
      <c r="N23" s="140"/>
      <c r="O23" s="136"/>
      <c r="P23" s="113"/>
      <c r="Q23" s="113"/>
      <c r="R23" s="295"/>
      <c r="S23" s="298">
        <f t="shared" si="1"/>
        <v>43968</v>
      </c>
      <c r="T23" s="6"/>
      <c r="U23" s="299">
        <v>384245</v>
      </c>
      <c r="V23" s="6"/>
      <c r="W23" s="44">
        <v>0.251</v>
      </c>
      <c r="X23" s="6"/>
      <c r="Y23" s="300">
        <f t="shared" ref="Y23" si="6">+U22-U23</f>
        <v>9746</v>
      </c>
      <c r="Z23" s="6"/>
      <c r="AA23" s="304"/>
      <c r="AB23" s="297"/>
    </row>
    <row r="24" spans="3:28" x14ac:dyDescent="0.3">
      <c r="C24" s="1"/>
      <c r="D24" s="126"/>
      <c r="E24" s="127" t="s">
        <v>79</v>
      </c>
      <c r="F24" s="129"/>
      <c r="G24" s="129"/>
      <c r="H24" s="129"/>
      <c r="I24" s="131">
        <f>+'Main Table'!AO88</f>
        <v>498725</v>
      </c>
      <c r="J24" s="129"/>
      <c r="K24" s="140"/>
      <c r="L24" s="140"/>
      <c r="M24" s="140"/>
      <c r="N24" s="140"/>
      <c r="O24" s="136"/>
      <c r="P24" s="113"/>
      <c r="Q24" s="113"/>
      <c r="R24" s="295"/>
      <c r="S24" s="298">
        <f t="shared" si="1"/>
        <v>43969</v>
      </c>
      <c r="T24" s="6"/>
      <c r="U24" s="299">
        <v>379527</v>
      </c>
      <c r="V24" s="6"/>
      <c r="W24" s="44">
        <v>0.245</v>
      </c>
      <c r="X24" s="6"/>
      <c r="Y24" s="300">
        <f t="shared" ref="Y24" si="7">+U23-U24</f>
        <v>4718</v>
      </c>
      <c r="Z24" s="6"/>
      <c r="AA24" s="304"/>
      <c r="AB24" s="297"/>
    </row>
    <row r="25" spans="3:28" x14ac:dyDescent="0.3">
      <c r="C25" s="1"/>
      <c r="D25" s="593" t="s">
        <v>49</v>
      </c>
      <c r="E25" s="594"/>
      <c r="F25" s="594"/>
      <c r="G25" s="594"/>
      <c r="H25" s="594"/>
      <c r="I25" s="132">
        <f>+I23-I24</f>
        <v>838329</v>
      </c>
      <c r="J25" s="129"/>
      <c r="K25" s="140"/>
      <c r="L25" s="140"/>
      <c r="M25" s="140"/>
      <c r="N25" s="140"/>
      <c r="O25" s="136"/>
      <c r="P25" s="113"/>
      <c r="Q25" s="113"/>
      <c r="R25" s="295"/>
      <c r="S25" s="298">
        <f t="shared" si="1"/>
        <v>43970</v>
      </c>
      <c r="T25" s="6"/>
      <c r="U25" s="299">
        <v>375997</v>
      </c>
      <c r="V25" s="6"/>
      <c r="W25" s="44">
        <v>0.23899999999999999</v>
      </c>
      <c r="X25" s="6"/>
      <c r="Y25" s="300">
        <f t="shared" ref="Y25" si="8">+U24-U25</f>
        <v>3530</v>
      </c>
      <c r="Z25" s="6"/>
      <c r="AA25" s="304"/>
      <c r="AB25" s="297"/>
    </row>
    <row r="26" spans="3:28" x14ac:dyDescent="0.3">
      <c r="C26" s="1"/>
      <c r="D26" s="126"/>
      <c r="E26" s="127" t="s">
        <v>73</v>
      </c>
      <c r="F26" s="129"/>
      <c r="G26" s="129"/>
      <c r="H26" s="129"/>
      <c r="I26" s="131">
        <f>+I24</f>
        <v>498725</v>
      </c>
      <c r="J26" s="129"/>
      <c r="K26" s="140"/>
      <c r="L26" s="140"/>
      <c r="M26" s="140"/>
      <c r="N26" s="140"/>
      <c r="O26" s="136"/>
      <c r="P26" s="90"/>
      <c r="Q26" s="90"/>
      <c r="R26" s="295"/>
      <c r="S26" s="298">
        <f t="shared" si="1"/>
        <v>43971</v>
      </c>
      <c r="T26" s="6"/>
      <c r="U26" s="299">
        <v>373168</v>
      </c>
      <c r="V26" s="6"/>
      <c r="W26" s="44">
        <v>0.23400000000000001</v>
      </c>
      <c r="X26" s="6"/>
      <c r="Y26" s="300">
        <f t="shared" ref="Y26" si="9">+U25-U26</f>
        <v>2829</v>
      </c>
      <c r="Z26" s="6"/>
      <c r="AA26" s="304"/>
      <c r="AB26" s="297"/>
    </row>
    <row r="27" spans="3:28" ht="15" thickBot="1" x14ac:dyDescent="0.35">
      <c r="C27" s="1"/>
      <c r="D27" s="593" t="s">
        <v>46</v>
      </c>
      <c r="E27" s="594"/>
      <c r="F27" s="594"/>
      <c r="G27" s="594"/>
      <c r="H27" s="594"/>
      <c r="I27" s="149">
        <f>+I25+I26</f>
        <v>1337054</v>
      </c>
      <c r="J27" s="129"/>
      <c r="K27" s="598">
        <v>1311068</v>
      </c>
      <c r="L27" s="598"/>
      <c r="M27" s="140"/>
      <c r="N27" s="150">
        <f>+I27-K27</f>
        <v>25986</v>
      </c>
      <c r="O27" s="136"/>
      <c r="P27" s="90"/>
      <c r="Q27" s="90"/>
      <c r="R27" s="295"/>
      <c r="S27" s="298">
        <f t="shared" si="1"/>
        <v>43972</v>
      </c>
      <c r="T27" s="6"/>
      <c r="U27" s="299">
        <v>346181</v>
      </c>
      <c r="V27" s="6"/>
      <c r="W27" s="44">
        <v>0.214</v>
      </c>
      <c r="X27" s="6"/>
      <c r="Y27" s="300">
        <f t="shared" ref="Y27" si="10">+U26-U27</f>
        <v>26987</v>
      </c>
      <c r="Z27" s="6"/>
      <c r="AA27" s="304"/>
      <c r="AB27" s="297"/>
    </row>
    <row r="28" spans="3:28" ht="15.6" thickTop="1" thickBot="1" x14ac:dyDescent="0.35">
      <c r="C28" s="10"/>
      <c r="D28" s="135"/>
      <c r="E28" s="595" t="s">
        <v>71</v>
      </c>
      <c r="F28" s="595"/>
      <c r="G28" s="595"/>
      <c r="H28" s="137"/>
      <c r="I28" s="276">
        <f>+I27/I32</f>
        <v>0.7560474283268277</v>
      </c>
      <c r="J28" s="140"/>
      <c r="K28" s="140"/>
      <c r="L28" s="140"/>
      <c r="M28" s="110"/>
      <c r="N28" s="162">
        <f>+N27/K27</f>
        <v>1.9820482232805622E-2</v>
      </c>
      <c r="O28" s="136"/>
      <c r="P28" s="1"/>
      <c r="Q28" s="1"/>
      <c r="R28" s="295"/>
      <c r="S28" s="298">
        <f t="shared" si="1"/>
        <v>43973</v>
      </c>
      <c r="T28" s="6"/>
      <c r="U28" s="299">
        <v>341216</v>
      </c>
      <c r="V28" s="6"/>
      <c r="W28" s="44">
        <v>0.20699999999999999</v>
      </c>
      <c r="X28" s="6"/>
      <c r="Y28" s="300">
        <f t="shared" ref="Y28" si="11">+U27-U28</f>
        <v>4965</v>
      </c>
      <c r="Z28" s="6"/>
      <c r="AA28" s="304"/>
      <c r="AB28" s="297"/>
    </row>
    <row r="29" spans="3:28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295"/>
      <c r="S29" s="298">
        <f t="shared" si="1"/>
        <v>43974</v>
      </c>
      <c r="T29" s="6"/>
      <c r="U29" s="299">
        <v>336852</v>
      </c>
      <c r="V29" s="6"/>
      <c r="W29" s="44">
        <v>0.20200000000000001</v>
      </c>
      <c r="X29" s="6"/>
      <c r="Y29" s="300">
        <f t="shared" ref="Y29" si="12">+U28-U29</f>
        <v>4364</v>
      </c>
      <c r="Z29" s="6"/>
      <c r="AA29" s="304"/>
      <c r="AB29" s="297"/>
    </row>
    <row r="30" spans="3:28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295"/>
      <c r="S30" s="298">
        <f t="shared" si="1"/>
        <v>43975</v>
      </c>
      <c r="T30" s="6"/>
      <c r="U30" s="299">
        <v>336142</v>
      </c>
      <c r="V30" s="6"/>
      <c r="W30" s="44">
        <v>0.19900000000000001</v>
      </c>
      <c r="X30" s="6"/>
      <c r="Y30" s="300">
        <f t="shared" ref="Y30" si="13">+U29-U30</f>
        <v>710</v>
      </c>
      <c r="Z30" s="6"/>
      <c r="AA30" s="304"/>
      <c r="AB30" s="297"/>
    </row>
    <row r="31" spans="3:28" ht="16.2" thickBot="1" x14ac:dyDescent="0.35">
      <c r="C31" s="90"/>
      <c r="D31" s="274"/>
      <c r="E31" s="574" t="s">
        <v>116</v>
      </c>
      <c r="F31" s="575"/>
      <c r="G31" s="575"/>
      <c r="H31" s="575"/>
      <c r="I31" s="575"/>
      <c r="J31" s="576"/>
      <c r="K31" s="273"/>
      <c r="L31" s="272" t="s">
        <v>10</v>
      </c>
      <c r="M31" s="271"/>
      <c r="N31" s="270"/>
      <c r="O31" s="110"/>
      <c r="P31" s="90"/>
      <c r="Q31" s="90"/>
      <c r="R31" s="295"/>
      <c r="S31" s="298">
        <f t="shared" si="1"/>
        <v>43976</v>
      </c>
      <c r="T31" s="6"/>
      <c r="U31" s="299">
        <v>337736</v>
      </c>
      <c r="V31" s="6"/>
      <c r="W31" s="44">
        <v>0.19800000000000001</v>
      </c>
      <c r="X31" s="6"/>
      <c r="Y31" s="300">
        <f t="shared" ref="Y31" si="14">+U30-U31</f>
        <v>-1594</v>
      </c>
      <c r="Z31" s="6"/>
      <c r="AA31" s="304"/>
      <c r="AB31" s="297"/>
    </row>
    <row r="32" spans="3:28" x14ac:dyDescent="0.3">
      <c r="C32" s="10"/>
      <c r="D32" s="261"/>
      <c r="E32" s="262" t="s">
        <v>90</v>
      </c>
      <c r="F32" s="24"/>
      <c r="G32" s="24"/>
      <c r="H32" s="24"/>
      <c r="I32" s="569">
        <f>+'Main Table'!H88</f>
        <v>1768479</v>
      </c>
      <c r="J32" s="569"/>
      <c r="K32" s="24"/>
      <c r="L32" s="25">
        <f>+I32/$I$32</f>
        <v>1</v>
      </c>
      <c r="M32" s="263"/>
      <c r="N32" s="90"/>
      <c r="O32" s="90"/>
      <c r="P32" s="90"/>
      <c r="Q32" s="90"/>
      <c r="R32" s="295"/>
      <c r="S32" s="298">
        <f t="shared" si="1"/>
        <v>43977</v>
      </c>
      <c r="T32" s="6"/>
      <c r="U32" s="299">
        <v>333791</v>
      </c>
      <c r="V32" s="6"/>
      <c r="W32" s="44">
        <v>0.193</v>
      </c>
      <c r="X32" s="6"/>
      <c r="Y32" s="300">
        <f t="shared" ref="Y32" si="15">+U31-U32</f>
        <v>3945</v>
      </c>
      <c r="Z32" s="6"/>
      <c r="AA32" s="304"/>
      <c r="AB32" s="297"/>
    </row>
    <row r="33" spans="3:28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295"/>
      <c r="S33" s="298">
        <f t="shared" si="1"/>
        <v>43978</v>
      </c>
      <c r="T33" s="6"/>
      <c r="U33" s="299">
        <v>332639</v>
      </c>
      <c r="V33" s="6"/>
      <c r="W33" s="44">
        <v>0.191</v>
      </c>
      <c r="X33" s="6"/>
      <c r="Y33" s="300">
        <f t="shared" ref="Y33" si="16">+U32-U33</f>
        <v>1152</v>
      </c>
      <c r="Z33" s="6"/>
      <c r="AA33" s="304"/>
      <c r="AB33" s="297"/>
    </row>
    <row r="34" spans="3:28" x14ac:dyDescent="0.3">
      <c r="D34" s="264"/>
      <c r="E34" s="22"/>
      <c r="F34" s="265" t="s">
        <v>115</v>
      </c>
      <c r="G34" s="265"/>
      <c r="H34" s="22"/>
      <c r="I34" s="570">
        <f>+I27</f>
        <v>1337054</v>
      </c>
      <c r="J34" s="571"/>
      <c r="K34" s="22"/>
      <c r="L34" s="25">
        <f>+I34/$I$32</f>
        <v>0.7560474283268277</v>
      </c>
      <c r="M34" s="266"/>
      <c r="P34" s="234"/>
      <c r="Q34" s="234"/>
      <c r="R34" s="295"/>
      <c r="S34" s="298">
        <f t="shared" si="1"/>
        <v>43979</v>
      </c>
      <c r="T34" s="6"/>
      <c r="U34" s="299">
        <f>+I$36</f>
        <v>328088</v>
      </c>
      <c r="V34" s="6"/>
      <c r="W34" s="44">
        <f>+L$36</f>
        <v>0.18551987329224717</v>
      </c>
      <c r="X34" s="6"/>
      <c r="Y34" s="300">
        <f t="shared" ref="Y34" si="17">+U33-U34</f>
        <v>4551</v>
      </c>
      <c r="Z34" s="6"/>
      <c r="AA34" s="304"/>
      <c r="AB34" s="297"/>
    </row>
    <row r="35" spans="3:28" x14ac:dyDescent="0.3">
      <c r="D35" s="264"/>
      <c r="E35" s="22"/>
      <c r="F35" s="22" t="s">
        <v>91</v>
      </c>
      <c r="G35" s="22"/>
      <c r="H35" s="22"/>
      <c r="I35" s="577">
        <f>+I21</f>
        <v>103337</v>
      </c>
      <c r="J35" s="578"/>
      <c r="K35" s="22"/>
      <c r="L35" s="25">
        <f>+I35/$I$32</f>
        <v>5.8432698380925074E-2</v>
      </c>
      <c r="M35" s="266"/>
      <c r="P35" s="275"/>
      <c r="Q35" s="275"/>
      <c r="R35" s="295"/>
      <c r="S35" s="298">
        <f t="shared" si="1"/>
        <v>43980</v>
      </c>
      <c r="T35" s="6"/>
      <c r="U35" s="299"/>
      <c r="V35" s="6"/>
      <c r="W35" s="44"/>
      <c r="X35" s="6"/>
      <c r="Y35" s="300"/>
      <c r="Z35" s="6"/>
      <c r="AA35" s="304"/>
      <c r="AB35" s="297"/>
    </row>
    <row r="36" spans="3:28" ht="15" thickBot="1" x14ac:dyDescent="0.35">
      <c r="D36" s="264"/>
      <c r="E36" s="596" t="s">
        <v>116</v>
      </c>
      <c r="F36" s="596"/>
      <c r="G36" s="596"/>
      <c r="H36" s="277"/>
      <c r="I36" s="572">
        <f>+I32-I34-I35</f>
        <v>328088</v>
      </c>
      <c r="J36" s="573"/>
      <c r="K36" s="305"/>
      <c r="L36" s="278">
        <f>+I36/$I$32</f>
        <v>0.18551987329224717</v>
      </c>
      <c r="M36" s="266"/>
      <c r="R36" s="295"/>
      <c r="S36" s="298">
        <f t="shared" si="1"/>
        <v>43981</v>
      </c>
      <c r="T36" s="6"/>
      <c r="U36" s="299"/>
      <c r="V36" s="6"/>
      <c r="W36" s="44"/>
      <c r="X36" s="6"/>
      <c r="Y36" s="300"/>
      <c r="Z36" s="6"/>
      <c r="AA36" s="304"/>
      <c r="AB36" s="297"/>
    </row>
    <row r="37" spans="3:28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295"/>
      <c r="S37" s="298">
        <f t="shared" si="1"/>
        <v>43982</v>
      </c>
      <c r="T37" s="6"/>
      <c r="U37" s="299"/>
      <c r="V37" s="6"/>
      <c r="W37" s="44"/>
      <c r="X37" s="6"/>
      <c r="Y37" s="300"/>
      <c r="Z37" s="6"/>
      <c r="AA37" s="304"/>
      <c r="AB37" s="297"/>
    </row>
    <row r="38" spans="3:28" x14ac:dyDescent="0.3">
      <c r="R38" s="295"/>
      <c r="S38" s="298">
        <f t="shared" si="1"/>
        <v>43983</v>
      </c>
      <c r="T38" s="6"/>
      <c r="U38" s="299"/>
      <c r="V38" s="6"/>
      <c r="W38" s="44"/>
      <c r="X38" s="6"/>
      <c r="Y38" s="300"/>
      <c r="Z38" s="6"/>
      <c r="AA38" s="304"/>
      <c r="AB38" s="297"/>
    </row>
    <row r="39" spans="3:28" ht="15" thickBot="1" x14ac:dyDescent="0.35">
      <c r="R39" s="295"/>
      <c r="S39" s="298">
        <f t="shared" si="1"/>
        <v>43984</v>
      </c>
      <c r="T39" s="6"/>
      <c r="U39" s="299"/>
      <c r="V39" s="6"/>
      <c r="W39" s="44"/>
      <c r="X39" s="6"/>
      <c r="Y39" s="300"/>
      <c r="Z39" s="6"/>
      <c r="AA39" s="304"/>
      <c r="AB39" s="297"/>
    </row>
    <row r="40" spans="3:28" ht="15" thickBot="1" x14ac:dyDescent="0.35">
      <c r="D40" s="584" t="s">
        <v>129</v>
      </c>
      <c r="E40" s="585"/>
      <c r="F40" s="585"/>
      <c r="G40" s="585"/>
      <c r="H40" s="585"/>
      <c r="I40" s="585"/>
      <c r="J40" s="585"/>
      <c r="K40" s="585"/>
      <c r="L40" s="585"/>
      <c r="M40" s="585"/>
      <c r="N40" s="585"/>
      <c r="O40" s="586"/>
      <c r="R40" s="301"/>
      <c r="S40" s="397">
        <f t="shared" si="1"/>
        <v>43985</v>
      </c>
      <c r="T40" s="292"/>
      <c r="U40" s="398"/>
      <c r="V40" s="292"/>
      <c r="W40" s="302"/>
      <c r="X40" s="292"/>
      <c r="Y40" s="399"/>
      <c r="Z40" s="292"/>
      <c r="AA40" s="400"/>
      <c r="AB40" s="303"/>
    </row>
    <row r="41" spans="3:28" ht="15" thickBot="1" x14ac:dyDescent="0.35">
      <c r="D41" s="323"/>
      <c r="E41" s="587" t="s">
        <v>77</v>
      </c>
      <c r="F41" s="587"/>
      <c r="G41" s="587"/>
      <c r="H41" s="587"/>
      <c r="I41" s="306" t="s">
        <v>76</v>
      </c>
      <c r="J41" s="307"/>
      <c r="K41" s="588" t="s">
        <v>37</v>
      </c>
      <c r="L41" s="588"/>
      <c r="M41" s="308"/>
      <c r="N41" s="309" t="s">
        <v>75</v>
      </c>
      <c r="O41" s="324"/>
    </row>
    <row r="42" spans="3:28" x14ac:dyDescent="0.3">
      <c r="D42" s="325"/>
      <c r="E42" s="310" t="s">
        <v>43</v>
      </c>
      <c r="F42" s="311"/>
      <c r="G42" s="310"/>
      <c r="H42" s="310"/>
      <c r="I42" s="382">
        <v>25405</v>
      </c>
      <c r="J42" s="382"/>
      <c r="K42" s="383"/>
      <c r="L42" s="383"/>
      <c r="M42" s="383"/>
      <c r="N42" s="383"/>
      <c r="O42" s="317"/>
    </row>
    <row r="43" spans="3:28" x14ac:dyDescent="0.3">
      <c r="D43" s="325"/>
      <c r="E43" s="310" t="s">
        <v>44</v>
      </c>
      <c r="F43" s="310" t="s">
        <v>4</v>
      </c>
      <c r="G43" s="310"/>
      <c r="H43" s="310"/>
      <c r="I43" s="382">
        <v>1836</v>
      </c>
      <c r="J43" s="382"/>
      <c r="K43" s="383"/>
      <c r="L43" s="383"/>
      <c r="M43" s="383"/>
      <c r="N43" s="383"/>
      <c r="O43" s="317"/>
    </row>
    <row r="44" spans="3:28" x14ac:dyDescent="0.3">
      <c r="D44" s="325"/>
      <c r="E44" s="310"/>
      <c r="F44" s="310" t="s">
        <v>45</v>
      </c>
      <c r="G44" s="310"/>
      <c r="H44" s="310"/>
      <c r="I44" s="384">
        <v>1397</v>
      </c>
      <c r="J44" s="382"/>
      <c r="K44" s="383"/>
      <c r="L44" s="382"/>
      <c r="M44" s="383"/>
      <c r="N44" s="385"/>
      <c r="O44" s="317"/>
    </row>
    <row r="45" spans="3:28" x14ac:dyDescent="0.3">
      <c r="D45" s="325"/>
      <c r="E45" s="310"/>
      <c r="F45" s="314" t="s">
        <v>72</v>
      </c>
      <c r="G45" s="314"/>
      <c r="H45" s="314"/>
      <c r="I45" s="382">
        <f>+I42-I43-I44</f>
        <v>22172</v>
      </c>
      <c r="J45" s="382"/>
      <c r="K45" s="383"/>
      <c r="L45" s="383"/>
      <c r="M45" s="383"/>
      <c r="N45" s="383"/>
      <c r="O45" s="317"/>
      <c r="U45" s="1">
        <v>330000000</v>
      </c>
    </row>
    <row r="46" spans="3:28" x14ac:dyDescent="0.3">
      <c r="D46" s="325"/>
      <c r="E46" s="310" t="s">
        <v>79</v>
      </c>
      <c r="F46" s="312"/>
      <c r="G46" s="312"/>
      <c r="H46" s="312"/>
      <c r="I46" s="384">
        <f>+'Main Table'!AO105</f>
        <v>0</v>
      </c>
      <c r="J46" s="382"/>
      <c r="K46" s="383"/>
      <c r="L46" s="383"/>
      <c r="M46" s="383"/>
      <c r="N46" s="383"/>
      <c r="O46" s="317"/>
      <c r="U46" s="87">
        <f>+U27/U45</f>
        <v>1.0490333333333334E-3</v>
      </c>
    </row>
    <row r="47" spans="3:28" x14ac:dyDescent="0.3">
      <c r="D47" s="553" t="s">
        <v>49</v>
      </c>
      <c r="E47" s="554"/>
      <c r="F47" s="554"/>
      <c r="G47" s="554"/>
      <c r="H47" s="554"/>
      <c r="I47" s="315">
        <f>+I45-I46</f>
        <v>22172</v>
      </c>
      <c r="J47" s="382"/>
      <c r="K47" s="383"/>
      <c r="L47" s="383"/>
      <c r="M47" s="383"/>
      <c r="N47" s="383"/>
      <c r="O47" s="317"/>
    </row>
    <row r="48" spans="3:28" x14ac:dyDescent="0.3">
      <c r="D48" s="325"/>
      <c r="E48" s="310" t="s">
        <v>73</v>
      </c>
      <c r="F48" s="312"/>
      <c r="G48" s="312"/>
      <c r="H48" s="312"/>
      <c r="I48" s="384">
        <f>+I46</f>
        <v>0</v>
      </c>
      <c r="J48" s="382"/>
      <c r="K48" s="383"/>
      <c r="L48" s="383"/>
      <c r="M48" s="383"/>
      <c r="N48" s="383"/>
      <c r="O48" s="317"/>
    </row>
    <row r="49" spans="4:17" ht="15" thickBot="1" x14ac:dyDescent="0.35">
      <c r="D49" s="553" t="s">
        <v>46</v>
      </c>
      <c r="E49" s="554"/>
      <c r="F49" s="554"/>
      <c r="G49" s="554"/>
      <c r="H49" s="554"/>
      <c r="I49" s="386">
        <f>+I47+I48</f>
        <v>22172</v>
      </c>
      <c r="J49" s="382"/>
      <c r="K49" s="555">
        <v>30167</v>
      </c>
      <c r="L49" s="555"/>
      <c r="M49" s="383"/>
      <c r="N49" s="387">
        <f>+K49-I49</f>
        <v>7995</v>
      </c>
      <c r="O49" s="317"/>
      <c r="Q49" s="56"/>
    </row>
    <row r="50" spans="4:17" ht="15.6" thickTop="1" thickBot="1" x14ac:dyDescent="0.35">
      <c r="D50" s="316"/>
      <c r="E50" s="556" t="s">
        <v>71</v>
      </c>
      <c r="F50" s="556"/>
      <c r="G50" s="556"/>
      <c r="H50" s="314"/>
      <c r="I50" s="388">
        <f>+I49/K49</f>
        <v>0.73497530414028578</v>
      </c>
      <c r="J50" s="383"/>
      <c r="K50" s="383"/>
      <c r="L50" s="383"/>
      <c r="M50" s="383"/>
      <c r="N50" s="389">
        <f>+N49/K49</f>
        <v>0.26502469585971428</v>
      </c>
      <c r="O50" s="317"/>
      <c r="Q50" s="56"/>
    </row>
    <row r="51" spans="4:17" ht="15.6" thickTop="1" thickBot="1" x14ac:dyDescent="0.35">
      <c r="D51" s="326"/>
      <c r="E51" s="327"/>
      <c r="F51" s="327"/>
      <c r="G51" s="327"/>
      <c r="H51" s="327"/>
      <c r="I51" s="390"/>
      <c r="J51" s="391"/>
      <c r="K51" s="392"/>
      <c r="L51" s="392"/>
      <c r="M51" s="392"/>
      <c r="N51" s="392"/>
      <c r="O51" s="320"/>
    </row>
    <row r="52" spans="4:17" ht="15" thickBot="1" x14ac:dyDescent="0.35">
      <c r="D52" s="90"/>
      <c r="E52" s="152"/>
      <c r="F52" s="152"/>
      <c r="G52" s="152"/>
      <c r="H52" s="152"/>
      <c r="I52" s="356"/>
      <c r="J52" s="90"/>
      <c r="K52" s="110"/>
      <c r="L52" s="110"/>
      <c r="M52" s="362"/>
      <c r="N52" s="110"/>
      <c r="O52" s="110"/>
      <c r="P52" s="61"/>
    </row>
    <row r="53" spans="4:17" ht="16.2" thickBot="1" x14ac:dyDescent="0.35">
      <c r="D53" s="363"/>
      <c r="E53" s="557" t="s">
        <v>130</v>
      </c>
      <c r="F53" s="558"/>
      <c r="G53" s="558"/>
      <c r="H53" s="558"/>
      <c r="I53" s="558"/>
      <c r="J53" s="559"/>
      <c r="K53" s="364"/>
      <c r="L53" s="367" t="s">
        <v>10</v>
      </c>
      <c r="M53" s="366"/>
      <c r="N53" s="110"/>
      <c r="O53" s="110"/>
      <c r="P53" s="61"/>
    </row>
    <row r="54" spans="4:17" x14ac:dyDescent="0.3">
      <c r="D54" s="325"/>
      <c r="E54" s="357" t="s">
        <v>90</v>
      </c>
      <c r="F54" s="312"/>
      <c r="G54" s="312"/>
      <c r="H54" s="312"/>
      <c r="I54" s="560">
        <f>+K49</f>
        <v>30167</v>
      </c>
      <c r="J54" s="560"/>
      <c r="K54" s="312"/>
      <c r="L54" s="358">
        <f>+I54/$I$54</f>
        <v>1</v>
      </c>
      <c r="M54" s="365"/>
      <c r="N54" s="110"/>
      <c r="O54" s="110"/>
      <c r="P54" s="61"/>
    </row>
    <row r="55" spans="4:17" x14ac:dyDescent="0.3">
      <c r="D55" s="325"/>
      <c r="E55" s="357"/>
      <c r="F55" s="312"/>
      <c r="G55" s="312"/>
      <c r="H55" s="312"/>
      <c r="I55" s="312"/>
      <c r="J55" s="312"/>
      <c r="K55" s="312"/>
      <c r="L55" s="312"/>
      <c r="M55" s="365"/>
      <c r="N55" s="110"/>
      <c r="O55" s="110"/>
      <c r="P55" s="61"/>
    </row>
    <row r="56" spans="4:17" x14ac:dyDescent="0.3">
      <c r="D56" s="316"/>
      <c r="E56" s="313"/>
      <c r="F56" s="359" t="s">
        <v>115</v>
      </c>
      <c r="G56" s="359"/>
      <c r="H56" s="313"/>
      <c r="I56" s="561">
        <f>+I49</f>
        <v>22172</v>
      </c>
      <c r="J56" s="562"/>
      <c r="K56" s="313"/>
      <c r="L56" s="358">
        <f>+I56/$I$54</f>
        <v>0.73497530414028578</v>
      </c>
      <c r="M56" s="317"/>
      <c r="N56" s="110"/>
      <c r="O56" s="110"/>
      <c r="P56" s="61"/>
    </row>
    <row r="57" spans="4:17" x14ac:dyDescent="0.3">
      <c r="D57" s="316"/>
      <c r="E57" s="313"/>
      <c r="F57" s="313" t="s">
        <v>91</v>
      </c>
      <c r="G57" s="313"/>
      <c r="H57" s="313"/>
      <c r="I57" s="563">
        <f>+I43</f>
        <v>1836</v>
      </c>
      <c r="J57" s="564"/>
      <c r="K57" s="313"/>
      <c r="L57" s="358">
        <f>+I57/$I$54</f>
        <v>6.0861205953525378E-2</v>
      </c>
      <c r="M57" s="317"/>
      <c r="N57" s="110"/>
      <c r="O57" s="110"/>
      <c r="P57" s="61"/>
    </row>
    <row r="58" spans="4:17" ht="15" thickBot="1" x14ac:dyDescent="0.35">
      <c r="D58" s="316"/>
      <c r="E58" s="565" t="s">
        <v>116</v>
      </c>
      <c r="F58" s="565"/>
      <c r="G58" s="565"/>
      <c r="H58" s="313"/>
      <c r="I58" s="566">
        <f>+I54-I56-I57</f>
        <v>6159</v>
      </c>
      <c r="J58" s="567"/>
      <c r="K58" s="360"/>
      <c r="L58" s="361">
        <f>+I58/$I$54</f>
        <v>0.20416348990618888</v>
      </c>
      <c r="M58" s="317"/>
      <c r="N58" s="110"/>
      <c r="O58" s="110"/>
      <c r="P58" s="158"/>
    </row>
    <row r="59" spans="4:17" ht="15" thickTop="1" x14ac:dyDescent="0.3">
      <c r="D59" s="316"/>
      <c r="E59" s="471"/>
      <c r="F59" s="471" t="s">
        <v>131</v>
      </c>
      <c r="G59" s="471"/>
      <c r="H59" s="313"/>
      <c r="I59" s="568">
        <f>+I44</f>
        <v>1397</v>
      </c>
      <c r="J59" s="568"/>
      <c r="K59" s="360"/>
      <c r="L59" s="380"/>
      <c r="M59" s="317"/>
      <c r="N59" s="110"/>
      <c r="O59" s="110"/>
      <c r="P59" s="158"/>
    </row>
    <row r="60" spans="4:17" ht="15" thickBot="1" x14ac:dyDescent="0.35">
      <c r="D60" s="316"/>
      <c r="E60" s="379"/>
      <c r="F60" s="379" t="s">
        <v>132</v>
      </c>
      <c r="G60" s="379"/>
      <c r="H60" s="313"/>
      <c r="I60" s="566">
        <f>+I58-I59</f>
        <v>4762</v>
      </c>
      <c r="J60" s="566"/>
      <c r="K60" s="360"/>
      <c r="L60" s="361">
        <f>+I60/K49</f>
        <v>0.15785460934133325</v>
      </c>
      <c r="M60" s="317"/>
      <c r="N60" s="110"/>
      <c r="O60" s="110"/>
      <c r="P60" s="61"/>
    </row>
    <row r="61" spans="4:17" ht="15.6" thickTop="1" thickBot="1" x14ac:dyDescent="0.35">
      <c r="D61" s="318"/>
      <c r="E61" s="319"/>
      <c r="F61" s="319"/>
      <c r="G61" s="319"/>
      <c r="H61" s="319"/>
      <c r="I61" s="319"/>
      <c r="J61" s="319"/>
      <c r="K61" s="319"/>
      <c r="L61" s="319"/>
      <c r="M61" s="320"/>
      <c r="N61" s="110"/>
      <c r="O61" s="110"/>
      <c r="P61" s="61"/>
    </row>
    <row r="62" spans="4:17" ht="15" thickBot="1" x14ac:dyDescent="0.35"/>
    <row r="63" spans="4:17" ht="15" thickBot="1" x14ac:dyDescent="0.35">
      <c r="E63" s="557" t="s">
        <v>119</v>
      </c>
      <c r="F63" s="558"/>
      <c r="G63" s="558"/>
      <c r="H63" s="558"/>
      <c r="I63" s="558"/>
      <c r="J63" s="558"/>
      <c r="K63" s="558"/>
      <c r="L63" s="558"/>
      <c r="M63" s="559"/>
      <c r="P63" s="373"/>
    </row>
    <row r="64" spans="4:17" x14ac:dyDescent="0.3">
      <c r="E64" s="368"/>
      <c r="F64" s="321" t="s">
        <v>111</v>
      </c>
      <c r="G64" s="321"/>
      <c r="H64" s="321"/>
      <c r="I64" s="552">
        <v>11690000</v>
      </c>
      <c r="J64" s="552"/>
      <c r="K64" s="552"/>
      <c r="L64" s="552"/>
      <c r="M64" s="369"/>
      <c r="P64" s="57">
        <f>+I58/I64</f>
        <v>5.2686056458511551E-4</v>
      </c>
      <c r="Q64" s="57">
        <f>+I54/I64</f>
        <v>2.5805816937553463E-3</v>
      </c>
    </row>
    <row r="65" spans="4:17" x14ac:dyDescent="0.3">
      <c r="E65" s="368"/>
      <c r="F65" s="321" t="s">
        <v>112</v>
      </c>
      <c r="G65" s="321"/>
      <c r="H65" s="321"/>
      <c r="I65" s="321"/>
      <c r="J65" s="321"/>
      <c r="K65" s="321"/>
      <c r="L65" s="322">
        <f>+I58/I64</f>
        <v>5.2686056458511551E-4</v>
      </c>
      <c r="M65" s="369"/>
    </row>
    <row r="66" spans="4:17" x14ac:dyDescent="0.3">
      <c r="E66" s="368"/>
      <c r="F66" s="579" t="s">
        <v>110</v>
      </c>
      <c r="G66" s="579"/>
      <c r="H66" s="321"/>
      <c r="I66" s="321"/>
      <c r="J66" s="321"/>
      <c r="K66" s="321"/>
      <c r="L66" s="381">
        <f>+I58/(I64/100000)</f>
        <v>52.686056458511544</v>
      </c>
      <c r="M66" s="369"/>
    </row>
    <row r="67" spans="4:17" ht="15" thickBot="1" x14ac:dyDescent="0.35">
      <c r="E67" s="370"/>
      <c r="F67" s="371"/>
      <c r="G67" s="371"/>
      <c r="H67" s="371"/>
      <c r="I67" s="371"/>
      <c r="J67" s="371"/>
      <c r="K67" s="371"/>
      <c r="L67" s="371"/>
      <c r="M67" s="372"/>
    </row>
    <row r="70" spans="4:17" ht="15" thickBot="1" x14ac:dyDescent="0.35"/>
    <row r="71" spans="4:17" ht="15" thickBot="1" x14ac:dyDescent="0.35">
      <c r="D71" s="527" t="s">
        <v>133</v>
      </c>
      <c r="E71" s="528"/>
      <c r="F71" s="528"/>
      <c r="G71" s="528"/>
      <c r="H71" s="528"/>
      <c r="I71" s="528"/>
      <c r="J71" s="528"/>
      <c r="K71" s="528"/>
      <c r="L71" s="528"/>
      <c r="M71" s="528"/>
      <c r="N71" s="528"/>
      <c r="O71" s="529"/>
    </row>
    <row r="72" spans="4:17" ht="15" thickBot="1" x14ac:dyDescent="0.35">
      <c r="D72" s="401"/>
      <c r="E72" s="530" t="s">
        <v>77</v>
      </c>
      <c r="F72" s="530"/>
      <c r="G72" s="530"/>
      <c r="H72" s="530"/>
      <c r="I72" s="402" t="s">
        <v>76</v>
      </c>
      <c r="J72" s="403"/>
      <c r="K72" s="531" t="s">
        <v>37</v>
      </c>
      <c r="L72" s="531"/>
      <c r="M72" s="404"/>
      <c r="N72" s="405" t="s">
        <v>75</v>
      </c>
      <c r="O72" s="406"/>
    </row>
    <row r="73" spans="4:17" x14ac:dyDescent="0.3">
      <c r="D73" s="407"/>
      <c r="E73" s="408" t="s">
        <v>43</v>
      </c>
      <c r="F73" s="409"/>
      <c r="G73" s="408"/>
      <c r="H73" s="408"/>
      <c r="I73" s="410">
        <v>38828</v>
      </c>
      <c r="J73" s="410"/>
      <c r="K73" s="411"/>
      <c r="L73" s="411"/>
      <c r="M73" s="411"/>
      <c r="N73" s="411"/>
      <c r="O73" s="412"/>
    </row>
    <row r="74" spans="4:17" x14ac:dyDescent="0.3">
      <c r="D74" s="407"/>
      <c r="E74" s="408" t="s">
        <v>44</v>
      </c>
      <c r="F74" s="408" t="s">
        <v>4</v>
      </c>
      <c r="G74" s="408"/>
      <c r="H74" s="408"/>
      <c r="I74" s="410">
        <v>2144</v>
      </c>
      <c r="J74" s="410"/>
      <c r="K74" s="411"/>
      <c r="L74" s="411"/>
      <c r="M74" s="411"/>
      <c r="N74" s="411"/>
      <c r="O74" s="412"/>
    </row>
    <row r="75" spans="4:17" x14ac:dyDescent="0.3">
      <c r="D75" s="407"/>
      <c r="E75" s="408"/>
      <c r="F75" s="408" t="s">
        <v>45</v>
      </c>
      <c r="G75" s="408"/>
      <c r="H75" s="408"/>
      <c r="I75" s="413"/>
      <c r="J75" s="410"/>
      <c r="K75" s="411"/>
      <c r="L75" s="410"/>
      <c r="M75" s="411"/>
      <c r="N75" s="414"/>
      <c r="O75" s="412"/>
    </row>
    <row r="76" spans="4:17" x14ac:dyDescent="0.3">
      <c r="D76" s="407"/>
      <c r="E76" s="408"/>
      <c r="F76" s="415" t="s">
        <v>72</v>
      </c>
      <c r="G76" s="415"/>
      <c r="H76" s="415"/>
      <c r="I76" s="410">
        <f>+I73-I74-I75</f>
        <v>36684</v>
      </c>
      <c r="J76" s="410"/>
      <c r="K76" s="411"/>
      <c r="L76" s="411"/>
      <c r="M76" s="411"/>
      <c r="N76" s="411"/>
      <c r="O76" s="412"/>
    </row>
    <row r="77" spans="4:17" x14ac:dyDescent="0.3">
      <c r="D77" s="407"/>
      <c r="E77" s="408" t="s">
        <v>79</v>
      </c>
      <c r="F77" s="16"/>
      <c r="G77" s="16"/>
      <c r="H77" s="16"/>
      <c r="I77" s="413">
        <f>+'Main Table'!AO135</f>
        <v>0</v>
      </c>
      <c r="J77" s="410"/>
      <c r="K77" s="411"/>
      <c r="L77" s="411"/>
      <c r="M77" s="411"/>
      <c r="N77" s="411"/>
      <c r="O77" s="412"/>
    </row>
    <row r="78" spans="4:17" x14ac:dyDescent="0.3">
      <c r="D78" s="532" t="s">
        <v>49</v>
      </c>
      <c r="E78" s="533"/>
      <c r="F78" s="533"/>
      <c r="G78" s="533"/>
      <c r="H78" s="533"/>
      <c r="I78" s="416">
        <f>+I76-I77</f>
        <v>36684</v>
      </c>
      <c r="J78" s="410"/>
      <c r="K78" s="411"/>
      <c r="L78" s="411"/>
      <c r="M78" s="411"/>
      <c r="N78" s="411"/>
      <c r="O78" s="412"/>
    </row>
    <row r="79" spans="4:17" x14ac:dyDescent="0.3">
      <c r="D79" s="407"/>
      <c r="E79" s="408" t="s">
        <v>73</v>
      </c>
      <c r="F79" s="16"/>
      <c r="G79" s="16"/>
      <c r="H79" s="16"/>
      <c r="I79" s="413">
        <f>+I77</f>
        <v>0</v>
      </c>
      <c r="J79" s="410"/>
      <c r="K79" s="411"/>
      <c r="L79" s="411"/>
      <c r="M79" s="411"/>
      <c r="N79" s="411"/>
      <c r="O79" s="412"/>
    </row>
    <row r="80" spans="4:17" ht="15" thickBot="1" x14ac:dyDescent="0.35">
      <c r="D80" s="532" t="s">
        <v>46</v>
      </c>
      <c r="E80" s="533"/>
      <c r="F80" s="533"/>
      <c r="G80" s="533"/>
      <c r="H80" s="533"/>
      <c r="I80" s="417">
        <f>+I78+I79</f>
        <v>36684</v>
      </c>
      <c r="J80" s="410"/>
      <c r="K80" s="535">
        <v>48675</v>
      </c>
      <c r="L80" s="535"/>
      <c r="M80" s="411"/>
      <c r="N80" s="418">
        <f>+K80-I80</f>
        <v>11991</v>
      </c>
      <c r="O80" s="412"/>
      <c r="Q80" s="57">
        <f>+K80/I94</f>
        <v>2.2663002158933225E-3</v>
      </c>
    </row>
    <row r="81" spans="4:16" ht="15.6" thickTop="1" thickBot="1" x14ac:dyDescent="0.35">
      <c r="D81" s="419"/>
      <c r="E81" s="534" t="s">
        <v>71</v>
      </c>
      <c r="F81" s="534"/>
      <c r="G81" s="534"/>
      <c r="H81" s="415"/>
      <c r="I81" s="420">
        <f>+I80/K80</f>
        <v>0.75365177195685673</v>
      </c>
      <c r="J81" s="411"/>
      <c r="K81" s="411"/>
      <c r="L81" s="411"/>
      <c r="M81" s="411"/>
      <c r="N81" s="421">
        <f>+N80/K80</f>
        <v>0.2463482280431433</v>
      </c>
      <c r="O81" s="412"/>
    </row>
    <row r="82" spans="4:16" ht="15.6" thickTop="1" thickBot="1" x14ac:dyDescent="0.35">
      <c r="D82" s="422"/>
      <c r="E82" s="423"/>
      <c r="F82" s="423"/>
      <c r="G82" s="423"/>
      <c r="H82" s="423"/>
      <c r="I82" s="424"/>
      <c r="J82" s="425"/>
      <c r="K82" s="426"/>
      <c r="L82" s="426"/>
      <c r="M82" s="426"/>
      <c r="N82" s="426"/>
      <c r="O82" s="427"/>
    </row>
    <row r="83" spans="4:16" ht="15" thickBot="1" x14ac:dyDescent="0.35">
      <c r="D83" s="90"/>
      <c r="E83" s="152"/>
      <c r="F83" s="152"/>
      <c r="G83" s="152"/>
      <c r="H83" s="152"/>
      <c r="I83" s="356"/>
      <c r="J83" s="90"/>
      <c r="K83" s="110"/>
      <c r="L83" s="110"/>
      <c r="M83" s="362"/>
      <c r="N83" s="110"/>
      <c r="O83" s="110"/>
    </row>
    <row r="84" spans="4:16" ht="16.2" thickBot="1" x14ac:dyDescent="0.35">
      <c r="D84" s="428"/>
      <c r="E84" s="536" t="s">
        <v>134</v>
      </c>
      <c r="F84" s="537"/>
      <c r="G84" s="537"/>
      <c r="H84" s="537"/>
      <c r="I84" s="537"/>
      <c r="J84" s="538"/>
      <c r="K84" s="429"/>
      <c r="L84" s="441" t="s">
        <v>10</v>
      </c>
      <c r="M84" s="430"/>
      <c r="N84" s="110"/>
      <c r="O84" s="110"/>
    </row>
    <row r="85" spans="4:16" x14ac:dyDescent="0.3">
      <c r="D85" s="407"/>
      <c r="E85" s="431" t="s">
        <v>90</v>
      </c>
      <c r="F85" s="16"/>
      <c r="G85" s="16"/>
      <c r="H85" s="16"/>
      <c r="I85" s="539">
        <f>+K80</f>
        <v>48675</v>
      </c>
      <c r="J85" s="539"/>
      <c r="K85" s="16"/>
      <c r="L85" s="60">
        <f>+I85/$I$85</f>
        <v>1</v>
      </c>
      <c r="M85" s="432"/>
      <c r="N85" s="110"/>
      <c r="O85" s="110"/>
    </row>
    <row r="86" spans="4:16" x14ac:dyDescent="0.3">
      <c r="D86" s="407"/>
      <c r="E86" s="431"/>
      <c r="F86" s="16"/>
      <c r="G86" s="16"/>
      <c r="H86" s="16"/>
      <c r="I86" s="16"/>
      <c r="J86" s="16"/>
      <c r="K86" s="16"/>
      <c r="L86" s="16"/>
      <c r="M86" s="432"/>
      <c r="N86" s="110"/>
      <c r="O86" s="110"/>
    </row>
    <row r="87" spans="4:16" x14ac:dyDescent="0.3">
      <c r="D87" s="419"/>
      <c r="E87" s="15"/>
      <c r="F87" s="433" t="s">
        <v>115</v>
      </c>
      <c r="G87" s="433"/>
      <c r="H87" s="15"/>
      <c r="I87" s="540">
        <f>+I80</f>
        <v>36684</v>
      </c>
      <c r="J87" s="541"/>
      <c r="K87" s="15"/>
      <c r="L87" s="60">
        <f>+I87/$I$85</f>
        <v>0.75365177195685673</v>
      </c>
      <c r="M87" s="412"/>
      <c r="N87" s="110"/>
      <c r="O87" s="110"/>
    </row>
    <row r="88" spans="4:16" x14ac:dyDescent="0.3">
      <c r="D88" s="419"/>
      <c r="E88" s="15"/>
      <c r="F88" s="15" t="s">
        <v>91</v>
      </c>
      <c r="G88" s="15"/>
      <c r="H88" s="15"/>
      <c r="I88" s="542">
        <f>+I74</f>
        <v>2144</v>
      </c>
      <c r="J88" s="543"/>
      <c r="K88" s="15"/>
      <c r="L88" s="60">
        <f>+I88/$I$85</f>
        <v>4.4047252182845401E-2</v>
      </c>
      <c r="M88" s="412"/>
      <c r="N88" s="110"/>
      <c r="O88" s="110"/>
    </row>
    <row r="89" spans="4:16" ht="15" thickBot="1" x14ac:dyDescent="0.35">
      <c r="D89" s="419"/>
      <c r="E89" s="545" t="s">
        <v>116</v>
      </c>
      <c r="F89" s="545"/>
      <c r="G89" s="545"/>
      <c r="H89" s="15"/>
      <c r="I89" s="546">
        <f>+I85-I87-I88</f>
        <v>9847</v>
      </c>
      <c r="J89" s="547"/>
      <c r="K89" s="434"/>
      <c r="L89" s="435">
        <f>+I89/$I$85</f>
        <v>0.20230097586029788</v>
      </c>
      <c r="M89" s="412"/>
      <c r="N89" s="110"/>
      <c r="O89" s="110"/>
      <c r="P89" s="57">
        <f>+I89/I94</f>
        <v>4.5847474526762295E-4</v>
      </c>
    </row>
    <row r="90" spans="4:16" ht="15" thickTop="1" x14ac:dyDescent="0.3">
      <c r="D90" s="419"/>
      <c r="E90" s="436"/>
      <c r="F90" s="436"/>
      <c r="G90" s="436"/>
      <c r="H90" s="15"/>
      <c r="I90" s="437"/>
      <c r="J90" s="436"/>
      <c r="K90" s="434"/>
      <c r="L90" s="438"/>
      <c r="M90" s="412"/>
      <c r="N90" s="110"/>
      <c r="O90" s="110"/>
    </row>
    <row r="91" spans="4:16" ht="15" thickBot="1" x14ac:dyDescent="0.35">
      <c r="D91" s="439"/>
      <c r="E91" s="440"/>
      <c r="F91" s="440"/>
      <c r="G91" s="440"/>
      <c r="H91" s="440"/>
      <c r="I91" s="440"/>
      <c r="J91" s="440"/>
      <c r="K91" s="440"/>
      <c r="L91" s="440"/>
      <c r="M91" s="427"/>
      <c r="N91" s="110"/>
      <c r="O91" s="110"/>
    </row>
    <row r="92" spans="4:16" ht="15" thickBot="1" x14ac:dyDescent="0.35"/>
    <row r="93" spans="4:16" ht="15" thickBot="1" x14ac:dyDescent="0.35">
      <c r="E93" s="548" t="s">
        <v>121</v>
      </c>
      <c r="F93" s="549"/>
      <c r="G93" s="549"/>
      <c r="H93" s="549"/>
      <c r="I93" s="549"/>
      <c r="J93" s="549"/>
      <c r="K93" s="549"/>
      <c r="L93" s="549"/>
      <c r="M93" s="550"/>
    </row>
    <row r="94" spans="4:16" x14ac:dyDescent="0.3">
      <c r="E94" s="442"/>
      <c r="F94" s="443" t="s">
        <v>122</v>
      </c>
      <c r="G94" s="443"/>
      <c r="H94" s="443"/>
      <c r="I94" s="551">
        <v>21477737</v>
      </c>
      <c r="J94" s="551"/>
      <c r="K94" s="551"/>
      <c r="L94" s="551"/>
      <c r="M94" s="444"/>
    </row>
    <row r="95" spans="4:16" x14ac:dyDescent="0.3">
      <c r="E95" s="442"/>
      <c r="F95" s="443" t="s">
        <v>112</v>
      </c>
      <c r="G95" s="443"/>
      <c r="H95" s="443"/>
      <c r="I95" s="443"/>
      <c r="J95" s="443"/>
      <c r="K95" s="443"/>
      <c r="L95" s="445">
        <f>+I89/I94</f>
        <v>4.5847474526762295E-4</v>
      </c>
      <c r="M95" s="444"/>
    </row>
    <row r="96" spans="4:16" x14ac:dyDescent="0.3">
      <c r="E96" s="442"/>
      <c r="F96" s="544" t="s">
        <v>110</v>
      </c>
      <c r="G96" s="544"/>
      <c r="H96" s="443"/>
      <c r="I96" s="443"/>
      <c r="J96" s="443"/>
      <c r="K96" s="443"/>
      <c r="L96" s="446">
        <f>+I89/(I94/100000)</f>
        <v>45.847474526762298</v>
      </c>
      <c r="M96" s="444"/>
    </row>
    <row r="97" spans="5:13" x14ac:dyDescent="0.3">
      <c r="E97" s="442"/>
      <c r="F97" s="447"/>
      <c r="G97" s="447"/>
      <c r="H97" s="443"/>
      <c r="I97" s="443"/>
      <c r="J97" s="443"/>
      <c r="K97" s="443"/>
      <c r="L97" s="446"/>
      <c r="M97" s="444"/>
    </row>
    <row r="98" spans="5:13" x14ac:dyDescent="0.3">
      <c r="E98" s="442"/>
      <c r="F98" s="447" t="s">
        <v>123</v>
      </c>
      <c r="G98" s="447"/>
      <c r="H98" s="544" t="s">
        <v>124</v>
      </c>
      <c r="I98" s="544"/>
      <c r="J98" s="443"/>
      <c r="K98" s="443"/>
      <c r="L98" s="446"/>
      <c r="M98" s="444"/>
    </row>
    <row r="99" spans="5:13" ht="15" thickBot="1" x14ac:dyDescent="0.35">
      <c r="E99" s="448"/>
      <c r="F99" s="449"/>
      <c r="G99" s="449"/>
      <c r="H99" s="449"/>
      <c r="I99" s="449"/>
      <c r="J99" s="449"/>
      <c r="K99" s="449"/>
      <c r="L99" s="449"/>
      <c r="M99" s="450"/>
    </row>
  </sheetData>
  <mergeCells count="50">
    <mergeCell ref="F66:G66"/>
    <mergeCell ref="E63:M63"/>
    <mergeCell ref="I60:J60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4:L64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I59:J59"/>
    <mergeCell ref="E84:J84"/>
    <mergeCell ref="I85:J85"/>
    <mergeCell ref="I87:J87"/>
    <mergeCell ref="I88:J88"/>
    <mergeCell ref="H98:I98"/>
    <mergeCell ref="E89:G89"/>
    <mergeCell ref="I89:J89"/>
    <mergeCell ref="E93:M93"/>
    <mergeCell ref="I94:L94"/>
    <mergeCell ref="F96:G96"/>
    <mergeCell ref="D71:O71"/>
    <mergeCell ref="E72:H72"/>
    <mergeCell ref="K72:L72"/>
    <mergeCell ref="D78:H78"/>
    <mergeCell ref="E81:G81"/>
    <mergeCell ref="D80:H80"/>
    <mergeCell ref="K80:L8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92" t="s">
        <v>5</v>
      </c>
      <c r="C1" s="492"/>
      <c r="D1" s="492"/>
    </row>
    <row r="2" spans="2:31" ht="15.6" x14ac:dyDescent="0.3">
      <c r="B2" s="492" t="s">
        <v>6</v>
      </c>
      <c r="C2" s="492"/>
      <c r="D2" s="492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00" t="s">
        <v>23</v>
      </c>
      <c r="E12" s="601"/>
      <c r="F12" s="601"/>
      <c r="G12" s="601"/>
      <c r="H12" s="601"/>
      <c r="I12" s="601"/>
      <c r="J12" s="601"/>
      <c r="K12" s="601"/>
      <c r="L12" s="601"/>
      <c r="M12" s="601"/>
      <c r="N12" s="601"/>
      <c r="O12" s="601"/>
      <c r="P12" s="601"/>
      <c r="Q12" s="601"/>
      <c r="R12" s="601"/>
      <c r="S12" s="601"/>
      <c r="T12" s="601"/>
      <c r="U12" s="602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Table'!J88</f>
        <v>1.2978421040874179E-2</v>
      </c>
      <c r="U14" s="231"/>
      <c r="V14" s="1"/>
      <c r="X14" s="235"/>
      <c r="Y14" s="599" t="s">
        <v>63</v>
      </c>
      <c r="Z14" s="599"/>
      <c r="AA14" s="599"/>
      <c r="AB14" s="599"/>
      <c r="AC14" s="599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86543.811401627085</v>
      </c>
      <c r="Q15" s="81"/>
      <c r="R15" s="81"/>
      <c r="S15" s="81"/>
      <c r="T15" s="82">
        <f t="shared" ref="T15:T59" si="5">+T14</f>
        <v>1.2978421040874179E-2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87667.013424479403</v>
      </c>
      <c r="Q16" s="81"/>
      <c r="R16" s="81"/>
      <c r="S16" s="81"/>
      <c r="T16" s="82">
        <f t="shared" si="5"/>
        <v>1.2978421040874179E-2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88804.792836098262</v>
      </c>
      <c r="Q17" s="81"/>
      <c r="R17" s="81"/>
      <c r="S17" s="81"/>
      <c r="T17" s="82">
        <f t="shared" si="5"/>
        <v>1.2978421040874179E-2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89957.338827972751</v>
      </c>
      <c r="Q18" s="81"/>
      <c r="R18" s="81"/>
      <c r="S18" s="81"/>
      <c r="T18" s="82">
        <f t="shared" si="5"/>
        <v>1.2978421040874179E-2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91124.843046998751</v>
      </c>
      <c r="Q19" s="81"/>
      <c r="R19" s="81"/>
      <c r="S19" s="81"/>
      <c r="T19" s="82">
        <f t="shared" si="5"/>
        <v>1.2978421040874179E-2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92307.499627346275</v>
      </c>
      <c r="Q20" s="81"/>
      <c r="R20" s="81"/>
      <c r="S20" s="81"/>
      <c r="T20" s="82">
        <f t="shared" si="5"/>
        <v>1.2978421040874179E-2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93505.505222740307</v>
      </c>
      <c r="Q21" s="81"/>
      <c r="R21" s="81"/>
      <c r="S21" s="81"/>
      <c r="T21" s="82">
        <f t="shared" si="5"/>
        <v>1.2978421040874179E-2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94719.059039160682</v>
      </c>
      <c r="Q22" s="81"/>
      <c r="R22" s="81"/>
      <c r="S22" s="81"/>
      <c r="T22" s="82">
        <f t="shared" si="5"/>
        <v>1.2978421040874179E-2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95948.362867966323</v>
      </c>
      <c r="Q23" s="81"/>
      <c r="R23" s="81"/>
      <c r="S23" s="81"/>
      <c r="T23" s="82">
        <f t="shared" si="5"/>
        <v>1.2978421040874179E-2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97193.621119449366</v>
      </c>
      <c r="Q24" s="81"/>
      <c r="R24" s="81"/>
      <c r="S24" s="81"/>
      <c r="T24" s="82">
        <f t="shared" si="5"/>
        <v>1.2978421040874179E-2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98455.04085682478</v>
      </c>
      <c r="Q25" s="81"/>
      <c r="R25" s="81"/>
      <c r="S25" s="81"/>
      <c r="T25" s="82">
        <f t="shared" si="5"/>
        <v>1.2978421040874179E-2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99732.831830661118</v>
      </c>
      <c r="Q26" s="81"/>
      <c r="R26" s="81"/>
      <c r="S26" s="81"/>
      <c r="T26" s="82">
        <f t="shared" si="5"/>
        <v>1.2978421040874179E-2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101027.20651375812</v>
      </c>
      <c r="Q27" s="81"/>
      <c r="R27" s="81"/>
      <c r="S27" s="81"/>
      <c r="T27" s="82">
        <f t="shared" si="5"/>
        <v>1.2978421040874179E-2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102338.38013647702</v>
      </c>
      <c r="Q28" s="81"/>
      <c r="R28" s="81"/>
      <c r="S28" s="81"/>
      <c r="T28" s="82">
        <f t="shared" si="5"/>
        <v>1.2978421040874179E-2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103666.57072252924</v>
      </c>
      <c r="Q29" s="81"/>
      <c r="R29" s="81"/>
      <c r="S29" s="81"/>
      <c r="T29" s="82">
        <f t="shared" si="5"/>
        <v>1.2978421040874179E-2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105011.99912522978</v>
      </c>
      <c r="Q30" s="81"/>
      <c r="R30" s="81"/>
      <c r="S30" s="81"/>
      <c r="T30" s="82">
        <f t="shared" si="5"/>
        <v>1.2978421040874179E-2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106374.88906422092</v>
      </c>
      <c r="Q31" s="81"/>
      <c r="R31" s="81"/>
      <c r="S31" s="81"/>
      <c r="T31" s="82">
        <f t="shared" si="5"/>
        <v>1.2978421040874179E-2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107755.46716267265</v>
      </c>
      <c r="Q32" s="81"/>
      <c r="R32" s="81"/>
      <c r="S32" s="81"/>
      <c r="T32" s="82">
        <f t="shared" si="5"/>
        <v>1.2978421040874179E-2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109153.9629849659</v>
      </c>
      <c r="Q33" s="81"/>
      <c r="R33" s="81"/>
      <c r="S33" s="81"/>
      <c r="T33" s="82">
        <f t="shared" si="5"/>
        <v>1.2978421040874179E-2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110570.60907486477</v>
      </c>
      <c r="Q34" s="81"/>
      <c r="R34" s="81"/>
      <c r="S34" s="81"/>
      <c r="T34" s="82">
        <f t="shared" si="5"/>
        <v>1.2978421040874179E-2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112005.64099418426</v>
      </c>
      <c r="Q35" s="81"/>
      <c r="R35" s="81"/>
      <c r="S35" s="81"/>
      <c r="T35" s="82">
        <f t="shared" si="5"/>
        <v>1.2978421040874179E-2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113459.29736195978</v>
      </c>
      <c r="Q36" s="81"/>
      <c r="R36" s="81"/>
      <c r="S36" s="81"/>
      <c r="T36" s="82">
        <f t="shared" si="5"/>
        <v>1.2978421040874179E-2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114931.81989412503</v>
      </c>
      <c r="Q37" s="81"/>
      <c r="R37" s="81"/>
      <c r="S37" s="81"/>
      <c r="T37" s="82">
        <f t="shared" si="5"/>
        <v>1.2978421040874179E-2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116423.4534437049</v>
      </c>
      <c r="Q38" s="81"/>
      <c r="R38" s="81"/>
      <c r="S38" s="81"/>
      <c r="T38" s="82">
        <f t="shared" si="5"/>
        <v>1.2978421040874179E-2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117934.44604152991</v>
      </c>
      <c r="Q39" s="81"/>
      <c r="R39" s="81"/>
      <c r="S39" s="81"/>
      <c r="T39" s="82">
        <f t="shared" si="5"/>
        <v>1.2978421040874179E-2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119465.04893747914</v>
      </c>
      <c r="Q40" s="81"/>
      <c r="R40" s="81"/>
      <c r="S40" s="81"/>
      <c r="T40" s="82">
        <f t="shared" si="5"/>
        <v>1.2978421040874179E-2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121015.51664225837</v>
      </c>
      <c r="Q41" s="81"/>
      <c r="R41" s="81"/>
      <c r="S41" s="81"/>
      <c r="T41" s="82">
        <f t="shared" si="5"/>
        <v>1.2978421040874179E-2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122586.10696972051</v>
      </c>
      <c r="Q42" s="81"/>
      <c r="R42" s="81"/>
      <c r="S42" s="81"/>
      <c r="T42" s="82">
        <f t="shared" si="5"/>
        <v>1.2978421040874179E-2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124177.08107973517</v>
      </c>
      <c r="Q43" s="81"/>
      <c r="R43" s="81"/>
      <c r="S43" s="81"/>
      <c r="T43" s="82">
        <f t="shared" si="5"/>
        <v>1.2978421040874179E-2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125788.70352161473</v>
      </c>
      <c r="Q44" s="81"/>
      <c r="R44" s="81"/>
      <c r="S44" s="81"/>
      <c r="T44" s="82">
        <f t="shared" si="5"/>
        <v>1.2978421040874179E-2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127421.24227810393</v>
      </c>
      <c r="Q45" s="81"/>
      <c r="R45" s="81"/>
      <c r="S45" s="81"/>
      <c r="T45" s="82">
        <f t="shared" si="5"/>
        <v>1.2978421040874179E-2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129074.9688099404</v>
      </c>
      <c r="Q46" s="81"/>
      <c r="R46" s="81"/>
      <c r="S46" s="81"/>
      <c r="T46" s="82">
        <f t="shared" si="5"/>
        <v>1.2978421040874179E-2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130750.1581009935</v>
      </c>
      <c r="Q47" s="81"/>
      <c r="R47" s="81"/>
      <c r="S47" s="81"/>
      <c r="T47" s="82">
        <f t="shared" si="5"/>
        <v>1.2978421040874179E-2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132447.08870398905</v>
      </c>
      <c r="Q48" s="81"/>
      <c r="R48" s="81"/>
      <c r="S48" s="81"/>
      <c r="T48" s="82">
        <f t="shared" si="5"/>
        <v>1.2978421040874179E-2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134166.04278682743</v>
      </c>
      <c r="Q49" s="81"/>
      <c r="R49" s="81"/>
      <c r="S49" s="81"/>
      <c r="T49" s="82">
        <f t="shared" si="5"/>
        <v>1.2978421040874179E-2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135907.3061795028</v>
      </c>
      <c r="Q50" s="81"/>
      <c r="R50" s="81"/>
      <c r="S50" s="81"/>
      <c r="T50" s="82">
        <f t="shared" si="5"/>
        <v>1.2978421040874179E-2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137671.16842163139</v>
      </c>
      <c r="Q51" s="81"/>
      <c r="R51" s="81"/>
      <c r="S51" s="81"/>
      <c r="T51" s="82">
        <f t="shared" si="5"/>
        <v>1.2978421040874179E-2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139457.92281059641</v>
      </c>
      <c r="Q52" s="81"/>
      <c r="R52" s="81"/>
      <c r="S52" s="81"/>
      <c r="T52" s="82">
        <f t="shared" si="5"/>
        <v>1.2978421040874179E-2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141267.86645031805</v>
      </c>
      <c r="Q53" s="81"/>
      <c r="R53" s="81"/>
      <c r="S53" s="81"/>
      <c r="T53" s="82">
        <f t="shared" si="5"/>
        <v>1.2978421040874179E-2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143101.30030065624</v>
      </c>
      <c r="Q54" s="81"/>
      <c r="R54" s="81"/>
      <c r="S54" s="81"/>
      <c r="T54" s="82">
        <f t="shared" si="5"/>
        <v>1.2978421040874179E-2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144958.52922745471</v>
      </c>
      <c r="Q55" s="81"/>
      <c r="R55" s="81"/>
      <c r="S55" s="81"/>
      <c r="T55" s="82">
        <f t="shared" si="5"/>
        <v>1.2978421040874179E-2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146839.86205323448</v>
      </c>
      <c r="Q56" s="81"/>
      <c r="R56" s="81"/>
      <c r="S56" s="81"/>
      <c r="T56" s="82">
        <f t="shared" si="5"/>
        <v>1.2978421040874179E-2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148745.61160854524</v>
      </c>
      <c r="Q57" s="81"/>
      <c r="R57" s="81"/>
      <c r="S57" s="81"/>
      <c r="T57" s="82">
        <f t="shared" si="5"/>
        <v>1.2978421040874179E-2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150676.09478398328</v>
      </c>
      <c r="Q58" s="81"/>
      <c r="R58" s="81"/>
      <c r="S58" s="81"/>
      <c r="T58" s="82">
        <f t="shared" si="5"/>
        <v>1.2978421040874179E-2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152631.63258288446</v>
      </c>
      <c r="Q59" s="81"/>
      <c r="R59" s="81"/>
      <c r="S59" s="81"/>
      <c r="T59" s="82">
        <f t="shared" si="5"/>
        <v>1.2978421040874179E-2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2020-05-22T00:26:28Z</cp:lastPrinted>
  <dcterms:created xsi:type="dcterms:W3CDTF">2020-03-28T00:34:23Z</dcterms:created>
  <dcterms:modified xsi:type="dcterms:W3CDTF">2020-05-29T00:54:30Z</dcterms:modified>
</cp:coreProperties>
</file>