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E112790D-FD97-4EFF-8CDB-780229281796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Table'!$A$1:$BN$67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7" l="1"/>
  <c r="D56" i="7" s="1"/>
  <c r="D57" i="7" s="1"/>
  <c r="D58" i="7" s="1"/>
  <c r="D59" i="7" s="1"/>
  <c r="D60" i="7" s="1"/>
  <c r="Q63" i="2"/>
  <c r="P63" i="2"/>
  <c r="N63" i="2"/>
  <c r="L63" i="2"/>
  <c r="J63" i="2"/>
  <c r="I63" i="2"/>
  <c r="H63" i="2"/>
  <c r="G63" i="2"/>
  <c r="E63" i="2"/>
  <c r="K59" i="2"/>
  <c r="M59" i="2" s="1"/>
  <c r="M63" i="2" s="1"/>
  <c r="AG65" i="1"/>
  <c r="AF65" i="1"/>
  <c r="AE65" i="1"/>
  <c r="AC65" i="1"/>
  <c r="AB65" i="1"/>
  <c r="AA65" i="1"/>
  <c r="Z65" i="1"/>
  <c r="Y65" i="1"/>
  <c r="U65" i="1"/>
  <c r="S65" i="1"/>
  <c r="Q65" i="1"/>
  <c r="P65" i="1"/>
  <c r="O65" i="1"/>
  <c r="N65" i="1"/>
  <c r="L65" i="1"/>
  <c r="K65" i="1"/>
  <c r="I65" i="1"/>
  <c r="D65" i="1"/>
  <c r="W13" i="3"/>
  <c r="S13" i="3"/>
  <c r="I20" i="3"/>
  <c r="AN58" i="1"/>
  <c r="AT58" i="1" s="1"/>
  <c r="AV58" i="1" s="1"/>
  <c r="AJ58" i="1"/>
  <c r="AJ65" i="1" s="1"/>
  <c r="X58" i="1"/>
  <c r="AD58" i="1" s="1"/>
  <c r="AD65" i="1" s="1"/>
  <c r="R58" i="1"/>
  <c r="J58" i="1"/>
  <c r="J65" i="1" s="1"/>
  <c r="H58" i="1"/>
  <c r="AH58" i="1" s="1"/>
  <c r="K63" i="2" l="1"/>
  <c r="X65" i="1"/>
  <c r="T58" i="1"/>
  <c r="T65" i="1" s="1"/>
  <c r="H65" i="1"/>
  <c r="R65" i="1"/>
  <c r="S59" i="2"/>
  <c r="AP58" i="1"/>
  <c r="Q58" i="2"/>
  <c r="Y11" i="3" l="1"/>
  <c r="Y10" i="3"/>
  <c r="Y9" i="3"/>
  <c r="Y8" i="3"/>
  <c r="Y7" i="3"/>
  <c r="S12" i="3"/>
  <c r="K58" i="2" l="1"/>
  <c r="AN57" i="1"/>
  <c r="AT57" i="1" s="1"/>
  <c r="AV57" i="1" s="1"/>
  <c r="AJ57" i="1"/>
  <c r="X57" i="1"/>
  <c r="AD57" i="1" s="1"/>
  <c r="R57" i="1"/>
  <c r="J57" i="1"/>
  <c r="H57" i="1"/>
  <c r="AH57" i="1" s="1"/>
  <c r="BA57" i="1"/>
  <c r="BA58" i="1" s="1"/>
  <c r="BA59" i="1" s="1"/>
  <c r="BA60" i="1" s="1"/>
  <c r="BA61" i="1" s="1"/>
  <c r="BA62" i="1" s="1"/>
  <c r="BA63" i="1" s="1"/>
  <c r="B57" i="1"/>
  <c r="B58" i="1" s="1"/>
  <c r="B59" i="1" s="1"/>
  <c r="B60" i="1" s="1"/>
  <c r="B61" i="1" s="1"/>
  <c r="B62" i="1" s="1"/>
  <c r="B63" i="1" s="1"/>
  <c r="M58" i="2" l="1"/>
  <c r="S58" i="2"/>
  <c r="T57" i="1"/>
  <c r="AP57" i="1"/>
  <c r="I46" i="3"/>
  <c r="I48" i="3" s="1"/>
  <c r="I45" i="3"/>
  <c r="S8" i="3"/>
  <c r="S9" i="3" s="1"/>
  <c r="S10" i="3" s="1"/>
  <c r="S11" i="3" s="1"/>
  <c r="S7" i="3"/>
  <c r="I47" i="3" l="1"/>
  <c r="I49" i="3" s="1"/>
  <c r="AD30" i="2"/>
  <c r="AB30" i="2"/>
  <c r="Q57" i="2"/>
  <c r="L54" i="7"/>
  <c r="K57" i="2"/>
  <c r="M57" i="2" s="1"/>
  <c r="U57" i="2"/>
  <c r="U58" i="2" s="1"/>
  <c r="U59" i="2" s="1"/>
  <c r="U60" i="2" s="1"/>
  <c r="U61" i="2" s="1"/>
  <c r="C57" i="2"/>
  <c r="C58" i="2" s="1"/>
  <c r="C59" i="2" s="1"/>
  <c r="C60" i="2" s="1"/>
  <c r="C61" i="2" s="1"/>
  <c r="AN56" i="1"/>
  <c r="AT56" i="1" s="1"/>
  <c r="AV56" i="1" s="1"/>
  <c r="AJ56" i="1"/>
  <c r="X56" i="1"/>
  <c r="AD56" i="1" s="1"/>
  <c r="N49" i="3" l="1"/>
  <c r="I50" i="3"/>
  <c r="S57" i="2"/>
  <c r="AP56" i="1"/>
  <c r="Q56" i="2"/>
  <c r="L53" i="7"/>
  <c r="K56" i="2"/>
  <c r="M56" i="2" s="1"/>
  <c r="AN55" i="1"/>
  <c r="AT55" i="1" s="1"/>
  <c r="AV55" i="1" s="1"/>
  <c r="AJ55" i="1"/>
  <c r="X55" i="1"/>
  <c r="AD55" i="1" s="1"/>
  <c r="C74" i="2"/>
  <c r="C72" i="2"/>
  <c r="L57" i="3" l="1"/>
  <c r="N50" i="3"/>
  <c r="N51" i="3" s="1"/>
  <c r="S56" i="2"/>
  <c r="AP55" i="1"/>
  <c r="N48" i="1"/>
  <c r="Q55" i="2"/>
  <c r="L52" i="7"/>
  <c r="K55" i="2"/>
  <c r="S55" i="2" s="1"/>
  <c r="AN54" i="1"/>
  <c r="AJ54" i="1"/>
  <c r="X54" i="1"/>
  <c r="AD54" i="1" s="1"/>
  <c r="M55" i="2" l="1"/>
  <c r="AP54" i="1"/>
  <c r="Q54" i="2"/>
  <c r="L51" i="7" l="1"/>
  <c r="K54" i="2"/>
  <c r="M54" i="2" s="1"/>
  <c r="AN53" i="1"/>
  <c r="AJ53" i="1"/>
  <c r="X53" i="1"/>
  <c r="AD53" i="1" s="1"/>
  <c r="F73" i="7"/>
  <c r="F71" i="7"/>
  <c r="Q53" i="2"/>
  <c r="L50" i="7"/>
  <c r="S54" i="2" l="1"/>
  <c r="AP53" i="1"/>
  <c r="K53" i="2"/>
  <c r="M53" i="2" s="1"/>
  <c r="AN52" i="1"/>
  <c r="AJ52" i="1"/>
  <c r="X52" i="1"/>
  <c r="AD52" i="1" s="1"/>
  <c r="S53" i="2" l="1"/>
  <c r="AP52" i="1"/>
  <c r="G46" i="2"/>
  <c r="AM75" i="2"/>
  <c r="Q52" i="2"/>
  <c r="AB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D16" i="2" s="1"/>
  <c r="K50" i="2"/>
  <c r="S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G65" i="1"/>
  <c r="F65" i="1"/>
  <c r="E65" i="1"/>
  <c r="BA12" i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55" i="1" s="1"/>
  <c r="BA56" i="1" s="1"/>
  <c r="BA11" i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H16" i="2"/>
  <c r="AH19" i="2" s="1"/>
  <c r="AB28" i="2"/>
  <c r="F63" i="2"/>
  <c r="AB27" i="2"/>
  <c r="AD41" i="2"/>
  <c r="AF41" i="2" s="1"/>
  <c r="AF40" i="2"/>
  <c r="AF39" i="2"/>
  <c r="AF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G29" i="2"/>
  <c r="K29" i="2" s="1"/>
  <c r="Q28" i="2"/>
  <c r="K28" i="2"/>
  <c r="Q27" i="2"/>
  <c r="K27" i="2"/>
  <c r="Q26" i="2"/>
  <c r="K26" i="2"/>
  <c r="Q25" i="2"/>
  <c r="K25" i="2"/>
  <c r="Q24" i="2"/>
  <c r="K24" i="2"/>
  <c r="Q23" i="2"/>
  <c r="K23" i="2"/>
  <c r="Q22" i="2"/>
  <c r="K22" i="2"/>
  <c r="Q21" i="2"/>
  <c r="K21" i="2"/>
  <c r="Q20" i="2"/>
  <c r="K20" i="2"/>
  <c r="Q19" i="2"/>
  <c r="K19" i="2"/>
  <c r="K18" i="2"/>
  <c r="U12" i="2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AB31" i="2" l="1"/>
  <c r="AF30" i="2" s="1"/>
  <c r="AH30" i="2" s="1"/>
  <c r="M32" i="2"/>
  <c r="M44" i="2"/>
  <c r="M35" i="2"/>
  <c r="M43" i="2"/>
  <c r="AD19" i="2"/>
  <c r="S20" i="2"/>
  <c r="S32" i="2"/>
  <c r="S48" i="2"/>
  <c r="M21" i="2"/>
  <c r="M41" i="2"/>
  <c r="M45" i="2"/>
  <c r="M49" i="2"/>
  <c r="S24" i="2"/>
  <c r="S36" i="2"/>
  <c r="M33" i="2"/>
  <c r="M29" i="2"/>
  <c r="S28" i="2"/>
  <c r="S44" i="2"/>
  <c r="M25" i="2"/>
  <c r="S25" i="2"/>
  <c r="S33" i="2"/>
  <c r="S37" i="2"/>
  <c r="S41" i="2"/>
  <c r="S45" i="2"/>
  <c r="S49" i="2"/>
  <c r="M38" i="2"/>
  <c r="M30" i="2"/>
  <c r="M51" i="2"/>
  <c r="M26" i="2"/>
  <c r="S19" i="2"/>
  <c r="S23" i="2"/>
  <c r="S27" i="2"/>
  <c r="M40" i="2"/>
  <c r="M48" i="2"/>
  <c r="S21" i="2"/>
  <c r="S29" i="2"/>
  <c r="M22" i="2"/>
  <c r="S26" i="2"/>
  <c r="M19" i="2"/>
  <c r="M23" i="2"/>
  <c r="M27" i="2"/>
  <c r="S30" i="2"/>
  <c r="S34" i="2"/>
  <c r="S42" i="2"/>
  <c r="S22" i="2"/>
  <c r="M36" i="2"/>
  <c r="M52" i="2"/>
  <c r="M20" i="2"/>
  <c r="M24" i="2"/>
  <c r="M28" i="2"/>
  <c r="S31" i="2"/>
  <c r="S35" i="2"/>
  <c r="S39" i="2"/>
  <c r="S43" i="2"/>
  <c r="S47" i="2"/>
  <c r="S51" i="2"/>
  <c r="M37" i="2"/>
  <c r="M47" i="2"/>
  <c r="M46" i="2"/>
  <c r="M39" i="2"/>
  <c r="S38" i="2"/>
  <c r="S46" i="2"/>
  <c r="M34" i="2"/>
  <c r="M42" i="2"/>
  <c r="M50" i="2"/>
  <c r="S40" i="2"/>
  <c r="M31" i="2"/>
  <c r="S52" i="2"/>
  <c r="AN51" i="1"/>
  <c r="AJ51" i="1"/>
  <c r="X51" i="1"/>
  <c r="AD51" i="1" s="1"/>
  <c r="AF29" i="2" l="1"/>
  <c r="AH29" i="2" s="1"/>
  <c r="AF28" i="2"/>
  <c r="AH28" i="2" s="1"/>
  <c r="AF27" i="2"/>
  <c r="AP51" i="1"/>
  <c r="AN50" i="1"/>
  <c r="AJ50" i="1"/>
  <c r="X50" i="1"/>
  <c r="AD50" i="1" s="1"/>
  <c r="AH27" i="2" l="1"/>
  <c r="AF31" i="2"/>
  <c r="AP50" i="1"/>
  <c r="AH31" i="2" l="1"/>
  <c r="AF16" i="2" s="1"/>
  <c r="AN49" i="1"/>
  <c r="AJ49" i="1"/>
  <c r="X49" i="1"/>
  <c r="AD49" i="1" s="1"/>
  <c r="AP49" i="1" l="1"/>
  <c r="AN48" i="1" l="1"/>
  <c r="AJ48" i="1"/>
  <c r="X48" i="1"/>
  <c r="AD48" i="1" s="1"/>
  <c r="B119" i="1"/>
  <c r="B122" i="1"/>
  <c r="AP48" i="1" l="1"/>
  <c r="AN47" i="1"/>
  <c r="AJ47" i="1"/>
  <c r="X47" i="1"/>
  <c r="AD47" i="1" s="1"/>
  <c r="AP47" i="1" l="1"/>
  <c r="AN46" i="1"/>
  <c r="AJ46" i="1"/>
  <c r="X46" i="1"/>
  <c r="AD46" i="1" s="1"/>
  <c r="AP46" i="1" l="1"/>
  <c r="AN45" i="1"/>
  <c r="AJ45" i="1"/>
  <c r="X45" i="1"/>
  <c r="AD45" i="1" s="1"/>
  <c r="AP45" i="1" l="1"/>
  <c r="AN44" i="1" l="1"/>
  <c r="AJ44" i="1"/>
  <c r="X44" i="1"/>
  <c r="AD44" i="1" s="1"/>
  <c r="AP44" i="1" l="1"/>
  <c r="AJ43" i="1"/>
  <c r="X43" i="1"/>
  <c r="AD43" i="1" s="1"/>
  <c r="AN43" i="1" l="1"/>
  <c r="AP43" i="1" s="1"/>
  <c r="AN42" i="1" l="1"/>
  <c r="AJ42" i="1"/>
  <c r="X42" i="1"/>
  <c r="AD42" i="1" s="1"/>
  <c r="AP42" i="1" l="1"/>
  <c r="AN41" i="1" l="1"/>
  <c r="AJ41" i="1"/>
  <c r="X41" i="1"/>
  <c r="AD41" i="1" s="1"/>
  <c r="AP41" i="1" l="1"/>
  <c r="AN40" i="1" l="1"/>
  <c r="AJ40" i="1"/>
  <c r="X40" i="1"/>
  <c r="AD40" i="1" s="1"/>
  <c r="AN39" i="1"/>
  <c r="AJ39" i="1"/>
  <c r="X39" i="1"/>
  <c r="AD39" i="1" s="1"/>
  <c r="AP40" i="1" l="1"/>
  <c r="AN38" i="1" l="1"/>
  <c r="AJ38" i="1"/>
  <c r="X38" i="1"/>
  <c r="AD38" i="1" s="1"/>
  <c r="AN37" i="1" l="1"/>
  <c r="AJ37" i="1"/>
  <c r="X37" i="1"/>
  <c r="AD37" i="1" s="1"/>
  <c r="AN36" i="1"/>
  <c r="AJ36" i="1"/>
  <c r="X36" i="1"/>
  <c r="AD36" i="1" s="1"/>
  <c r="AN35" i="1" l="1"/>
  <c r="AJ35" i="1"/>
  <c r="X35" i="1"/>
  <c r="AD35" i="1" s="1"/>
  <c r="AN34" i="1" l="1"/>
  <c r="AJ34" i="1"/>
  <c r="X34" i="1"/>
  <c r="AD34" i="1" s="1"/>
  <c r="AN33" i="1" l="1"/>
  <c r="AJ33" i="1"/>
  <c r="X33" i="1"/>
  <c r="AD33" i="1" s="1"/>
  <c r="AN32" i="1"/>
  <c r="AJ32" i="1"/>
  <c r="X32" i="1"/>
  <c r="AD32" i="1" s="1"/>
  <c r="AN31" i="1" l="1"/>
  <c r="AJ31" i="1"/>
  <c r="X31" i="1"/>
  <c r="AD31" i="1" s="1"/>
  <c r="N29" i="1" l="1"/>
  <c r="AN30" i="1" l="1"/>
  <c r="AJ30" i="1"/>
  <c r="X30" i="1"/>
  <c r="AD30" i="1" s="1"/>
  <c r="AJ29" i="1"/>
  <c r="AN29" i="1"/>
  <c r="X29" i="1"/>
  <c r="AD29" i="1" s="1"/>
  <c r="AN28" i="1" l="1"/>
  <c r="AJ28" i="1"/>
  <c r="X28" i="1"/>
  <c r="AD28" i="1" s="1"/>
  <c r="AN27" i="1" l="1"/>
  <c r="X27" i="1"/>
  <c r="AD27" i="1" s="1"/>
  <c r="N25" i="1"/>
  <c r="AN26" i="1"/>
  <c r="X26" i="1"/>
  <c r="AD26" i="1" s="1"/>
  <c r="N24" i="1" l="1"/>
  <c r="N23" i="1"/>
  <c r="N22" i="1"/>
  <c r="N21" i="1"/>
  <c r="N20" i="1"/>
  <c r="N17" i="1"/>
  <c r="N13" i="1"/>
  <c r="N12" i="1"/>
  <c r="N10" i="1"/>
  <c r="AN24" i="1" l="1"/>
  <c r="AL24" i="1"/>
  <c r="AT24" i="1" l="1"/>
  <c r="X25" i="1"/>
  <c r="AD25" i="1" s="1"/>
  <c r="AN25" i="1"/>
  <c r="AL25" i="1"/>
  <c r="AL26" i="1" s="1"/>
  <c r="AJ27" i="1" s="1"/>
  <c r="AT25" i="1" l="1"/>
  <c r="AV24" i="1"/>
  <c r="X24" i="1"/>
  <c r="AD24" i="1" s="1"/>
  <c r="D23" i="1"/>
  <c r="X23" i="1"/>
  <c r="AD23" i="1" s="1"/>
  <c r="AV25" i="1" l="1"/>
  <c r="AT26" i="1"/>
  <c r="AV26" i="1" l="1"/>
  <c r="AT27" i="1"/>
  <c r="X22" i="1"/>
  <c r="AD22" i="1" s="1"/>
  <c r="AV27" i="1" l="1"/>
  <c r="AT28" i="1"/>
  <c r="AV28" i="1" l="1"/>
  <c r="AT29" i="1"/>
  <c r="X21" i="1"/>
  <c r="AD21" i="1" s="1"/>
  <c r="AV29" i="1" l="1"/>
  <c r="AT30" i="1"/>
  <c r="X20" i="1"/>
  <c r="AD20" i="1" s="1"/>
  <c r="X19" i="1"/>
  <c r="AD19" i="1" s="1"/>
  <c r="X18" i="1"/>
  <c r="AD18" i="1" s="1"/>
  <c r="AV30" i="1" l="1"/>
  <c r="AT31" i="1"/>
  <c r="X17" i="1"/>
  <c r="AV31" i="1" l="1"/>
  <c r="AT32" i="1"/>
  <c r="AD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X16" i="1"/>
  <c r="AD16" i="1" s="1"/>
  <c r="X15" i="1"/>
  <c r="AD15" i="1" s="1"/>
  <c r="X14" i="1"/>
  <c r="AD14" i="1" s="1"/>
  <c r="X13" i="1"/>
  <c r="AD13" i="1" s="1"/>
  <c r="X12" i="1"/>
  <c r="AD12" i="1" s="1"/>
  <c r="X11" i="1"/>
  <c r="R9" i="1"/>
  <c r="R10" i="1" s="1"/>
  <c r="H9" i="1"/>
  <c r="AV32" i="1" l="1"/>
  <c r="AT33" i="1"/>
  <c r="H10" i="1"/>
  <c r="J11" i="1" s="1"/>
  <c r="J10" i="1"/>
  <c r="R11" i="1"/>
  <c r="AV33" i="1" l="1"/>
  <c r="AT34" i="1"/>
  <c r="H11" i="1"/>
  <c r="T11" i="1" s="1"/>
  <c r="T10" i="1"/>
  <c r="R12" i="1"/>
  <c r="J12" i="1" l="1"/>
  <c r="H12" i="1"/>
  <c r="AH12" i="1" s="1"/>
  <c r="AV34" i="1"/>
  <c r="AT35" i="1"/>
  <c r="T12" i="1"/>
  <c r="R13" i="1"/>
  <c r="J13" i="1" l="1"/>
  <c r="H13" i="1"/>
  <c r="AH13" i="1" s="1"/>
  <c r="AV35" i="1"/>
  <c r="AT36" i="1"/>
  <c r="J14" i="1"/>
  <c r="R14" i="1"/>
  <c r="H14" i="1" l="1"/>
  <c r="AH14" i="1" s="1"/>
  <c r="T13" i="1"/>
  <c r="AV36" i="1"/>
  <c r="AT37" i="1"/>
  <c r="R15" i="1"/>
  <c r="H15" i="1"/>
  <c r="J15" i="1"/>
  <c r="T14" i="1" l="1"/>
  <c r="AV37" i="1"/>
  <c r="AT38" i="1"/>
  <c r="AH15" i="1"/>
  <c r="T15" i="1"/>
  <c r="H16" i="1"/>
  <c r="F14" i="7" s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R16" i="1"/>
  <c r="P14" i="7" l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AV38" i="1"/>
  <c r="AT39" i="1"/>
  <c r="AH16" i="1"/>
  <c r="T16" i="1"/>
  <c r="R17" i="1"/>
  <c r="H17" i="1"/>
  <c r="J17" i="1"/>
  <c r="AV39" i="1" l="1"/>
  <c r="AT40" i="1"/>
  <c r="J18" i="1"/>
  <c r="H18" i="1"/>
  <c r="R18" i="1"/>
  <c r="T17" i="1"/>
  <c r="AH17" i="1"/>
  <c r="AV40" i="1" l="1"/>
  <c r="AT41" i="1"/>
  <c r="R19" i="1"/>
  <c r="T18" i="1"/>
  <c r="AH18" i="1"/>
  <c r="J19" i="1"/>
  <c r="H19" i="1"/>
  <c r="R20" i="1" l="1"/>
  <c r="R21" i="1" s="1"/>
  <c r="AV41" i="1"/>
  <c r="AT42" i="1"/>
  <c r="H20" i="1"/>
  <c r="J20" i="1"/>
  <c r="AH19" i="1"/>
  <c r="T19" i="1"/>
  <c r="AV42" i="1" l="1"/>
  <c r="AT43" i="1"/>
  <c r="T20" i="1"/>
  <c r="R22" i="1"/>
  <c r="AH20" i="1"/>
  <c r="J21" i="1"/>
  <c r="H21" i="1"/>
  <c r="T21" i="1" l="1"/>
  <c r="AV43" i="1"/>
  <c r="AT44" i="1"/>
  <c r="R23" i="1"/>
  <c r="J22" i="1"/>
  <c r="H22" i="1"/>
  <c r="AH21" i="1"/>
  <c r="T22" i="1" l="1"/>
  <c r="R24" i="1"/>
  <c r="R25" i="1" s="1"/>
  <c r="AV44" i="1"/>
  <c r="AT45" i="1"/>
  <c r="AH22" i="1"/>
  <c r="J23" i="1"/>
  <c r="H23" i="1"/>
  <c r="R26" i="1" l="1"/>
  <c r="R27" i="1" s="1"/>
  <c r="H24" i="1"/>
  <c r="AV45" i="1"/>
  <c r="AT46" i="1"/>
  <c r="J24" i="1"/>
  <c r="T23" i="1"/>
  <c r="AH23" i="1"/>
  <c r="R28" i="1" l="1"/>
  <c r="AV46" i="1"/>
  <c r="AT47" i="1"/>
  <c r="AH24" i="1"/>
  <c r="J25" i="1"/>
  <c r="H25" i="1"/>
  <c r="T24" i="1"/>
  <c r="R29" i="1" l="1"/>
  <c r="AV47" i="1"/>
  <c r="AT48" i="1"/>
  <c r="H26" i="1"/>
  <c r="J26" i="1"/>
  <c r="AH25" i="1"/>
  <c r="T25" i="1"/>
  <c r="R30" i="1" l="1"/>
  <c r="AV48" i="1"/>
  <c r="AT49" i="1"/>
  <c r="H27" i="1"/>
  <c r="J27" i="1"/>
  <c r="AH26" i="1"/>
  <c r="T26" i="1"/>
  <c r="R31" i="1" l="1"/>
  <c r="AV49" i="1"/>
  <c r="AT50" i="1"/>
  <c r="J28" i="1"/>
  <c r="H28" i="1"/>
  <c r="AH27" i="1"/>
  <c r="T27" i="1"/>
  <c r="AV50" i="1" l="1"/>
  <c r="AT51" i="1"/>
  <c r="R32" i="1"/>
  <c r="H29" i="1"/>
  <c r="J29" i="1"/>
  <c r="AH28" i="1"/>
  <c r="T28" i="1"/>
  <c r="AV51" i="1" l="1"/>
  <c r="AT52" i="1"/>
  <c r="R33" i="1"/>
  <c r="H30" i="1"/>
  <c r="J30" i="1"/>
  <c r="AH29" i="1"/>
  <c r="T29" i="1"/>
  <c r="AV52" i="1" l="1"/>
  <c r="AT53" i="1"/>
  <c r="R34" i="1"/>
  <c r="H31" i="1"/>
  <c r="J32" i="1" s="1"/>
  <c r="J31" i="1"/>
  <c r="AH30" i="1"/>
  <c r="T30" i="1"/>
  <c r="AV53" i="1" l="1"/>
  <c r="AT54" i="1"/>
  <c r="AV54" i="1" s="1"/>
  <c r="H32" i="1"/>
  <c r="J33" i="1" s="1"/>
  <c r="T31" i="1"/>
  <c r="AH31" i="1"/>
  <c r="R35" i="1"/>
  <c r="AH32" i="1"/>
  <c r="H33" i="1"/>
  <c r="T32" i="1" l="1"/>
  <c r="R36" i="1"/>
  <c r="J34" i="1"/>
  <c r="H34" i="1"/>
  <c r="AH33" i="1"/>
  <c r="T33" i="1"/>
  <c r="R37" i="1" l="1"/>
  <c r="H35" i="1"/>
  <c r="AH34" i="1"/>
  <c r="J35" i="1"/>
  <c r="T34" i="1"/>
  <c r="R38" i="1" l="1"/>
  <c r="J36" i="1"/>
  <c r="H36" i="1"/>
  <c r="AH35" i="1"/>
  <c r="T35" i="1"/>
  <c r="R39" i="1" l="1"/>
  <c r="AH36" i="1"/>
  <c r="H37" i="1"/>
  <c r="J37" i="1"/>
  <c r="T36" i="1"/>
  <c r="R40" i="1" l="1"/>
  <c r="J38" i="1"/>
  <c r="H38" i="1"/>
  <c r="AH37" i="1"/>
  <c r="T37" i="1"/>
  <c r="R41" i="1" l="1"/>
  <c r="AH38" i="1"/>
  <c r="J39" i="1"/>
  <c r="H39" i="1"/>
  <c r="T38" i="1"/>
  <c r="H40" i="1" l="1"/>
  <c r="R42" i="1"/>
  <c r="J40" i="1"/>
  <c r="AH39" i="1"/>
  <c r="T39" i="1"/>
  <c r="R43" i="1" l="1"/>
  <c r="J41" i="1"/>
  <c r="H41" i="1"/>
  <c r="AH40" i="1"/>
  <c r="T40" i="1"/>
  <c r="R44" i="1" l="1"/>
  <c r="J42" i="1"/>
  <c r="H42" i="1"/>
  <c r="AH41" i="1"/>
  <c r="T41" i="1"/>
  <c r="R45" i="1" l="1"/>
  <c r="J43" i="1"/>
  <c r="H43" i="1"/>
  <c r="AH42" i="1"/>
  <c r="T42" i="1"/>
  <c r="R46" i="1" l="1"/>
  <c r="J44" i="1"/>
  <c r="H44" i="1"/>
  <c r="AH43" i="1"/>
  <c r="T43" i="1"/>
  <c r="R47" i="1" l="1"/>
  <c r="AH44" i="1"/>
  <c r="J45" i="1"/>
  <c r="T44" i="1"/>
  <c r="H45" i="1"/>
  <c r="H46" i="1" l="1"/>
  <c r="J47" i="1" s="1"/>
  <c r="R48" i="1"/>
  <c r="J46" i="1"/>
  <c r="AH45" i="1"/>
  <c r="T45" i="1"/>
  <c r="H47" i="1" l="1"/>
  <c r="AH47" i="1" s="1"/>
  <c r="R49" i="1"/>
  <c r="AH46" i="1"/>
  <c r="T46" i="1"/>
  <c r="T47" i="1" l="1"/>
  <c r="H48" i="1"/>
  <c r="J49" i="1" s="1"/>
  <c r="J48" i="1"/>
  <c r="R50" i="1"/>
  <c r="AH48" i="1"/>
  <c r="T48" i="1"/>
  <c r="H49" i="1" l="1"/>
  <c r="R51" i="1"/>
  <c r="R52" i="1" s="1"/>
  <c r="R53" i="1" s="1"/>
  <c r="R54" i="1" s="1"/>
  <c r="J50" i="1"/>
  <c r="H50" i="1"/>
  <c r="AH49" i="1"/>
  <c r="T49" i="1"/>
  <c r="R55" i="1" l="1"/>
  <c r="J51" i="1"/>
  <c r="H51" i="1"/>
  <c r="AH50" i="1"/>
  <c r="T50" i="1"/>
  <c r="R56" i="1" l="1"/>
  <c r="H52" i="1"/>
  <c r="J52" i="1"/>
  <c r="T51" i="1"/>
  <c r="AH51" i="1"/>
  <c r="AH52" i="1" l="1"/>
  <c r="H53" i="1"/>
  <c r="J53" i="1"/>
  <c r="T52" i="1"/>
  <c r="I21" i="3" l="1"/>
  <c r="AH21" i="2"/>
  <c r="AH53" i="1"/>
  <c r="H54" i="1"/>
  <c r="J54" i="1"/>
  <c r="T53" i="1"/>
  <c r="H55" i="1" l="1"/>
  <c r="J55" i="1"/>
  <c r="I23" i="3"/>
  <c r="I25" i="3" s="1"/>
  <c r="I27" i="3" s="1"/>
  <c r="I35" i="3"/>
  <c r="AH54" i="1"/>
  <c r="T54" i="1"/>
  <c r="J56" i="1" l="1"/>
  <c r="T14" i="7" s="1"/>
  <c r="H56" i="1"/>
  <c r="AH55" i="1"/>
  <c r="T55" i="1"/>
  <c r="N27" i="3"/>
  <c r="N28" i="3" s="1"/>
  <c r="I34" i="3"/>
  <c r="AH56" i="1" l="1"/>
  <c r="T56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P15" i="7"/>
  <c r="P16" i="7" s="1"/>
  <c r="P17" i="7" s="1"/>
  <c r="P18" i="7" s="1"/>
  <c r="P19" i="7" l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I32" i="3"/>
  <c r="AD21" i="2"/>
  <c r="I28" i="3" l="1"/>
  <c r="L35" i="3"/>
  <c r="L32" i="3"/>
  <c r="I36" i="3"/>
  <c r="L34" i="3"/>
  <c r="Y12" i="3" l="1"/>
  <c r="U13" i="3"/>
  <c r="Y13" i="3" s="1"/>
  <c r="L36" i="3"/>
  <c r="W12" i="3" s="1"/>
</calcChain>
</file>

<file path=xl/sharedStrings.xml><?xml version="1.0" encoding="utf-8"?>
<sst xmlns="http://schemas.openxmlformats.org/spreadsheetml/2006/main" count="195" uniqueCount="120">
  <si>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</si>
  <si>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</si>
  <si>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</si>
  <si>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</si>
  <si>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</si>
  <si>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</si>
  <si>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</si>
  <si>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</si>
  <si>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</si>
  <si>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</si>
  <si>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</si>
  <si>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</si>
  <si>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</si>
  <si>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</si>
  <si>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</si>
  <si>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</si>
  <si>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</si>
  <si>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</si>
  <si>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</si>
  <si>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</si>
  <si>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</si>
  <si>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</si>
  <si>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</si>
  <si>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</si>
  <si>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</si>
  <si>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</si>
  <si>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</si>
  <si>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</si>
  <si>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</si>
  <si>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</si>
  <si>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</si>
  <si>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</si>
  <si>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</si>
  <si>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</si>
  <si>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</si>
  <si>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</si>
  <si>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</si>
  <si>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</si>
  <si>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</si>
  <si>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</si>
  <si>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</si>
  <si>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</si>
  <si>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</si>
  <si>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</si>
  <si>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</si>
  <si>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</si>
  <si>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</si>
  <si>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</si>
  <si>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</si>
  <si>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</si>
  <si>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</si>
  <si>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</si>
  <si>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</si>
  <si>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</si>
  <si>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</si>
  <si>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</si>
  <si>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</si>
  <si>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</si>
  <si>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</si>
  <si>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</si>
  <si>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</si>
  <si>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</si>
  <si>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</si>
  <si>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</si>
  <si>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</si>
  <si>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</si>
  <si>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</si>
  <si>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</si>
  <si>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</si>
  <si>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</si>
  <si>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</si>
  <si>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</si>
  <si>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</si>
  <si>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</si>
  <si>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</si>
  <si>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</si>
  <si>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</si>
  <si>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</si>
  <si>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</si>
  <si>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</si>
  <si>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</si>
  <si>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</si>
  <si>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</si>
  <si>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</si>
  <si>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</si>
  <si>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</si>
  <si>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</si>
  <si>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</si>
  <si>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</si>
  <si>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</si>
  <si>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</si>
  <si>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</si>
  <si>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</si>
  <si>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</si>
  <si>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</si>
  <si>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</si>
  <si>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</si>
  <si>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</si>
  <si>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</si>
  <si>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</si>
  <si>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</si>
  <si>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</si>
  <si>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</si>
  <si>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</si>
  <si>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</si>
  <si>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</si>
  <si>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</si>
  <si>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</si>
  <si>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`</t>
  </si>
  <si>
    <t>MA</t>
  </si>
  <si>
    <t>#</t>
  </si>
  <si>
    <t>% of All</t>
  </si>
  <si>
    <t>Cases / 100,000</t>
  </si>
  <si>
    <t>Ohio Population:</t>
  </si>
  <si>
    <t xml:space="preserve">Percent </t>
  </si>
  <si>
    <t>OHIO Theoretical Recoveries (5/5/20)</t>
  </si>
  <si>
    <t>Data collection, recoding and reporting challenges.</t>
  </si>
  <si>
    <t>The lack of being able to measure "self-diagnosed" cases.</t>
  </si>
  <si>
    <t>Less: Theoretical Recoveries</t>
  </si>
  <si>
    <t>Open Net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</si>
</sst>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2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6" borderId="3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0" fillId="7" borderId="11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5" fontId="0" fillId="7" borderId="11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164" fontId="0" fillId="7" borderId="9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6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5" fillId="7" borderId="4" xfId="0" applyFont="1" applyFill="1" applyBorder="1" applyAlignment="1">
      <alignment horizontal="center"/>
    </xf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2" fillId="16" borderId="2" xfId="0" applyFont="1" applyFill="1" applyBorder="1" applyAlignment="1"/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9" fontId="7" fillId="10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right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49" fontId="5" fillId="2" borderId="0" xfId="1" applyNumberFormat="1" applyFont="1" applyFill="1" applyAlignment="1">
      <alignment horizontal="right"/>
    </xf>
    <xf numFmtId="49" fontId="5" fillId="10" borderId="0" xfId="1" applyNumberFormat="1" applyFont="1" applyFill="1" applyAlignment="1">
      <alignment horizontal="right"/>
    </xf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5" fontId="0" fillId="9" borderId="2" xfId="2" applyNumberFormat="1" applyFont="1" applyFill="1" applyBorder="1"/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171" fontId="0" fillId="9" borderId="3" xfId="0" applyNumberFormat="1" applyFill="1" applyBorder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171" fontId="0" fillId="16" borderId="3" xfId="0" applyNumberFormat="1" applyFill="1" applyBorder="1"/>
    <xf numFmtId="0" fontId="0" fillId="16" borderId="2" xfId="0" applyFill="1" applyBorder="1"/>
    <xf numFmtId="164" fontId="0" fillId="16" borderId="2" xfId="1" applyNumberFormat="1" applyFont="1" applyFill="1" applyBorder="1"/>
    <xf numFmtId="165" fontId="0" fillId="16" borderId="2" xfId="2" applyNumberFormat="1" applyFont="1" applyFill="1" applyBorder="1"/>
    <xf numFmtId="164" fontId="0" fillId="16" borderId="2" xfId="1" applyNumberFormat="1" applyFont="1" applyFill="1" applyBorder="1" applyAlignment="1">
      <alignment vertical="top"/>
    </xf>
    <xf numFmtId="0" fontId="0" fillId="16" borderId="4" xfId="0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2" xfId="0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9" borderId="31" xfId="1" applyNumberFormat="1" applyFont="1" applyFill="1" applyBorder="1"/>
    <xf numFmtId="165" fontId="0" fillId="9" borderId="30" xfId="2" applyNumberFormat="1" applyFont="1" applyFill="1" applyBorder="1"/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171" fontId="0" fillId="5" borderId="0" xfId="0" applyNumberFormat="1" applyFill="1"/>
    <xf numFmtId="0" fontId="0" fillId="5" borderId="0" xfId="0" applyFill="1"/>
    <xf numFmtId="164" fontId="0" fillId="5" borderId="0" xfId="1" applyNumberFormat="1" applyFont="1" applyFill="1"/>
    <xf numFmtId="165" fontId="0" fillId="5" borderId="0" xfId="2" applyNumberFormat="1" applyFont="1" applyFill="1"/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5" fillId="20" borderId="0" xfId="1" applyNumberFormat="1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5" fillId="20" borderId="1" xfId="1" applyNumberFormat="1" applyFont="1" applyFill="1" applyBorder="1"/>
    <xf numFmtId="165" fontId="5" fillId="20" borderId="0" xfId="2" applyNumberFormat="1" applyFont="1" applyFill="1" applyBorder="1"/>
    <xf numFmtId="164" fontId="7" fillId="20" borderId="0" xfId="1" applyNumberFormat="1" applyFont="1" applyFill="1" applyBorder="1" applyAlignment="1">
      <alignment horizontal="center"/>
    </xf>
    <xf numFmtId="164" fontId="12" fillId="20" borderId="0" xfId="1" applyNumberFormat="1" applyFont="1" applyFill="1" applyBorder="1"/>
    <xf numFmtId="164" fontId="12" fillId="20" borderId="19" xfId="1" applyNumberFormat="1" applyFont="1" applyFill="1" applyBorder="1"/>
    <xf numFmtId="164" fontId="10" fillId="20" borderId="19" xfId="0" applyNumberFormat="1" applyFont="1" applyFill="1" applyBorder="1"/>
    <xf numFmtId="165" fontId="10" fillId="20" borderId="19" xfId="2" applyNumberFormat="1" applyFont="1" applyFill="1" applyBorder="1"/>
    <xf numFmtId="165" fontId="10" fillId="20" borderId="26" xfId="2" applyNumberFormat="1" applyFont="1" applyFill="1" applyBorder="1"/>
    <xf numFmtId="165" fontId="10" fillId="20" borderId="0" xfId="2" applyNumberFormat="1" applyFont="1" applyFill="1" applyBorder="1"/>
    <xf numFmtId="164" fontId="11" fillId="20" borderId="0" xfId="1" applyNumberFormat="1" applyFont="1" applyFill="1" applyBorder="1"/>
    <xf numFmtId="0" fontId="0" fillId="20" borderId="34" xfId="0" applyFill="1" applyBorder="1"/>
    <xf numFmtId="0" fontId="0" fillId="20" borderId="35" xfId="0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0" fillId="20" borderId="41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5" xfId="1" applyNumberFormat="1" applyFont="1" applyFill="1" applyBorder="1" applyAlignment="1"/>
    <xf numFmtId="0" fontId="0" fillId="20" borderId="46" xfId="0" applyFill="1" applyBorder="1"/>
    <xf numFmtId="164" fontId="0" fillId="20" borderId="37" xfId="1" applyNumberFormat="1" applyFont="1" applyFill="1" applyBorder="1"/>
    <xf numFmtId="164" fontId="0" fillId="20" borderId="39" xfId="1" applyNumberFormat="1" applyFont="1" applyFill="1" applyBorder="1"/>
    <xf numFmtId="164" fontId="0" fillId="20" borderId="40" xfId="1" applyNumberFormat="1" applyFont="1" applyFill="1" applyBorder="1" applyAlignment="1">
      <alignment horizontal="center"/>
    </xf>
    <xf numFmtId="164" fontId="2" fillId="20" borderId="40" xfId="1" applyNumberFormat="1" applyFont="1" applyFill="1" applyBorder="1"/>
    <xf numFmtId="164" fontId="0" fillId="20" borderId="40" xfId="1" applyNumberFormat="1" applyFon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7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2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3" fillId="20" borderId="44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9966FF"/>
      <color rgb="FFC1C1FF"/>
      <color rgb="FFE5B0FA"/>
      <color rgb="FFD581F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259080</xdr:colOff>
      <xdr:row>4</xdr:row>
      <xdr:rowOff>60960</xdr:rowOff>
    </xdr:from>
    <xdr:to>
      <xdr:col>69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274320</xdr:colOff>
      <xdr:row>5</xdr:row>
      <xdr:rowOff>76200</xdr:rowOff>
    </xdr:from>
    <xdr:to>
      <xdr:col>69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289560</xdr:colOff>
      <xdr:row>7</xdr:row>
      <xdr:rowOff>45720</xdr:rowOff>
    </xdr:from>
    <xdr:to>
      <xdr:col>69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31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19</xdr:row>
      <xdr:rowOff>0</xdr:rowOff>
    </xdr:from>
    <xdr:to>
      <xdr:col>31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281940</xdr:colOff>
      <xdr:row>5</xdr:row>
      <xdr:rowOff>45720</xdr:rowOff>
    </xdr:from>
    <xdr:to>
      <xdr:col>70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31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274320</xdr:colOff>
      <xdr:row>4</xdr:row>
      <xdr:rowOff>22860</xdr:rowOff>
    </xdr:from>
    <xdr:to>
      <xdr:col>70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25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23</xdr:row>
      <xdr:rowOff>0</xdr:rowOff>
    </xdr:from>
    <xdr:to>
      <xdr:col>31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25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12</xdr:row>
      <xdr:rowOff>0</xdr:rowOff>
    </xdr:from>
    <xdr:to>
      <xdr:col>31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26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11</xdr:row>
      <xdr:rowOff>0</xdr:rowOff>
    </xdr:from>
    <xdr:to>
      <xdr:col>32</xdr:col>
      <xdr:colOff>7620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24</xdr:row>
      <xdr:rowOff>38100</xdr:rowOff>
    </xdr:from>
    <xdr:to>
      <xdr:col>31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24</xdr:row>
      <xdr:rowOff>30480</xdr:rowOff>
    </xdr:from>
    <xdr:to>
      <xdr:col>25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25</xdr:row>
      <xdr:rowOff>38100</xdr:rowOff>
    </xdr:from>
    <xdr:to>
      <xdr:col>31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25</xdr:row>
      <xdr:rowOff>30480</xdr:rowOff>
    </xdr:from>
    <xdr:to>
      <xdr:col>25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25</xdr:row>
      <xdr:rowOff>30480</xdr:rowOff>
    </xdr:from>
    <xdr:to>
      <xdr:col>15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26</xdr:row>
      <xdr:rowOff>38100</xdr:rowOff>
    </xdr:from>
    <xdr:to>
      <xdr:col>31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26</xdr:row>
      <xdr:rowOff>53340</xdr:rowOff>
    </xdr:from>
    <xdr:to>
      <xdr:col>25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49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25</xdr:row>
      <xdr:rowOff>0</xdr:rowOff>
    </xdr:from>
    <xdr:to>
      <xdr:col>49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26</xdr:row>
      <xdr:rowOff>0</xdr:rowOff>
    </xdr:from>
    <xdr:to>
      <xdr:col>49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27</xdr:row>
      <xdr:rowOff>38100</xdr:rowOff>
    </xdr:from>
    <xdr:to>
      <xdr:col>31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27</xdr:row>
      <xdr:rowOff>0</xdr:rowOff>
    </xdr:from>
    <xdr:to>
      <xdr:col>49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28</xdr:row>
      <xdr:rowOff>60960</xdr:rowOff>
    </xdr:from>
    <xdr:to>
      <xdr:col>31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7620</xdr:colOff>
      <xdr:row>29</xdr:row>
      <xdr:rowOff>53340</xdr:rowOff>
    </xdr:from>
    <xdr:to>
      <xdr:col>31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60960</xdr:colOff>
      <xdr:row>30</xdr:row>
      <xdr:rowOff>30480</xdr:rowOff>
    </xdr:from>
    <xdr:to>
      <xdr:col>25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30</xdr:row>
      <xdr:rowOff>53340</xdr:rowOff>
    </xdr:from>
    <xdr:to>
      <xdr:col>31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49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35</xdr:row>
      <xdr:rowOff>0</xdr:rowOff>
    </xdr:from>
    <xdr:to>
      <xdr:col>31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25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37</xdr:row>
      <xdr:rowOff>0</xdr:rowOff>
    </xdr:from>
    <xdr:to>
      <xdr:col>49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49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9090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31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25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41</xdr:row>
      <xdr:rowOff>0</xdr:rowOff>
    </xdr:from>
    <xdr:to>
      <xdr:col>31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49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49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44</xdr:row>
      <xdr:rowOff>0</xdr:rowOff>
    </xdr:from>
    <xdr:to>
      <xdr:col>31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45</xdr:row>
      <xdr:rowOff>0</xdr:rowOff>
    </xdr:from>
    <xdr:to>
      <xdr:col>49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49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46</xdr:row>
      <xdr:rowOff>0</xdr:rowOff>
    </xdr:from>
    <xdr:to>
      <xdr:col>31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47</xdr:row>
      <xdr:rowOff>0</xdr:rowOff>
    </xdr:from>
    <xdr:to>
      <xdr:col>49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15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48</xdr:row>
      <xdr:rowOff>0</xdr:rowOff>
    </xdr:from>
    <xdr:to>
      <xdr:col>15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25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48</xdr:row>
      <xdr:rowOff>0</xdr:rowOff>
    </xdr:from>
    <xdr:to>
      <xdr:col>49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49</xdr:row>
      <xdr:rowOff>0</xdr:rowOff>
    </xdr:from>
    <xdr:to>
      <xdr:col>43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49</xdr:row>
      <xdr:rowOff>0</xdr:rowOff>
    </xdr:from>
    <xdr:to>
      <xdr:col>49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49</xdr:row>
      <xdr:rowOff>0</xdr:rowOff>
    </xdr:from>
    <xdr:to>
      <xdr:col>31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50</xdr:row>
      <xdr:rowOff>0</xdr:rowOff>
    </xdr:from>
    <xdr:to>
      <xdr:col>31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50</xdr:row>
      <xdr:rowOff>0</xdr:rowOff>
    </xdr:from>
    <xdr:to>
      <xdr:col>49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50</xdr:row>
      <xdr:rowOff>0</xdr:rowOff>
    </xdr:from>
    <xdr:to>
      <xdr:col>43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48</xdr:row>
      <xdr:rowOff>0</xdr:rowOff>
    </xdr:from>
    <xdr:to>
      <xdr:col>43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25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51</xdr:row>
      <xdr:rowOff>0</xdr:rowOff>
    </xdr:from>
    <xdr:to>
      <xdr:col>15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51</xdr:row>
      <xdr:rowOff>0</xdr:rowOff>
    </xdr:from>
    <xdr:to>
      <xdr:col>31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25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51</xdr:row>
      <xdr:rowOff>0</xdr:rowOff>
    </xdr:from>
    <xdr:to>
      <xdr:col>43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51</xdr:row>
      <xdr:rowOff>0</xdr:rowOff>
    </xdr:from>
    <xdr:to>
      <xdr:col>49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52</xdr:row>
      <xdr:rowOff>0</xdr:rowOff>
    </xdr:from>
    <xdr:to>
      <xdr:col>31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25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52</xdr:row>
      <xdr:rowOff>0</xdr:rowOff>
    </xdr:from>
    <xdr:to>
      <xdr:col>43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52</xdr:row>
      <xdr:rowOff>0</xdr:rowOff>
    </xdr:from>
    <xdr:to>
      <xdr:col>49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52</xdr:row>
      <xdr:rowOff>0</xdr:rowOff>
    </xdr:from>
    <xdr:to>
      <xdr:col>15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31</xdr:col>
      <xdr:colOff>0</xdr:colOff>
      <xdr:row>53</xdr:row>
      <xdr:rowOff>0</xdr:rowOff>
    </xdr:from>
    <xdr:to>
      <xdr:col>31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53</xdr:row>
      <xdr:rowOff>0</xdr:rowOff>
    </xdr:from>
    <xdr:to>
      <xdr:col>15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53</xdr:row>
      <xdr:rowOff>0</xdr:rowOff>
    </xdr:from>
    <xdr:to>
      <xdr:col>49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53</xdr:row>
      <xdr:rowOff>0</xdr:rowOff>
    </xdr:from>
    <xdr:to>
      <xdr:col>43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53</xdr:row>
      <xdr:rowOff>0</xdr:rowOff>
    </xdr:from>
    <xdr:to>
      <xdr:col>25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54</xdr:row>
      <xdr:rowOff>0</xdr:rowOff>
    </xdr:from>
    <xdr:to>
      <xdr:col>31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54</xdr:row>
      <xdr:rowOff>0</xdr:rowOff>
    </xdr:from>
    <xdr:to>
      <xdr:col>49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54</xdr:row>
      <xdr:rowOff>0</xdr:rowOff>
    </xdr:from>
    <xdr:to>
      <xdr:col>43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54</xdr:row>
      <xdr:rowOff>0</xdr:rowOff>
    </xdr:from>
    <xdr:to>
      <xdr:col>15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55</xdr:row>
      <xdr:rowOff>0</xdr:rowOff>
    </xdr:from>
    <xdr:to>
      <xdr:col>31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55</xdr:row>
      <xdr:rowOff>0</xdr:rowOff>
    </xdr:from>
    <xdr:to>
      <xdr:col>49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55</xdr:row>
      <xdr:rowOff>0</xdr:rowOff>
    </xdr:from>
    <xdr:to>
      <xdr:col>25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55</xdr:row>
      <xdr:rowOff>0</xdr:rowOff>
    </xdr:from>
    <xdr:to>
      <xdr:col>15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55</xdr:row>
      <xdr:rowOff>0</xdr:rowOff>
    </xdr:from>
    <xdr:to>
      <xdr:col>43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56</xdr:row>
      <xdr:rowOff>0</xdr:rowOff>
    </xdr:from>
    <xdr:to>
      <xdr:col>31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15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56</xdr:row>
      <xdr:rowOff>0</xdr:rowOff>
    </xdr:from>
    <xdr:to>
      <xdr:col>25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56</xdr:row>
      <xdr:rowOff>0</xdr:rowOff>
    </xdr:from>
    <xdr:to>
      <xdr:col>43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57</xdr:row>
      <xdr:rowOff>0</xdr:rowOff>
    </xdr:from>
    <xdr:to>
      <xdr:col>31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57</xdr:row>
      <xdr:rowOff>0</xdr:rowOff>
    </xdr:from>
    <xdr:to>
      <xdr:col>25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57</xdr:row>
      <xdr:rowOff>0</xdr:rowOff>
    </xdr:from>
    <xdr:to>
      <xdr:col>43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57</xdr:row>
      <xdr:rowOff>0</xdr:rowOff>
    </xdr:from>
    <xdr:to>
      <xdr:col>49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57</xdr:row>
      <xdr:rowOff>0</xdr:rowOff>
    </xdr:from>
    <xdr:to>
      <xdr:col>15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P139"/>
  <sheetViews>
    <sheetView tabSelected="1" zoomScaleNormal="100" workbookViewId="0">
      <selection activeCell="AL60" sqref="AL60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2.5546875" customWidth="1"/>
    <col min="6" max="6" width="2.21875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3" customWidth="1"/>
    <col min="14" max="14" width="8.88671875" customWidth="1"/>
    <col min="15" max="15" width="1.77734375" customWidth="1"/>
    <col min="16" max="16" width="2.5546875" customWidth="1"/>
    <col min="17" max="17" width="1.6640625" customWidth="1"/>
    <col min="18" max="18" width="8" customWidth="1"/>
    <col min="19" max="19" width="2.33203125" customWidth="1"/>
    <col min="20" max="20" width="5.6640625" customWidth="1"/>
    <col min="21" max="21" width="1" customWidth="1"/>
    <col min="22" max="22" width="3.33203125" customWidth="1"/>
    <col min="23" max="23" width="3.5546875" customWidth="1"/>
    <col min="24" max="24" width="8.21875" customWidth="1"/>
    <col min="25" max="25" width="1" customWidth="1"/>
    <col min="26" max="26" width="1.44140625" customWidth="1"/>
    <col min="27" max="27" width="1.21875" customWidth="1"/>
    <col min="28" max="28" width="9.44140625" customWidth="1"/>
    <col min="29" max="29" width="1.33203125" customWidth="1"/>
    <col min="30" max="30" width="7" customWidth="1"/>
    <col min="31" max="31" width="1.5546875" customWidth="1"/>
    <col min="32" max="32" width="2.21875" customWidth="1"/>
    <col min="33" max="33" width="1.33203125" customWidth="1"/>
    <col min="34" max="34" width="7.44140625" customWidth="1"/>
    <col min="35" max="35" width="4" customWidth="1"/>
    <col min="36" max="36" width="10.6640625" customWidth="1"/>
    <col min="37" max="37" width="1.109375" customWidth="1"/>
    <col min="38" max="38" width="10.109375" customWidth="1"/>
    <col min="39" max="39" width="0.6640625" customWidth="1"/>
    <col min="40" max="40" width="7.5546875" customWidth="1"/>
    <col min="41" max="41" width="1.109375" customWidth="1"/>
    <col min="42" max="42" width="6.6640625" customWidth="1"/>
    <col min="43" max="43" width="1.109375" customWidth="1"/>
    <col min="44" max="44" width="2.88671875" customWidth="1"/>
    <col min="45" max="45" width="0.88671875" customWidth="1"/>
    <col min="46" max="46" width="10.44140625" customWidth="1"/>
    <col min="47" max="47" width="1.44140625" customWidth="1"/>
    <col min="48" max="48" width="6.88671875" customWidth="1"/>
    <col min="49" max="49" width="1.109375" customWidth="1"/>
    <col min="50" max="50" width="3.44140625" customWidth="1"/>
    <col min="51" max="51" width="0.77734375" customWidth="1"/>
    <col min="52" max="52" width="1.88671875" customWidth="1"/>
    <col min="53" max="53" width="6.6640625" customWidth="1"/>
    <col min="54" max="54" width="1.77734375" customWidth="1"/>
    <col min="55" max="55" width="9.6640625" bestFit="1" customWidth="1"/>
    <col min="56" max="56" width="2.109375" customWidth="1"/>
    <col min="57" max="57" width="9.77734375" customWidth="1"/>
    <col min="58" max="58" width="1.33203125" customWidth="1"/>
    <col min="59" max="59" width="9" bestFit="1" customWidth="1"/>
    <col min="60" max="60" width="1.109375" customWidth="1"/>
    <col min="61" max="61" width="3.21875" customWidth="1"/>
    <col min="62" max="62" width="1.44140625" customWidth="1"/>
    <col min="63" max="63" width="7.77734375" customWidth="1"/>
    <col min="64" max="64" width="1" customWidth="1"/>
    <col min="65" max="65" width="7.21875" customWidth="1"/>
    <col min="66" max="66" width="1.44140625" customWidth="1"/>
    <col min="67" max="67" width="4.77734375" customWidth="1"/>
    <col min="68" max="68" width="12.21875" customWidth="1"/>
  </cols>
  <sheetData>
    <row r="1" spans="2:68" ht="15.6" x14ac:dyDescent="0.3">
      <c r="B1" s="401" t="s">
        <v>5</v>
      </c>
      <c r="C1" s="401"/>
      <c r="D1" s="401"/>
    </row>
    <row r="2" spans="2:68" ht="15.6" x14ac:dyDescent="0.3">
      <c r="B2" s="401" t="s">
        <v>6</v>
      </c>
      <c r="C2" s="401"/>
      <c r="D2" s="401"/>
      <c r="E2" s="13"/>
      <c r="F2" s="1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</row>
    <row r="3" spans="2:68" ht="16.2" thickBot="1" x14ac:dyDescent="0.35">
      <c r="B3" s="406" t="s">
        <v>14</v>
      </c>
      <c r="C3" s="406"/>
      <c r="D3" s="210"/>
      <c r="E3" s="210"/>
      <c r="F3" s="210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</row>
    <row r="4" spans="2:68" ht="16.2" thickBot="1" x14ac:dyDescent="0.35">
      <c r="E4" s="13"/>
      <c r="F4" s="13"/>
      <c r="J4" s="402" t="s">
        <v>11</v>
      </c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16"/>
      <c r="V4" s="17"/>
      <c r="X4" s="412" t="s">
        <v>15</v>
      </c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413"/>
      <c r="AP4" s="413"/>
      <c r="AQ4" s="413"/>
      <c r="AR4" s="413"/>
      <c r="AS4" s="413"/>
      <c r="AT4" s="413"/>
      <c r="AU4" s="413"/>
      <c r="AV4" s="413"/>
      <c r="AW4" s="413"/>
      <c r="AX4" s="413"/>
      <c r="AY4" s="414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83"/>
      <c r="BO4" s="83"/>
    </row>
    <row r="5" spans="2:68" x14ac:dyDescent="0.3"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</row>
    <row r="6" spans="2:68" x14ac:dyDescent="0.3">
      <c r="D6" s="15" t="s">
        <v>7</v>
      </c>
      <c r="E6" s="38"/>
      <c r="F6" s="407" t="s">
        <v>12</v>
      </c>
      <c r="G6" s="407"/>
      <c r="H6" s="407"/>
      <c r="I6" s="407"/>
      <c r="J6" s="407"/>
      <c r="K6" s="407"/>
      <c r="L6" s="408"/>
      <c r="M6" s="3"/>
      <c r="N6" s="12" t="s">
        <v>7</v>
      </c>
      <c r="O6" s="39"/>
      <c r="P6" s="409">
        <v>1.2500000000000001E-2</v>
      </c>
      <c r="Q6" s="409"/>
      <c r="R6" s="409"/>
      <c r="S6" s="409"/>
      <c r="T6" s="409"/>
      <c r="U6" s="409"/>
      <c r="V6" s="410"/>
      <c r="W6" s="3"/>
      <c r="X6" s="10" t="s">
        <v>7</v>
      </c>
      <c r="Y6" s="40"/>
      <c r="Z6" s="40"/>
      <c r="AA6" s="11"/>
      <c r="AB6" s="415" t="s">
        <v>28</v>
      </c>
      <c r="AC6" s="415"/>
      <c r="AD6" s="415"/>
      <c r="AE6" s="415"/>
      <c r="AF6" s="415"/>
      <c r="AG6" s="415"/>
      <c r="AH6" s="416"/>
      <c r="AI6" s="3"/>
      <c r="AJ6" s="121" t="s">
        <v>7</v>
      </c>
      <c r="AK6" s="122"/>
      <c r="AL6" s="122"/>
      <c r="AM6" s="122"/>
      <c r="AN6" s="417" t="s">
        <v>27</v>
      </c>
      <c r="AO6" s="417"/>
      <c r="AP6" s="417"/>
      <c r="AQ6" s="417"/>
      <c r="AR6" s="417"/>
      <c r="AS6" s="417"/>
      <c r="AT6" s="417"/>
      <c r="AU6" s="418"/>
      <c r="AV6" s="418"/>
      <c r="AW6" s="418"/>
      <c r="AX6" s="418"/>
      <c r="AY6" s="419"/>
      <c r="AZ6" s="3"/>
    </row>
    <row r="7" spans="2:68" ht="16.2" x14ac:dyDescent="0.3">
      <c r="D7" s="404" t="s">
        <v>21</v>
      </c>
      <c r="E7" s="405"/>
      <c r="F7" s="405"/>
      <c r="G7" s="405"/>
      <c r="H7" s="405"/>
      <c r="I7" s="405"/>
      <c r="J7" s="405"/>
      <c r="K7" s="66"/>
      <c r="L7" s="67"/>
      <c r="M7" s="3"/>
      <c r="N7" s="132"/>
      <c r="O7" s="411" t="s">
        <v>36</v>
      </c>
      <c r="P7" s="411"/>
      <c r="Q7" s="411"/>
      <c r="R7" s="411"/>
      <c r="S7" s="411"/>
      <c r="T7" s="129"/>
      <c r="U7" s="130"/>
      <c r="V7" s="131"/>
      <c r="W7" s="3"/>
      <c r="X7" s="420" t="s">
        <v>79</v>
      </c>
      <c r="Y7" s="421"/>
      <c r="Z7" s="421"/>
      <c r="AA7" s="421"/>
      <c r="AB7" s="421"/>
      <c r="AC7" s="421"/>
      <c r="AD7" s="421"/>
      <c r="AE7" s="421"/>
      <c r="AF7" s="421"/>
      <c r="AG7" s="421"/>
      <c r="AH7" s="422"/>
      <c r="AJ7" s="404" t="s">
        <v>26</v>
      </c>
      <c r="AK7" s="405"/>
      <c r="AL7" s="405"/>
      <c r="AM7" s="405"/>
      <c r="AN7" s="405"/>
      <c r="AO7" s="405"/>
      <c r="AP7" s="405"/>
      <c r="AQ7" s="405"/>
      <c r="AR7" s="405"/>
      <c r="AS7" s="405"/>
      <c r="AT7" s="405"/>
      <c r="AU7" s="405"/>
      <c r="AV7" s="405"/>
      <c r="AW7" s="405"/>
      <c r="AX7" s="405"/>
      <c r="AY7" s="423"/>
      <c r="BA7" s="219" t="s">
        <v>19</v>
      </c>
    </row>
    <row r="8" spans="2:68" x14ac:dyDescent="0.3">
      <c r="D8" s="73" t="s">
        <v>1</v>
      </c>
      <c r="E8" s="18"/>
      <c r="F8" s="74" t="s">
        <v>16</v>
      </c>
      <c r="G8" s="18"/>
      <c r="H8" s="95" t="s">
        <v>2</v>
      </c>
      <c r="I8" s="18"/>
      <c r="J8" s="75" t="s">
        <v>3</v>
      </c>
      <c r="K8" s="18"/>
      <c r="L8" s="76" t="s">
        <v>16</v>
      </c>
      <c r="N8" s="64" t="s">
        <v>1</v>
      </c>
      <c r="O8" s="42"/>
      <c r="P8" s="63" t="s">
        <v>16</v>
      </c>
      <c r="Q8" s="42"/>
      <c r="R8" s="96" t="s">
        <v>2</v>
      </c>
      <c r="S8" s="42"/>
      <c r="T8" s="65" t="s">
        <v>3</v>
      </c>
      <c r="U8" s="58"/>
      <c r="V8" s="68" t="s">
        <v>16</v>
      </c>
      <c r="X8" s="25" t="s">
        <v>1</v>
      </c>
      <c r="Y8" s="8"/>
      <c r="Z8" s="41" t="s">
        <v>16</v>
      </c>
      <c r="AA8" s="8"/>
      <c r="AB8" s="97" t="s">
        <v>2</v>
      </c>
      <c r="AC8" s="8"/>
      <c r="AD8" s="9" t="s">
        <v>3</v>
      </c>
      <c r="AE8" s="8"/>
      <c r="AF8" s="41" t="s">
        <v>16</v>
      </c>
      <c r="AG8" s="8"/>
      <c r="AH8" s="49" t="s">
        <v>17</v>
      </c>
      <c r="AJ8" s="399" t="s">
        <v>1</v>
      </c>
      <c r="AK8" s="400"/>
      <c r="AL8" s="400"/>
      <c r="AM8" s="86"/>
      <c r="AN8" s="400" t="s">
        <v>25</v>
      </c>
      <c r="AO8" s="400"/>
      <c r="AP8" s="400"/>
      <c r="AQ8" s="400"/>
      <c r="AR8" s="400"/>
      <c r="AS8" s="400"/>
      <c r="AT8" s="400"/>
      <c r="AU8" s="86"/>
      <c r="AV8" s="92"/>
      <c r="AW8" s="209"/>
      <c r="AX8" s="85"/>
      <c r="AY8" s="226"/>
    </row>
    <row r="9" spans="2:68" x14ac:dyDescent="0.3">
      <c r="B9" s="2" t="s">
        <v>0</v>
      </c>
      <c r="D9" s="19"/>
      <c r="E9" s="20"/>
      <c r="F9" s="20"/>
      <c r="G9" s="20"/>
      <c r="H9" s="21">
        <f>85435-71593</f>
        <v>13842</v>
      </c>
      <c r="I9" s="20"/>
      <c r="J9" s="50"/>
      <c r="K9" s="20"/>
      <c r="L9" s="53"/>
      <c r="N9" s="43"/>
      <c r="O9" s="44"/>
      <c r="P9" s="44"/>
      <c r="Q9" s="44"/>
      <c r="R9" s="45">
        <f>1295-1092</f>
        <v>203</v>
      </c>
      <c r="S9" s="44"/>
      <c r="T9" s="59"/>
      <c r="U9" s="59"/>
      <c r="V9" s="69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8"/>
      <c r="AJ9" s="208" t="s">
        <v>37</v>
      </c>
      <c r="AK9" s="86"/>
      <c r="AL9" s="123" t="s">
        <v>2</v>
      </c>
      <c r="AM9" s="87"/>
      <c r="AN9" s="209" t="s">
        <v>37</v>
      </c>
      <c r="AO9" s="86"/>
      <c r="AP9" s="85" t="s">
        <v>10</v>
      </c>
      <c r="AQ9" s="196"/>
      <c r="AR9" s="85" t="s">
        <v>16</v>
      </c>
      <c r="AS9" s="86"/>
      <c r="AT9" s="133" t="s">
        <v>2</v>
      </c>
      <c r="AU9" s="87"/>
      <c r="AV9" s="134" t="s">
        <v>23</v>
      </c>
      <c r="AW9" s="86"/>
      <c r="AX9" s="135" t="s">
        <v>16</v>
      </c>
      <c r="AY9" s="227"/>
    </row>
    <row r="10" spans="2:68" x14ac:dyDescent="0.3">
      <c r="B10" s="214">
        <v>43910</v>
      </c>
      <c r="D10" s="22">
        <v>5594</v>
      </c>
      <c r="E10" s="21"/>
      <c r="F10" s="21"/>
      <c r="G10" s="21"/>
      <c r="H10" s="21">
        <f t="shared" ref="H10:H23" si="0">+H9+D10</f>
        <v>19436</v>
      </c>
      <c r="I10" s="21"/>
      <c r="J10" s="51">
        <f t="shared" ref="J10:J51" si="1">+D10/H9</f>
        <v>0.40413235081635601</v>
      </c>
      <c r="K10" s="21"/>
      <c r="L10" s="54"/>
      <c r="M10" s="1"/>
      <c r="N10" s="46">
        <f>49+3</f>
        <v>52</v>
      </c>
      <c r="O10" s="45"/>
      <c r="P10" s="45"/>
      <c r="Q10" s="45"/>
      <c r="R10" s="45">
        <f t="shared" ref="R10:R23" si="2">+R9+N10</f>
        <v>255</v>
      </c>
      <c r="S10" s="45"/>
      <c r="T10" s="60">
        <f t="shared" ref="T10:T51" si="3">+R10/H10</f>
        <v>1.3119983535706935E-2</v>
      </c>
      <c r="U10" s="60"/>
      <c r="V10" s="70"/>
      <c r="W10" s="1"/>
      <c r="X10" s="29"/>
      <c r="Y10" s="30"/>
      <c r="Z10" s="30"/>
      <c r="AA10" s="30"/>
      <c r="AB10" s="30">
        <v>176</v>
      </c>
      <c r="AC10" s="30"/>
      <c r="AD10" s="30"/>
      <c r="AE10" s="30"/>
      <c r="AF10" s="30"/>
      <c r="AG10" s="30"/>
      <c r="AH10" s="28"/>
      <c r="AI10" s="1"/>
      <c r="AJ10" s="88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93"/>
      <c r="AW10" s="89"/>
      <c r="AX10" s="89"/>
      <c r="AY10" s="228"/>
      <c r="AZ10" s="1"/>
      <c r="BA10">
        <v>1</v>
      </c>
    </row>
    <row r="11" spans="2:68" x14ac:dyDescent="0.3">
      <c r="B11" s="214">
        <f t="shared" ref="B11:B63" si="4">1+B10</f>
        <v>43911</v>
      </c>
      <c r="D11" s="22">
        <v>4824</v>
      </c>
      <c r="E11" s="21"/>
      <c r="F11" s="21"/>
      <c r="G11" s="21"/>
      <c r="H11" s="21">
        <f t="shared" si="0"/>
        <v>24260</v>
      </c>
      <c r="I11" s="21"/>
      <c r="J11" s="51">
        <f t="shared" si="1"/>
        <v>0.24819921794607944</v>
      </c>
      <c r="K11" s="82"/>
      <c r="L11" s="55"/>
      <c r="M11" s="1"/>
      <c r="N11" s="46">
        <v>46</v>
      </c>
      <c r="O11" s="45"/>
      <c r="P11" s="45"/>
      <c r="Q11" s="45"/>
      <c r="R11" s="45">
        <f t="shared" si="2"/>
        <v>301</v>
      </c>
      <c r="S11" s="45"/>
      <c r="T11" s="60">
        <f t="shared" si="3"/>
        <v>1.2407254740313274E-2</v>
      </c>
      <c r="U11" s="60"/>
      <c r="V11" s="70"/>
      <c r="W11" s="1"/>
      <c r="X11" s="29">
        <f t="shared" ref="X11:X51" si="5">+AB11-AB10</f>
        <v>0</v>
      </c>
      <c r="Y11" s="30"/>
      <c r="Z11" s="30"/>
      <c r="AA11" s="30"/>
      <c r="AB11" s="30">
        <v>176</v>
      </c>
      <c r="AC11" s="30"/>
      <c r="AD11" s="30"/>
      <c r="AE11" s="30"/>
      <c r="AF11" s="30"/>
      <c r="AG11" s="30"/>
      <c r="AH11" s="28"/>
      <c r="AI11" s="1"/>
      <c r="AJ11" s="88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93"/>
      <c r="AW11" s="89"/>
      <c r="AX11" s="89"/>
      <c r="AY11" s="228"/>
      <c r="AZ11" s="1"/>
      <c r="BA11">
        <f>+BA10+1</f>
        <v>2</v>
      </c>
    </row>
    <row r="12" spans="2:68" x14ac:dyDescent="0.3">
      <c r="B12" s="214">
        <f t="shared" si="4"/>
        <v>43912</v>
      </c>
      <c r="D12" s="22">
        <v>9339</v>
      </c>
      <c r="E12" s="21"/>
      <c r="F12" s="21"/>
      <c r="G12" s="21"/>
      <c r="H12" s="21">
        <f t="shared" si="0"/>
        <v>33599</v>
      </c>
      <c r="I12" s="21"/>
      <c r="J12" s="51">
        <f t="shared" si="1"/>
        <v>0.38495465787304206</v>
      </c>
      <c r="K12" s="82"/>
      <c r="L12" s="55"/>
      <c r="M12" s="1"/>
      <c r="N12" s="46">
        <f>117-4</f>
        <v>113</v>
      </c>
      <c r="O12" s="45"/>
      <c r="P12" s="45"/>
      <c r="Q12" s="45"/>
      <c r="R12" s="45">
        <f t="shared" si="2"/>
        <v>414</v>
      </c>
      <c r="S12" s="45"/>
      <c r="T12" s="60">
        <f t="shared" si="3"/>
        <v>1.2321795291526534E-2</v>
      </c>
      <c r="U12" s="60"/>
      <c r="V12" s="70"/>
      <c r="W12" s="1"/>
      <c r="X12" s="29">
        <f t="shared" si="5"/>
        <v>2</v>
      </c>
      <c r="Y12" s="30"/>
      <c r="Z12" s="30"/>
      <c r="AA12" s="30"/>
      <c r="AB12" s="30">
        <v>178</v>
      </c>
      <c r="AC12" s="30"/>
      <c r="AD12" s="31">
        <f t="shared" ref="AD12:AD51" si="6">+X12/AB11</f>
        <v>1.1363636363636364E-2</v>
      </c>
      <c r="AE12" s="31"/>
      <c r="AF12" s="31"/>
      <c r="AG12" s="30"/>
      <c r="AH12" s="32">
        <f t="shared" ref="AH12:AH51" si="7">+AB12/H12</f>
        <v>5.2977767195452243E-3</v>
      </c>
      <c r="AI12" s="1"/>
      <c r="AJ12" s="88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93"/>
      <c r="AW12" s="89"/>
      <c r="AX12" s="89"/>
      <c r="AY12" s="228"/>
      <c r="AZ12" s="1"/>
      <c r="BA12">
        <f t="shared" ref="BA12:BA63" si="8">+BA11+1</f>
        <v>3</v>
      </c>
    </row>
    <row r="13" spans="2:68" x14ac:dyDescent="0.3">
      <c r="B13" s="214">
        <f t="shared" si="4"/>
        <v>43913</v>
      </c>
      <c r="D13" s="22">
        <v>10168</v>
      </c>
      <c r="E13" s="21"/>
      <c r="F13" s="21"/>
      <c r="G13" s="21"/>
      <c r="H13" s="21">
        <f t="shared" si="0"/>
        <v>43767</v>
      </c>
      <c r="I13" s="21"/>
      <c r="J13" s="51">
        <f t="shared" si="1"/>
        <v>0.30262805440638113</v>
      </c>
      <c r="K13" s="82"/>
      <c r="L13" s="55"/>
      <c r="M13" s="1"/>
      <c r="N13" s="46">
        <f>140+1</f>
        <v>141</v>
      </c>
      <c r="O13" s="45"/>
      <c r="P13" s="45"/>
      <c r="Q13" s="45"/>
      <c r="R13" s="45">
        <f t="shared" si="2"/>
        <v>555</v>
      </c>
      <c r="S13" s="45"/>
      <c r="T13" s="60">
        <f t="shared" si="3"/>
        <v>1.2680786894235383E-2</v>
      </c>
      <c r="U13" s="60"/>
      <c r="V13" s="70"/>
      <c r="W13" s="1"/>
      <c r="X13" s="29">
        <f t="shared" si="5"/>
        <v>117</v>
      </c>
      <c r="Y13" s="30"/>
      <c r="Z13" s="30"/>
      <c r="AA13" s="30"/>
      <c r="AB13" s="30">
        <v>295</v>
      </c>
      <c r="AC13" s="30"/>
      <c r="AD13" s="31">
        <f t="shared" si="6"/>
        <v>0.65730337078651691</v>
      </c>
      <c r="AE13" s="31"/>
      <c r="AF13" s="31"/>
      <c r="AG13" s="30"/>
      <c r="AH13" s="32">
        <f t="shared" si="7"/>
        <v>6.740238078917906E-3</v>
      </c>
      <c r="AI13" s="1"/>
      <c r="AJ13" s="88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93"/>
      <c r="AW13" s="89"/>
      <c r="AX13" s="89"/>
      <c r="AY13" s="228"/>
      <c r="AZ13" s="1"/>
      <c r="BA13">
        <f t="shared" si="8"/>
        <v>4</v>
      </c>
    </row>
    <row r="14" spans="2:68" x14ac:dyDescent="0.3">
      <c r="B14" s="214">
        <f t="shared" si="4"/>
        <v>43914</v>
      </c>
      <c r="D14" s="22">
        <v>11089</v>
      </c>
      <c r="E14" s="21"/>
      <c r="F14" s="21"/>
      <c r="G14" s="21"/>
      <c r="H14" s="21">
        <f t="shared" si="0"/>
        <v>54856</v>
      </c>
      <c r="I14" s="21"/>
      <c r="J14" s="51">
        <f t="shared" si="1"/>
        <v>0.25336440697329038</v>
      </c>
      <c r="K14" s="82"/>
      <c r="L14" s="55"/>
      <c r="M14" s="1"/>
      <c r="N14" s="46">
        <v>225</v>
      </c>
      <c r="O14" s="45"/>
      <c r="P14" s="45"/>
      <c r="Q14" s="45"/>
      <c r="R14" s="45">
        <f t="shared" si="2"/>
        <v>780</v>
      </c>
      <c r="S14" s="45"/>
      <c r="T14" s="60">
        <f t="shared" si="3"/>
        <v>1.4219046230129795E-2</v>
      </c>
      <c r="U14" s="60"/>
      <c r="V14" s="70"/>
      <c r="W14" s="1"/>
      <c r="X14" s="29">
        <f t="shared" si="5"/>
        <v>83</v>
      </c>
      <c r="Y14" s="30"/>
      <c r="Z14" s="30"/>
      <c r="AA14" s="30"/>
      <c r="AB14" s="30">
        <v>378</v>
      </c>
      <c r="AC14" s="30"/>
      <c r="AD14" s="31">
        <f t="shared" si="6"/>
        <v>0.28135593220338984</v>
      </c>
      <c r="AE14" s="31"/>
      <c r="AF14" s="31"/>
      <c r="AG14" s="30"/>
      <c r="AH14" s="32">
        <f t="shared" si="7"/>
        <v>6.8907685576782849E-3</v>
      </c>
      <c r="AI14" s="1"/>
      <c r="AJ14" s="88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93"/>
      <c r="AW14" s="89"/>
      <c r="AX14" s="89"/>
      <c r="AY14" s="228"/>
      <c r="AZ14" s="1"/>
      <c r="BA14">
        <f t="shared" si="8"/>
        <v>5</v>
      </c>
      <c r="BP14" s="78"/>
    </row>
    <row r="15" spans="2:68" x14ac:dyDescent="0.3">
      <c r="B15" s="214">
        <f t="shared" si="4"/>
        <v>43915</v>
      </c>
      <c r="D15" s="22">
        <v>13355</v>
      </c>
      <c r="E15" s="21"/>
      <c r="F15" s="21"/>
      <c r="G15" s="21"/>
      <c r="H15" s="21">
        <f t="shared" si="0"/>
        <v>68211</v>
      </c>
      <c r="I15" s="21"/>
      <c r="J15" s="51">
        <f t="shared" si="1"/>
        <v>0.24345559282485052</v>
      </c>
      <c r="K15" s="82"/>
      <c r="L15" s="55"/>
      <c r="M15" s="1"/>
      <c r="N15" s="46">
        <v>247</v>
      </c>
      <c r="O15" s="45"/>
      <c r="P15" s="45"/>
      <c r="Q15" s="45"/>
      <c r="R15" s="45">
        <f t="shared" si="2"/>
        <v>1027</v>
      </c>
      <c r="S15" s="45"/>
      <c r="T15" s="60">
        <f t="shared" si="3"/>
        <v>1.5056222603392415E-2</v>
      </c>
      <c r="U15" s="60"/>
      <c r="V15" s="70"/>
      <c r="W15" s="1"/>
      <c r="X15" s="29">
        <f t="shared" si="5"/>
        <v>16</v>
      </c>
      <c r="Y15" s="30"/>
      <c r="Z15" s="30"/>
      <c r="AA15" s="30"/>
      <c r="AB15" s="30">
        <v>394</v>
      </c>
      <c r="AC15" s="30"/>
      <c r="AD15" s="31">
        <f t="shared" si="6"/>
        <v>4.2328042328042326E-2</v>
      </c>
      <c r="AE15" s="31"/>
      <c r="AF15" s="31"/>
      <c r="AG15" s="30"/>
      <c r="AH15" s="32">
        <f t="shared" si="7"/>
        <v>5.7761944554397381E-3</v>
      </c>
      <c r="AI15" s="1"/>
      <c r="AJ15" s="88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93"/>
      <c r="AW15" s="89"/>
      <c r="AX15" s="89"/>
      <c r="AY15" s="228"/>
      <c r="AZ15" s="1"/>
      <c r="BA15">
        <f t="shared" si="8"/>
        <v>6</v>
      </c>
      <c r="BP15" s="78"/>
    </row>
    <row r="16" spans="2:68" x14ac:dyDescent="0.3">
      <c r="B16" s="214">
        <f t="shared" si="4"/>
        <v>43916</v>
      </c>
      <c r="D16" s="22">
        <v>17224</v>
      </c>
      <c r="E16" s="21"/>
      <c r="F16" s="21"/>
      <c r="G16" s="21"/>
      <c r="H16" s="21">
        <f t="shared" si="0"/>
        <v>85435</v>
      </c>
      <c r="I16" s="21"/>
      <c r="J16" s="51">
        <f t="shared" si="1"/>
        <v>0.25251059213323362</v>
      </c>
      <c r="K16" s="82"/>
      <c r="L16" s="55"/>
      <c r="M16" s="1"/>
      <c r="N16" s="46">
        <v>268</v>
      </c>
      <c r="O16" s="45"/>
      <c r="P16" s="45"/>
      <c r="Q16" s="45"/>
      <c r="R16" s="45">
        <f t="shared" si="2"/>
        <v>1295</v>
      </c>
      <c r="S16" s="45"/>
      <c r="T16" s="60">
        <f t="shared" si="3"/>
        <v>1.5157722244981565E-2</v>
      </c>
      <c r="U16" s="60"/>
      <c r="V16" s="70"/>
      <c r="W16" s="1"/>
      <c r="X16" s="29">
        <f t="shared" si="5"/>
        <v>1474</v>
      </c>
      <c r="Y16" s="30"/>
      <c r="Z16" s="30"/>
      <c r="AA16" s="30"/>
      <c r="AB16" s="30">
        <v>1868</v>
      </c>
      <c r="AC16" s="30"/>
      <c r="AD16" s="31">
        <f t="shared" si="6"/>
        <v>3.7411167512690353</v>
      </c>
      <c r="AE16" s="31"/>
      <c r="AF16" s="31"/>
      <c r="AG16" s="30"/>
      <c r="AH16" s="32">
        <f t="shared" si="7"/>
        <v>2.1864575408205068E-2</v>
      </c>
      <c r="AI16" s="1"/>
      <c r="AJ16" s="88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93"/>
      <c r="AW16" s="89"/>
      <c r="AX16" s="89"/>
      <c r="AY16" s="228"/>
      <c r="AZ16" s="1"/>
      <c r="BA16">
        <f t="shared" si="8"/>
        <v>7</v>
      </c>
      <c r="BP16" s="78"/>
    </row>
    <row r="17" spans="2:68" x14ac:dyDescent="0.3">
      <c r="B17" s="214">
        <f t="shared" si="4"/>
        <v>43917</v>
      </c>
      <c r="D17" s="22">
        <v>18691</v>
      </c>
      <c r="E17" s="21"/>
      <c r="F17" s="21"/>
      <c r="G17" s="21"/>
      <c r="H17" s="21">
        <f t="shared" si="0"/>
        <v>104126</v>
      </c>
      <c r="I17" s="21"/>
      <c r="J17" s="51">
        <f t="shared" si="1"/>
        <v>0.21877450693509687</v>
      </c>
      <c r="K17" s="82"/>
      <c r="L17" s="55"/>
      <c r="M17" s="1"/>
      <c r="N17" s="46">
        <f>401-1</f>
        <v>400</v>
      </c>
      <c r="O17" s="45"/>
      <c r="P17" s="45"/>
      <c r="Q17" s="45"/>
      <c r="R17" s="45">
        <f t="shared" si="2"/>
        <v>1695</v>
      </c>
      <c r="S17" s="45"/>
      <c r="T17" s="60">
        <f t="shared" si="3"/>
        <v>1.6278355069819256E-2</v>
      </c>
      <c r="U17" s="60"/>
      <c r="V17" s="70"/>
      <c r="W17" s="1"/>
      <c r="X17" s="29">
        <f t="shared" si="5"/>
        <v>654</v>
      </c>
      <c r="Y17" s="30"/>
      <c r="Z17" s="30"/>
      <c r="AA17" s="30"/>
      <c r="AB17" s="30">
        <v>2522</v>
      </c>
      <c r="AC17" s="30"/>
      <c r="AD17" s="31">
        <f t="shared" si="6"/>
        <v>0.3501070663811563</v>
      </c>
      <c r="AE17" s="31"/>
      <c r="AF17" s="31"/>
      <c r="AG17" s="30"/>
      <c r="AH17" s="32">
        <f t="shared" si="7"/>
        <v>2.4220655744002458E-2</v>
      </c>
      <c r="AI17" s="1"/>
      <c r="AJ17" s="88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93"/>
      <c r="AW17" s="89"/>
      <c r="AX17" s="89"/>
      <c r="AY17" s="228"/>
      <c r="AZ17" s="1"/>
      <c r="BA17">
        <f t="shared" si="8"/>
        <v>8</v>
      </c>
      <c r="BP17" s="78"/>
    </row>
    <row r="18" spans="2:68" x14ac:dyDescent="0.3">
      <c r="B18" s="214">
        <f t="shared" si="4"/>
        <v>43918</v>
      </c>
      <c r="D18" s="22">
        <v>19452</v>
      </c>
      <c r="E18" s="21"/>
      <c r="F18" s="21"/>
      <c r="G18" s="21"/>
      <c r="H18" s="21">
        <f t="shared" si="0"/>
        <v>123578</v>
      </c>
      <c r="I18" s="21"/>
      <c r="J18" s="51">
        <f t="shared" si="1"/>
        <v>0.18681213145612047</v>
      </c>
      <c r="K18" s="82"/>
      <c r="L18" s="55"/>
      <c r="M18" s="1"/>
      <c r="N18" s="46">
        <v>525</v>
      </c>
      <c r="O18" s="45"/>
      <c r="P18" s="45"/>
      <c r="Q18" s="45"/>
      <c r="R18" s="45">
        <f t="shared" si="2"/>
        <v>2220</v>
      </c>
      <c r="S18" s="45"/>
      <c r="T18" s="60">
        <f t="shared" si="3"/>
        <v>1.7964362588810307E-2</v>
      </c>
      <c r="U18" s="60"/>
      <c r="V18" s="70"/>
      <c r="W18" s="1"/>
      <c r="X18" s="29">
        <f t="shared" si="5"/>
        <v>709</v>
      </c>
      <c r="Y18" s="30"/>
      <c r="Z18" s="30"/>
      <c r="AA18" s="30"/>
      <c r="AB18" s="30">
        <v>3231</v>
      </c>
      <c r="AC18" s="30"/>
      <c r="AD18" s="31">
        <f t="shared" si="6"/>
        <v>0.28112609040444092</v>
      </c>
      <c r="AE18" s="31"/>
      <c r="AF18" s="31"/>
      <c r="AG18" s="30"/>
      <c r="AH18" s="32">
        <f t="shared" si="7"/>
        <v>2.6145430416417162E-2</v>
      </c>
      <c r="AI18" s="1"/>
      <c r="AJ18" s="88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93"/>
      <c r="AW18" s="89"/>
      <c r="AX18" s="89"/>
      <c r="AY18" s="228"/>
      <c r="AZ18" s="1"/>
      <c r="BA18">
        <f t="shared" si="8"/>
        <v>9</v>
      </c>
      <c r="BP18" s="78"/>
    </row>
    <row r="19" spans="2:68" x14ac:dyDescent="0.3">
      <c r="B19" s="215">
        <f t="shared" si="4"/>
        <v>43919</v>
      </c>
      <c r="D19" s="22">
        <v>19913</v>
      </c>
      <c r="E19" s="21"/>
      <c r="F19" s="21"/>
      <c r="G19" s="21"/>
      <c r="H19" s="21">
        <f t="shared" si="0"/>
        <v>143491</v>
      </c>
      <c r="I19" s="21"/>
      <c r="J19" s="51">
        <f t="shared" si="1"/>
        <v>0.16113709559954037</v>
      </c>
      <c r="K19" s="82"/>
      <c r="L19" s="55"/>
      <c r="M19" s="1"/>
      <c r="N19" s="46">
        <v>363</v>
      </c>
      <c r="O19" s="45"/>
      <c r="P19" s="45"/>
      <c r="Q19" s="45"/>
      <c r="R19" s="45">
        <f t="shared" si="2"/>
        <v>2583</v>
      </c>
      <c r="S19" s="45"/>
      <c r="T19" s="60">
        <f t="shared" si="3"/>
        <v>1.8001128990668403E-2</v>
      </c>
      <c r="U19" s="60"/>
      <c r="V19" s="70"/>
      <c r="W19" s="1"/>
      <c r="X19" s="29">
        <f t="shared" si="5"/>
        <v>1328</v>
      </c>
      <c r="Y19" s="30"/>
      <c r="Z19" s="30"/>
      <c r="AA19" s="30"/>
      <c r="AB19" s="30">
        <v>4559</v>
      </c>
      <c r="AC19" s="30"/>
      <c r="AD19" s="31">
        <f t="shared" si="6"/>
        <v>0.41101826060043328</v>
      </c>
      <c r="AE19" s="31"/>
      <c r="AF19" s="31"/>
      <c r="AG19" s="30"/>
      <c r="AH19" s="32">
        <f t="shared" si="7"/>
        <v>3.1772027513920734E-2</v>
      </c>
      <c r="AI19" s="1"/>
      <c r="AJ19" s="88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93"/>
      <c r="AW19" s="89"/>
      <c r="AX19" s="89"/>
      <c r="AY19" s="228"/>
      <c r="AZ19" s="1"/>
      <c r="BA19">
        <f t="shared" si="8"/>
        <v>10</v>
      </c>
      <c r="BP19" s="78"/>
    </row>
    <row r="20" spans="2:68" x14ac:dyDescent="0.3">
      <c r="B20" s="215">
        <f t="shared" si="4"/>
        <v>43920</v>
      </c>
      <c r="D20" s="22">
        <v>20353</v>
      </c>
      <c r="E20" s="21"/>
      <c r="F20" s="21"/>
      <c r="G20" s="21"/>
      <c r="H20" s="21">
        <f t="shared" si="0"/>
        <v>163844</v>
      </c>
      <c r="I20" s="21"/>
      <c r="J20" s="51">
        <f t="shared" si="1"/>
        <v>0.14184164860513901</v>
      </c>
      <c r="K20" s="82"/>
      <c r="L20" s="55"/>
      <c r="M20" s="1"/>
      <c r="N20" s="46">
        <f>573-15</f>
        <v>558</v>
      </c>
      <c r="O20" s="45"/>
      <c r="P20" s="45"/>
      <c r="Q20" s="45"/>
      <c r="R20" s="45">
        <f t="shared" si="2"/>
        <v>3141</v>
      </c>
      <c r="S20" s="45"/>
      <c r="T20" s="60">
        <f t="shared" si="3"/>
        <v>1.9170674544078514E-2</v>
      </c>
      <c r="U20" s="60"/>
      <c r="V20" s="70"/>
      <c r="W20" s="1"/>
      <c r="X20" s="29">
        <f t="shared" si="5"/>
        <v>947</v>
      </c>
      <c r="Y20" s="30"/>
      <c r="Z20" s="30"/>
      <c r="AA20" s="30"/>
      <c r="AB20" s="30">
        <v>5506</v>
      </c>
      <c r="AC20" s="30"/>
      <c r="AD20" s="31">
        <f t="shared" si="6"/>
        <v>0.20772099144549244</v>
      </c>
      <c r="AE20" s="31"/>
      <c r="AF20" s="31"/>
      <c r="AG20" s="30"/>
      <c r="AH20" s="32">
        <f t="shared" si="7"/>
        <v>3.3605136593344888E-2</v>
      </c>
      <c r="AI20" s="1"/>
      <c r="AJ20" s="88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93"/>
      <c r="AW20" s="89"/>
      <c r="AX20" s="89"/>
      <c r="AY20" s="228"/>
      <c r="AZ20" s="1"/>
      <c r="BA20">
        <f t="shared" si="8"/>
        <v>11</v>
      </c>
      <c r="BP20" s="78"/>
    </row>
    <row r="21" spans="2:68" x14ac:dyDescent="0.3">
      <c r="B21" s="215">
        <f t="shared" si="4"/>
        <v>43921</v>
      </c>
      <c r="D21" s="22">
        <v>24742</v>
      </c>
      <c r="E21" s="21"/>
      <c r="F21" s="21"/>
      <c r="G21" s="21"/>
      <c r="H21" s="21">
        <f t="shared" si="0"/>
        <v>188586</v>
      </c>
      <c r="I21" s="21"/>
      <c r="J21" s="51">
        <f t="shared" si="1"/>
        <v>0.1510094968384561</v>
      </c>
      <c r="K21" s="82"/>
      <c r="L21" s="55"/>
      <c r="M21" s="1"/>
      <c r="N21" s="46">
        <f>748+164</f>
        <v>912</v>
      </c>
      <c r="O21" s="45"/>
      <c r="P21" s="45"/>
      <c r="Q21" s="45"/>
      <c r="R21" s="45">
        <f t="shared" si="2"/>
        <v>4053</v>
      </c>
      <c r="S21" s="45"/>
      <c r="T21" s="60">
        <f t="shared" si="3"/>
        <v>2.1491521109732431E-2</v>
      </c>
      <c r="U21" s="61"/>
      <c r="V21" s="71"/>
      <c r="W21" s="1"/>
      <c r="X21" s="29">
        <f t="shared" si="5"/>
        <v>1745</v>
      </c>
      <c r="Y21" s="30"/>
      <c r="Z21" s="30"/>
      <c r="AA21" s="30"/>
      <c r="AB21" s="30">
        <v>7251</v>
      </c>
      <c r="AC21" s="30"/>
      <c r="AD21" s="31">
        <f t="shared" si="6"/>
        <v>0.31692698873955683</v>
      </c>
      <c r="AE21" s="31"/>
      <c r="AF21" s="31"/>
      <c r="AG21" s="30"/>
      <c r="AH21" s="32">
        <f t="shared" si="7"/>
        <v>3.8449301644872896E-2</v>
      </c>
      <c r="AI21" s="1"/>
      <c r="AJ21" s="88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93"/>
      <c r="AW21" s="89"/>
      <c r="AX21" s="89"/>
      <c r="AY21" s="228"/>
      <c r="AZ21" s="1"/>
      <c r="BA21">
        <f t="shared" si="8"/>
        <v>12</v>
      </c>
      <c r="BP21" s="78"/>
    </row>
    <row r="22" spans="2:68" x14ac:dyDescent="0.3">
      <c r="B22" s="215">
        <f t="shared" si="4"/>
        <v>43922</v>
      </c>
      <c r="D22" s="22">
        <v>26473</v>
      </c>
      <c r="E22" s="21"/>
      <c r="F22" s="21"/>
      <c r="G22" s="21"/>
      <c r="H22" s="21">
        <f t="shared" si="0"/>
        <v>215059</v>
      </c>
      <c r="I22" s="21"/>
      <c r="J22" s="51">
        <f t="shared" si="1"/>
        <v>0.14037627395458835</v>
      </c>
      <c r="K22" s="82"/>
      <c r="L22" s="55"/>
      <c r="M22" s="1"/>
      <c r="N22" s="46">
        <f>1046+3</f>
        <v>1049</v>
      </c>
      <c r="O22" s="45"/>
      <c r="P22" s="45"/>
      <c r="Q22" s="45"/>
      <c r="R22" s="45">
        <f t="shared" si="2"/>
        <v>5102</v>
      </c>
      <c r="S22" s="45"/>
      <c r="T22" s="60">
        <f t="shared" si="3"/>
        <v>2.3723722327361328E-2</v>
      </c>
      <c r="U22" s="61"/>
      <c r="V22" s="71"/>
      <c r="W22" s="1"/>
      <c r="X22" s="29">
        <f t="shared" si="5"/>
        <v>1627</v>
      </c>
      <c r="Y22" s="30"/>
      <c r="Z22" s="30"/>
      <c r="AA22" s="30"/>
      <c r="AB22" s="30">
        <v>8878</v>
      </c>
      <c r="AC22" s="30"/>
      <c r="AD22" s="31">
        <f t="shared" si="6"/>
        <v>0.22438284374569026</v>
      </c>
      <c r="AE22" s="31"/>
      <c r="AF22" s="31"/>
      <c r="AG22" s="30"/>
      <c r="AH22" s="32">
        <f t="shared" si="7"/>
        <v>4.1281694790731849E-2</v>
      </c>
      <c r="AI22" s="1"/>
      <c r="AJ22" s="88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93"/>
      <c r="AW22" s="89"/>
      <c r="AX22" s="89"/>
      <c r="AY22" s="228"/>
      <c r="AZ22" s="1"/>
      <c r="BA22">
        <f t="shared" si="8"/>
        <v>13</v>
      </c>
    </row>
    <row r="23" spans="2:68" x14ac:dyDescent="0.3">
      <c r="B23" s="215">
        <f t="shared" si="4"/>
        <v>43923</v>
      </c>
      <c r="D23" s="22">
        <f>29874-56</f>
        <v>29818</v>
      </c>
      <c r="E23" s="21"/>
      <c r="F23" s="21"/>
      <c r="G23" s="21"/>
      <c r="H23" s="21">
        <f t="shared" si="0"/>
        <v>244877</v>
      </c>
      <c r="I23" s="21"/>
      <c r="J23" s="51">
        <f t="shared" si="1"/>
        <v>0.1386503238646139</v>
      </c>
      <c r="K23" s="82"/>
      <c r="L23" s="55"/>
      <c r="M23" s="1"/>
      <c r="N23" s="46">
        <f>968+6</f>
        <v>974</v>
      </c>
      <c r="O23" s="45"/>
      <c r="P23" s="45"/>
      <c r="Q23" s="45"/>
      <c r="R23" s="45">
        <f t="shared" si="2"/>
        <v>6076</v>
      </c>
      <c r="S23" s="45"/>
      <c r="T23" s="60">
        <f t="shared" si="3"/>
        <v>2.4812456866100122E-2</v>
      </c>
      <c r="U23" s="61"/>
      <c r="V23" s="71"/>
      <c r="W23" s="1"/>
      <c r="X23" s="29">
        <f t="shared" si="5"/>
        <v>1525</v>
      </c>
      <c r="Y23" s="30"/>
      <c r="Z23" s="30"/>
      <c r="AA23" s="30"/>
      <c r="AB23" s="30">
        <v>10403</v>
      </c>
      <c r="AC23" s="30"/>
      <c r="AD23" s="31">
        <f t="shared" si="6"/>
        <v>0.17177292182924081</v>
      </c>
      <c r="AE23" s="31"/>
      <c r="AF23" s="31"/>
      <c r="AG23" s="30"/>
      <c r="AH23" s="32">
        <f t="shared" si="7"/>
        <v>4.2482552465115141E-2</v>
      </c>
      <c r="AI23" s="1"/>
      <c r="AJ23" s="88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93"/>
      <c r="AW23" s="89"/>
      <c r="AX23" s="89"/>
      <c r="AY23" s="228"/>
      <c r="AZ23" s="1"/>
      <c r="BA23">
        <f t="shared" si="8"/>
        <v>14</v>
      </c>
    </row>
    <row r="24" spans="2:68" x14ac:dyDescent="0.3">
      <c r="B24" s="215">
        <f t="shared" si="4"/>
        <v>43924</v>
      </c>
      <c r="D24" s="22">
        <v>32284</v>
      </c>
      <c r="E24" s="21"/>
      <c r="F24" s="21"/>
      <c r="G24" s="21"/>
      <c r="H24" s="21">
        <f>+H23+D24+2310</f>
        <v>279471</v>
      </c>
      <c r="I24" s="151" t="s">
        <v>48</v>
      </c>
      <c r="J24" s="51">
        <f t="shared" si="1"/>
        <v>0.13183761643600664</v>
      </c>
      <c r="K24" s="82"/>
      <c r="L24" s="55"/>
      <c r="M24" s="1"/>
      <c r="N24" s="46">
        <f>7121-6076</f>
        <v>1045</v>
      </c>
      <c r="O24" s="45"/>
      <c r="P24" s="45"/>
      <c r="Q24" s="45"/>
      <c r="R24" s="45">
        <f>+R23+N24+21</f>
        <v>7142</v>
      </c>
      <c r="S24" s="150" t="s">
        <v>48</v>
      </c>
      <c r="T24" s="60">
        <f t="shared" si="3"/>
        <v>2.5555424355299835E-2</v>
      </c>
      <c r="U24" s="61"/>
      <c r="V24" s="71"/>
      <c r="W24" s="1"/>
      <c r="X24" s="29">
        <f t="shared" si="5"/>
        <v>1835</v>
      </c>
      <c r="Y24" s="30"/>
      <c r="Z24" s="30"/>
      <c r="AA24" s="30"/>
      <c r="AB24" s="30">
        <v>12238</v>
      </c>
      <c r="AC24" s="30"/>
      <c r="AD24" s="31">
        <f t="shared" si="6"/>
        <v>0.17639142555032203</v>
      </c>
      <c r="AE24" s="31"/>
      <c r="AF24" s="31"/>
      <c r="AG24" s="30"/>
      <c r="AH24" s="32">
        <f t="shared" si="7"/>
        <v>4.3789874441355278E-2</v>
      </c>
      <c r="AI24" s="1"/>
      <c r="AJ24" s="88">
        <v>698344</v>
      </c>
      <c r="AK24" s="89"/>
      <c r="AL24" s="89">
        <f>+AJ24</f>
        <v>698344</v>
      </c>
      <c r="AM24" s="89"/>
      <c r="AN24" s="89">
        <f t="shared" ref="AN24:AN51" si="9">+D24</f>
        <v>32284</v>
      </c>
      <c r="AO24" s="89"/>
      <c r="AP24" s="89"/>
      <c r="AQ24" s="89"/>
      <c r="AR24" s="89"/>
      <c r="AS24" s="89"/>
      <c r="AT24" s="89">
        <f>+AN24</f>
        <v>32284</v>
      </c>
      <c r="AU24" s="89"/>
      <c r="AV24" s="98">
        <f t="shared" ref="AV24:AV51" si="10">+AT24/AL24</f>
        <v>4.6229365470312624E-2</v>
      </c>
      <c r="AW24" s="89"/>
      <c r="AX24" s="89"/>
      <c r="AY24" s="228"/>
      <c r="AZ24" s="1"/>
      <c r="BA24">
        <f t="shared" si="8"/>
        <v>15</v>
      </c>
    </row>
    <row r="25" spans="2:68" x14ac:dyDescent="0.3">
      <c r="B25" s="215">
        <f t="shared" si="4"/>
        <v>43925</v>
      </c>
      <c r="D25" s="22">
        <v>34196</v>
      </c>
      <c r="E25" s="21"/>
      <c r="F25" s="21"/>
      <c r="G25" s="21"/>
      <c r="H25" s="21">
        <f t="shared" ref="H25:H34" si="11">+H24+D25</f>
        <v>313667</v>
      </c>
      <c r="I25" s="21"/>
      <c r="J25" s="51">
        <f t="shared" si="1"/>
        <v>0.12235974394481001</v>
      </c>
      <c r="K25" s="21"/>
      <c r="L25" s="54"/>
      <c r="M25" s="1"/>
      <c r="N25" s="46">
        <f>1331-1</f>
        <v>1330</v>
      </c>
      <c r="O25" s="45"/>
      <c r="P25" s="45"/>
      <c r="Q25" s="45"/>
      <c r="R25" s="45">
        <f t="shared" ref="R25:R34" si="12">+R24+N25</f>
        <v>8472</v>
      </c>
      <c r="S25" s="45"/>
      <c r="T25" s="60">
        <f t="shared" si="3"/>
        <v>2.7009535590291615E-2</v>
      </c>
      <c r="U25" s="61"/>
      <c r="V25" s="71"/>
      <c r="W25" s="1"/>
      <c r="X25" s="29">
        <f t="shared" si="5"/>
        <v>2587</v>
      </c>
      <c r="Y25" s="30"/>
      <c r="Z25" s="30"/>
      <c r="AA25" s="30"/>
      <c r="AB25" s="30">
        <v>14825</v>
      </c>
      <c r="AC25" s="30"/>
      <c r="AD25" s="31">
        <f t="shared" si="6"/>
        <v>0.21139075012256905</v>
      </c>
      <c r="AE25" s="31"/>
      <c r="AF25" s="31"/>
      <c r="AG25" s="30"/>
      <c r="AH25" s="32">
        <f t="shared" si="7"/>
        <v>4.726349918862998E-2</v>
      </c>
      <c r="AI25" s="1"/>
      <c r="AJ25" s="88">
        <v>934611</v>
      </c>
      <c r="AK25" s="89"/>
      <c r="AL25" s="89">
        <f>+AL24+AJ25</f>
        <v>1632955</v>
      </c>
      <c r="AM25" s="89"/>
      <c r="AN25" s="89">
        <f t="shared" si="9"/>
        <v>34196</v>
      </c>
      <c r="AO25" s="89"/>
      <c r="AP25" s="89"/>
      <c r="AQ25" s="89"/>
      <c r="AR25" s="89"/>
      <c r="AS25" s="89"/>
      <c r="AT25" s="89">
        <f t="shared" ref="AT25:AT51" si="13">+AT24+AN25</f>
        <v>66480</v>
      </c>
      <c r="AU25" s="89"/>
      <c r="AV25" s="98">
        <f t="shared" si="10"/>
        <v>4.0711470922346296E-2</v>
      </c>
      <c r="AW25" s="89"/>
      <c r="AX25" s="110"/>
      <c r="AY25" s="228"/>
      <c r="AZ25" s="1"/>
      <c r="BA25">
        <f t="shared" si="8"/>
        <v>16</v>
      </c>
    </row>
    <row r="26" spans="2:68" x14ac:dyDescent="0.3">
      <c r="B26" s="215">
        <f t="shared" si="4"/>
        <v>43926</v>
      </c>
      <c r="D26" s="22">
        <v>25316</v>
      </c>
      <c r="E26" s="21"/>
      <c r="F26" s="21"/>
      <c r="G26" s="21"/>
      <c r="H26" s="21">
        <f t="shared" si="11"/>
        <v>338983</v>
      </c>
      <c r="I26" s="21"/>
      <c r="J26" s="51">
        <f t="shared" si="1"/>
        <v>8.0709797332840241E-2</v>
      </c>
      <c r="K26" s="21"/>
      <c r="L26" s="54"/>
      <c r="M26" s="1"/>
      <c r="N26" s="46">
        <v>1165</v>
      </c>
      <c r="O26" s="45"/>
      <c r="P26" s="45"/>
      <c r="Q26" s="45"/>
      <c r="R26" s="45">
        <f t="shared" si="12"/>
        <v>9637</v>
      </c>
      <c r="S26" s="45"/>
      <c r="T26" s="60">
        <f t="shared" si="3"/>
        <v>2.842915426437314E-2</v>
      </c>
      <c r="U26" s="61"/>
      <c r="V26" s="71"/>
      <c r="W26" s="1"/>
      <c r="X26" s="29">
        <f t="shared" si="5"/>
        <v>3152</v>
      </c>
      <c r="Y26" s="30"/>
      <c r="Z26" s="30"/>
      <c r="AA26" s="30"/>
      <c r="AB26" s="30">
        <v>17977</v>
      </c>
      <c r="AC26" s="30"/>
      <c r="AD26" s="31">
        <f t="shared" si="6"/>
        <v>0.21261382799325465</v>
      </c>
      <c r="AE26" s="31"/>
      <c r="AF26" s="31"/>
      <c r="AG26" s="30"/>
      <c r="AH26" s="32">
        <f t="shared" si="7"/>
        <v>5.3032157954823696E-2</v>
      </c>
      <c r="AI26" s="1"/>
      <c r="AJ26" s="88">
        <v>139414</v>
      </c>
      <c r="AK26" s="89"/>
      <c r="AL26" s="89">
        <f>+AL25+AJ26</f>
        <v>1772369</v>
      </c>
      <c r="AM26" s="89"/>
      <c r="AN26" s="89">
        <f t="shared" si="9"/>
        <v>25316</v>
      </c>
      <c r="AO26" s="89"/>
      <c r="AP26" s="89"/>
      <c r="AQ26" s="89"/>
      <c r="AR26" s="89"/>
      <c r="AS26" s="89"/>
      <c r="AT26" s="89">
        <f t="shared" si="13"/>
        <v>91796</v>
      </c>
      <c r="AU26" s="89"/>
      <c r="AV26" s="98">
        <f t="shared" si="10"/>
        <v>5.1792826437384087E-2</v>
      </c>
      <c r="AW26" s="89"/>
      <c r="AX26" s="110"/>
      <c r="AY26" s="228"/>
      <c r="AZ26" s="1"/>
      <c r="BA26">
        <f t="shared" si="8"/>
        <v>17</v>
      </c>
    </row>
    <row r="27" spans="2:68" x14ac:dyDescent="0.3">
      <c r="B27" s="215">
        <f t="shared" si="4"/>
        <v>43927</v>
      </c>
      <c r="D27" s="22">
        <v>31210</v>
      </c>
      <c r="E27" s="21"/>
      <c r="F27" s="21"/>
      <c r="G27" s="21"/>
      <c r="H27" s="21">
        <f t="shared" si="11"/>
        <v>370193</v>
      </c>
      <c r="I27" s="21"/>
      <c r="J27" s="51">
        <f t="shared" si="1"/>
        <v>9.2069513810427078E-2</v>
      </c>
      <c r="K27" s="21"/>
      <c r="L27" s="54"/>
      <c r="M27" s="1"/>
      <c r="N27" s="46">
        <v>1255</v>
      </c>
      <c r="O27" s="45"/>
      <c r="P27" s="45"/>
      <c r="Q27" s="45"/>
      <c r="R27" s="45">
        <f t="shared" si="12"/>
        <v>10892</v>
      </c>
      <c r="S27" s="45"/>
      <c r="T27" s="60">
        <f t="shared" si="3"/>
        <v>2.9422490430667247E-2</v>
      </c>
      <c r="U27" s="61"/>
      <c r="V27" s="71"/>
      <c r="W27" s="1"/>
      <c r="X27" s="29">
        <f t="shared" si="5"/>
        <v>1694</v>
      </c>
      <c r="Y27" s="30"/>
      <c r="Z27" s="30"/>
      <c r="AA27" s="30"/>
      <c r="AB27" s="30">
        <v>19671</v>
      </c>
      <c r="AC27" s="30"/>
      <c r="AD27" s="31">
        <f t="shared" si="6"/>
        <v>9.4231518050842747E-2</v>
      </c>
      <c r="AE27" s="31"/>
      <c r="AF27" s="31"/>
      <c r="AG27" s="30"/>
      <c r="AH27" s="32">
        <f t="shared" si="7"/>
        <v>5.3137147379880227E-2</v>
      </c>
      <c r="AI27" s="1"/>
      <c r="AJ27" s="88">
        <f t="shared" ref="AJ27:AJ51" si="14">+AL27-AL26</f>
        <v>142171</v>
      </c>
      <c r="AK27" s="89"/>
      <c r="AL27" s="89">
        <v>1914540</v>
      </c>
      <c r="AM27" s="89"/>
      <c r="AN27" s="89">
        <f t="shared" si="9"/>
        <v>31210</v>
      </c>
      <c r="AO27" s="89"/>
      <c r="AP27" s="89"/>
      <c r="AQ27" s="89"/>
      <c r="AR27" s="89"/>
      <c r="AS27" s="89"/>
      <c r="AT27" s="89">
        <f t="shared" si="13"/>
        <v>123006</v>
      </c>
      <c r="AU27" s="89"/>
      <c r="AV27" s="98">
        <f t="shared" si="10"/>
        <v>6.4248331191826755E-2</v>
      </c>
      <c r="AW27" s="89"/>
      <c r="AX27" s="110"/>
      <c r="AY27" s="228"/>
      <c r="AZ27" s="1"/>
      <c r="BA27">
        <f t="shared" si="8"/>
        <v>18</v>
      </c>
    </row>
    <row r="28" spans="2:68" x14ac:dyDescent="0.3">
      <c r="B28" s="215">
        <f t="shared" si="4"/>
        <v>43928</v>
      </c>
      <c r="D28" s="22">
        <v>33460</v>
      </c>
      <c r="E28" s="21"/>
      <c r="F28" s="21"/>
      <c r="G28" s="21"/>
      <c r="H28" s="21">
        <f t="shared" si="11"/>
        <v>403653</v>
      </c>
      <c r="I28" s="21"/>
      <c r="J28" s="51">
        <f t="shared" si="1"/>
        <v>9.0385285513232286E-2</v>
      </c>
      <c r="K28" s="21"/>
      <c r="L28" s="54"/>
      <c r="M28" s="1"/>
      <c r="N28" s="46">
        <v>1970</v>
      </c>
      <c r="O28" s="45"/>
      <c r="P28" s="45"/>
      <c r="Q28" s="45"/>
      <c r="R28" s="45">
        <f t="shared" si="12"/>
        <v>12862</v>
      </c>
      <c r="S28" s="45"/>
      <c r="T28" s="60">
        <f t="shared" si="3"/>
        <v>3.1864002001719301E-2</v>
      </c>
      <c r="U28" s="61"/>
      <c r="V28" s="71"/>
      <c r="W28" s="1"/>
      <c r="X28" s="29">
        <f t="shared" si="5"/>
        <v>2003</v>
      </c>
      <c r="Y28" s="30"/>
      <c r="Z28" s="30"/>
      <c r="AA28" s="30"/>
      <c r="AB28" s="30">
        <v>21674</v>
      </c>
      <c r="AC28" s="30"/>
      <c r="AD28" s="31">
        <f t="shared" si="6"/>
        <v>0.10182502160540897</v>
      </c>
      <c r="AE28" s="31"/>
      <c r="AF28" s="31"/>
      <c r="AG28" s="30"/>
      <c r="AH28" s="32">
        <f t="shared" si="7"/>
        <v>5.3694633757212257E-2</v>
      </c>
      <c r="AI28" s="1"/>
      <c r="AJ28" s="88">
        <f t="shared" si="14"/>
        <v>161199</v>
      </c>
      <c r="AK28" s="89"/>
      <c r="AL28" s="89">
        <v>2075739</v>
      </c>
      <c r="AM28" s="89"/>
      <c r="AN28" s="89">
        <f t="shared" si="9"/>
        <v>33460</v>
      </c>
      <c r="AO28" s="89"/>
      <c r="AP28" s="89"/>
      <c r="AQ28" s="89"/>
      <c r="AR28" s="89"/>
      <c r="AS28" s="89"/>
      <c r="AT28" s="89">
        <f t="shared" si="13"/>
        <v>156466</v>
      </c>
      <c r="AU28" s="89"/>
      <c r="AV28" s="98">
        <f t="shared" si="10"/>
        <v>7.5378455576544059E-2</v>
      </c>
      <c r="AW28" s="89"/>
      <c r="AX28" s="110"/>
      <c r="AY28" s="228"/>
      <c r="AZ28" s="1"/>
      <c r="BA28">
        <f t="shared" si="8"/>
        <v>19</v>
      </c>
    </row>
    <row r="29" spans="2:68" x14ac:dyDescent="0.3">
      <c r="B29" s="215">
        <f t="shared" si="4"/>
        <v>43929</v>
      </c>
      <c r="D29" s="22">
        <v>31935</v>
      </c>
      <c r="E29" s="21"/>
      <c r="F29" s="21"/>
      <c r="G29" s="21"/>
      <c r="H29" s="21">
        <f t="shared" si="11"/>
        <v>435588</v>
      </c>
      <c r="I29" s="21"/>
      <c r="J29" s="51">
        <f t="shared" si="1"/>
        <v>7.9114982423021757E-2</v>
      </c>
      <c r="K29" s="21"/>
      <c r="L29" s="54"/>
      <c r="M29" s="1"/>
      <c r="N29" s="46">
        <f>1940+10</f>
        <v>1950</v>
      </c>
      <c r="O29" s="45"/>
      <c r="P29" s="45"/>
      <c r="Q29" s="45"/>
      <c r="R29" s="45">
        <f t="shared" si="12"/>
        <v>14812</v>
      </c>
      <c r="S29" s="45"/>
      <c r="T29" s="60">
        <f t="shared" si="3"/>
        <v>3.4004609860694049E-2</v>
      </c>
      <c r="U29" s="61"/>
      <c r="V29" s="71"/>
      <c r="W29" s="1"/>
      <c r="X29" s="29">
        <f t="shared" si="5"/>
        <v>1217</v>
      </c>
      <c r="Y29" s="30"/>
      <c r="Z29" s="30"/>
      <c r="AA29" s="30"/>
      <c r="AB29" s="30">
        <v>22891</v>
      </c>
      <c r="AC29" s="30"/>
      <c r="AD29" s="31">
        <f t="shared" si="6"/>
        <v>5.6150226077327677E-2</v>
      </c>
      <c r="AE29" s="31"/>
      <c r="AF29" s="31"/>
      <c r="AG29" s="30"/>
      <c r="AH29" s="32">
        <f t="shared" si="7"/>
        <v>5.2551952762702372E-2</v>
      </c>
      <c r="AI29" s="1"/>
      <c r="AJ29" s="88">
        <f t="shared" si="14"/>
        <v>133302</v>
      </c>
      <c r="AK29" s="89"/>
      <c r="AL29" s="89">
        <v>2209041</v>
      </c>
      <c r="AM29" s="89"/>
      <c r="AN29" s="89">
        <f t="shared" si="9"/>
        <v>31935</v>
      </c>
      <c r="AO29" s="89"/>
      <c r="AP29" s="89"/>
      <c r="AQ29" s="89"/>
      <c r="AR29" s="89"/>
      <c r="AS29" s="89"/>
      <c r="AT29" s="89">
        <f t="shared" si="13"/>
        <v>188401</v>
      </c>
      <c r="AU29" s="89"/>
      <c r="AV29" s="98">
        <f t="shared" si="10"/>
        <v>8.528633013149145E-2</v>
      </c>
      <c r="AW29" s="89"/>
      <c r="AX29" s="110"/>
      <c r="AY29" s="228"/>
      <c r="AZ29" s="1"/>
      <c r="BA29">
        <f t="shared" si="8"/>
        <v>20</v>
      </c>
    </row>
    <row r="30" spans="2:68" x14ac:dyDescent="0.3">
      <c r="B30" s="215">
        <f t="shared" si="4"/>
        <v>43930</v>
      </c>
      <c r="D30" s="22">
        <v>33536</v>
      </c>
      <c r="E30" s="21"/>
      <c r="F30" s="21"/>
      <c r="G30" s="21"/>
      <c r="H30" s="21">
        <f t="shared" si="11"/>
        <v>469124</v>
      </c>
      <c r="I30" s="21"/>
      <c r="J30" s="51">
        <f t="shared" si="1"/>
        <v>7.699018338429893E-2</v>
      </c>
      <c r="K30" s="21"/>
      <c r="L30" s="54"/>
      <c r="M30" s="1"/>
      <c r="N30" s="46">
        <v>1900</v>
      </c>
      <c r="O30" s="45"/>
      <c r="P30" s="45"/>
      <c r="Q30" s="45"/>
      <c r="R30" s="45">
        <f t="shared" si="12"/>
        <v>16712</v>
      </c>
      <c r="S30" s="45"/>
      <c r="T30" s="60">
        <f t="shared" si="3"/>
        <v>3.5623843589328193E-2</v>
      </c>
      <c r="U30" s="61"/>
      <c r="V30" s="71"/>
      <c r="W30" s="1"/>
      <c r="X30" s="29">
        <f t="shared" si="5"/>
        <v>3037</v>
      </c>
      <c r="Y30" s="30"/>
      <c r="Z30" s="30"/>
      <c r="AA30" s="30"/>
      <c r="AB30" s="30">
        <v>25928</v>
      </c>
      <c r="AC30" s="30"/>
      <c r="AD30" s="31">
        <f t="shared" si="6"/>
        <v>0.13267222926040803</v>
      </c>
      <c r="AE30" s="31"/>
      <c r="AF30" s="31"/>
      <c r="AG30" s="30"/>
      <c r="AH30" s="32">
        <f t="shared" si="7"/>
        <v>5.5268969398282755E-2</v>
      </c>
      <c r="AI30" s="1"/>
      <c r="AJ30" s="88">
        <f t="shared" si="14"/>
        <v>144055</v>
      </c>
      <c r="AK30" s="89"/>
      <c r="AL30" s="89">
        <v>2353096</v>
      </c>
      <c r="AM30" s="89"/>
      <c r="AN30" s="89">
        <f t="shared" si="9"/>
        <v>33536</v>
      </c>
      <c r="AO30" s="89"/>
      <c r="AP30" s="89"/>
      <c r="AQ30" s="89"/>
      <c r="AR30" s="89"/>
      <c r="AS30" s="89"/>
      <c r="AT30" s="89">
        <f t="shared" si="13"/>
        <v>221937</v>
      </c>
      <c r="AU30" s="89"/>
      <c r="AV30" s="98">
        <f t="shared" si="10"/>
        <v>9.4317018940153735E-2</v>
      </c>
      <c r="AW30" s="89"/>
      <c r="AX30" s="110"/>
      <c r="AY30" s="228"/>
      <c r="AZ30" s="1"/>
      <c r="BA30">
        <f t="shared" si="8"/>
        <v>21</v>
      </c>
    </row>
    <row r="31" spans="2:68" x14ac:dyDescent="0.3">
      <c r="B31" s="215">
        <f t="shared" si="4"/>
        <v>43931</v>
      </c>
      <c r="D31" s="22">
        <v>33752</v>
      </c>
      <c r="E31" s="21"/>
      <c r="F31" s="21"/>
      <c r="G31" s="21"/>
      <c r="H31" s="21">
        <f t="shared" si="11"/>
        <v>502876</v>
      </c>
      <c r="I31" s="21"/>
      <c r="J31" s="51">
        <f t="shared" si="1"/>
        <v>7.1946862663176472E-2</v>
      </c>
      <c r="K31" s="21"/>
      <c r="L31" s="54"/>
      <c r="M31" s="1"/>
      <c r="N31" s="46">
        <v>2035</v>
      </c>
      <c r="O31" s="45"/>
      <c r="P31" s="45"/>
      <c r="Q31" s="45"/>
      <c r="R31" s="45">
        <f t="shared" si="12"/>
        <v>18747</v>
      </c>
      <c r="S31" s="45"/>
      <c r="T31" s="60">
        <f t="shared" si="3"/>
        <v>3.7279567925293709E-2</v>
      </c>
      <c r="U31" s="61"/>
      <c r="V31" s="71"/>
      <c r="W31" s="1"/>
      <c r="X31" s="29">
        <f t="shared" si="5"/>
        <v>1386</v>
      </c>
      <c r="Y31" s="30"/>
      <c r="Z31" s="30"/>
      <c r="AA31" s="30"/>
      <c r="AB31" s="30">
        <v>27314</v>
      </c>
      <c r="AC31" s="30"/>
      <c r="AD31" s="31">
        <f t="shared" si="6"/>
        <v>5.3455723542116633E-2</v>
      </c>
      <c r="AE31" s="31"/>
      <c r="AF31" s="31"/>
      <c r="AG31" s="30"/>
      <c r="AH31" s="32">
        <f t="shared" si="7"/>
        <v>5.4315576802233555E-2</v>
      </c>
      <c r="AI31" s="1"/>
      <c r="AJ31" s="88">
        <f t="shared" si="14"/>
        <v>185792</v>
      </c>
      <c r="AK31" s="89"/>
      <c r="AL31" s="89">
        <v>2538888</v>
      </c>
      <c r="AM31" s="89"/>
      <c r="AN31" s="89">
        <f t="shared" si="9"/>
        <v>33752</v>
      </c>
      <c r="AO31" s="89"/>
      <c r="AP31" s="89"/>
      <c r="AQ31" s="89"/>
      <c r="AR31" s="89"/>
      <c r="AS31" s="89"/>
      <c r="AT31" s="89">
        <f t="shared" si="13"/>
        <v>255689</v>
      </c>
      <c r="AU31" s="89"/>
      <c r="AV31" s="98">
        <f t="shared" si="10"/>
        <v>0.10070905057647285</v>
      </c>
      <c r="AW31" s="89"/>
      <c r="AX31" s="110"/>
      <c r="AY31" s="228"/>
      <c r="AZ31" s="1"/>
      <c r="BA31">
        <f t="shared" si="8"/>
        <v>22</v>
      </c>
    </row>
    <row r="32" spans="2:68" x14ac:dyDescent="0.3">
      <c r="B32" s="215">
        <f t="shared" si="4"/>
        <v>43932</v>
      </c>
      <c r="D32" s="22">
        <v>30003</v>
      </c>
      <c r="E32" s="21"/>
      <c r="F32" s="21"/>
      <c r="G32" s="21"/>
      <c r="H32" s="21">
        <f t="shared" si="11"/>
        <v>532879</v>
      </c>
      <c r="I32" s="21"/>
      <c r="J32" s="51">
        <f t="shared" si="1"/>
        <v>5.9662819462451978E-2</v>
      </c>
      <c r="K32" s="21"/>
      <c r="L32" s="54"/>
      <c r="M32" s="1"/>
      <c r="N32" s="46">
        <v>1830</v>
      </c>
      <c r="O32" s="45"/>
      <c r="P32" s="45"/>
      <c r="Q32" s="45"/>
      <c r="R32" s="45">
        <f t="shared" si="12"/>
        <v>20577</v>
      </c>
      <c r="S32" s="45"/>
      <c r="T32" s="60">
        <f t="shared" si="3"/>
        <v>3.8614769957157256E-2</v>
      </c>
      <c r="U32" s="61"/>
      <c r="V32" s="71"/>
      <c r="W32" s="1"/>
      <c r="X32" s="29">
        <f t="shared" si="5"/>
        <v>3139</v>
      </c>
      <c r="Y32" s="30"/>
      <c r="Z32" s="30"/>
      <c r="AA32" s="30"/>
      <c r="AB32" s="30">
        <v>30453</v>
      </c>
      <c r="AC32" s="30"/>
      <c r="AD32" s="31">
        <f t="shared" si="6"/>
        <v>0.1149227502379732</v>
      </c>
      <c r="AE32" s="31"/>
      <c r="AF32" s="31"/>
      <c r="AG32" s="30"/>
      <c r="AH32" s="32">
        <f t="shared" si="7"/>
        <v>5.7148058001910376E-2</v>
      </c>
      <c r="AI32" s="1"/>
      <c r="AJ32" s="88">
        <f t="shared" si="14"/>
        <v>131786</v>
      </c>
      <c r="AK32" s="89"/>
      <c r="AL32" s="89">
        <v>2670674</v>
      </c>
      <c r="AM32" s="89"/>
      <c r="AN32" s="89">
        <f t="shared" si="9"/>
        <v>30003</v>
      </c>
      <c r="AO32" s="89"/>
      <c r="AP32" s="89"/>
      <c r="AQ32" s="89"/>
      <c r="AR32" s="89"/>
      <c r="AS32" s="89"/>
      <c r="AT32" s="89">
        <f t="shared" si="13"/>
        <v>285692</v>
      </c>
      <c r="AU32" s="89"/>
      <c r="AV32" s="98">
        <f t="shared" si="10"/>
        <v>0.10697374520439409</v>
      </c>
      <c r="AW32" s="89"/>
      <c r="AX32" s="110"/>
      <c r="AY32" s="228"/>
      <c r="AZ32" s="1"/>
      <c r="BA32">
        <f t="shared" si="8"/>
        <v>23</v>
      </c>
    </row>
    <row r="33" spans="2:53" x14ac:dyDescent="0.3">
      <c r="B33" s="215">
        <f t="shared" si="4"/>
        <v>43933</v>
      </c>
      <c r="D33" s="22">
        <v>27421</v>
      </c>
      <c r="E33" s="21"/>
      <c r="F33" s="21"/>
      <c r="G33" s="21"/>
      <c r="H33" s="21">
        <f t="shared" si="11"/>
        <v>560300</v>
      </c>
      <c r="I33" s="21"/>
      <c r="J33" s="51">
        <f t="shared" si="1"/>
        <v>5.14582109634645E-2</v>
      </c>
      <c r="K33" s="21"/>
      <c r="L33" s="54"/>
      <c r="M33" s="1"/>
      <c r="N33" s="46">
        <v>1528</v>
      </c>
      <c r="O33" s="45"/>
      <c r="P33" s="45"/>
      <c r="Q33" s="45"/>
      <c r="R33" s="45">
        <f t="shared" si="12"/>
        <v>22105</v>
      </c>
      <c r="S33" s="45"/>
      <c r="T33" s="60">
        <f t="shared" si="3"/>
        <v>3.9452079243262536E-2</v>
      </c>
      <c r="U33" s="61"/>
      <c r="V33" s="71"/>
      <c r="W33" s="1"/>
      <c r="X33" s="29">
        <f t="shared" si="5"/>
        <v>2181</v>
      </c>
      <c r="Y33" s="30"/>
      <c r="Z33" s="30"/>
      <c r="AA33" s="30"/>
      <c r="AB33" s="30">
        <v>32634</v>
      </c>
      <c r="AC33" s="30"/>
      <c r="AD33" s="31">
        <f t="shared" si="6"/>
        <v>7.1618559747808092E-2</v>
      </c>
      <c r="AE33" s="31"/>
      <c r="AF33" s="31"/>
      <c r="AG33" s="30"/>
      <c r="AH33" s="32">
        <f t="shared" si="7"/>
        <v>5.8243797965375689E-2</v>
      </c>
      <c r="AI33" s="1"/>
      <c r="AJ33" s="88">
        <f t="shared" si="14"/>
        <v>161584</v>
      </c>
      <c r="AK33" s="89"/>
      <c r="AL33" s="89">
        <v>2832258</v>
      </c>
      <c r="AM33" s="89"/>
      <c r="AN33" s="89">
        <f t="shared" si="9"/>
        <v>27421</v>
      </c>
      <c r="AO33" s="89"/>
      <c r="AP33" s="89"/>
      <c r="AQ33" s="89"/>
      <c r="AR33" s="89"/>
      <c r="AS33" s="89"/>
      <c r="AT33" s="89">
        <f t="shared" si="13"/>
        <v>313113</v>
      </c>
      <c r="AU33" s="89"/>
      <c r="AV33" s="98">
        <f t="shared" si="10"/>
        <v>0.1105524284863879</v>
      </c>
      <c r="AW33" s="89"/>
      <c r="AX33" s="110"/>
      <c r="AY33" s="228"/>
      <c r="AZ33" s="1"/>
      <c r="BA33">
        <f t="shared" si="8"/>
        <v>24</v>
      </c>
    </row>
    <row r="34" spans="2:53" x14ac:dyDescent="0.3">
      <c r="B34" s="215">
        <f t="shared" si="4"/>
        <v>43934</v>
      </c>
      <c r="D34" s="22">
        <v>26641</v>
      </c>
      <c r="E34" s="21"/>
      <c r="F34" s="21"/>
      <c r="G34" s="21"/>
      <c r="H34" s="21">
        <f t="shared" si="11"/>
        <v>586941</v>
      </c>
      <c r="I34" s="21"/>
      <c r="J34" s="51">
        <f t="shared" si="1"/>
        <v>4.7547742280920936E-2</v>
      </c>
      <c r="K34" s="21"/>
      <c r="L34" s="54"/>
      <c r="M34" s="1"/>
      <c r="N34" s="46">
        <v>1535</v>
      </c>
      <c r="O34" s="45"/>
      <c r="P34" s="45"/>
      <c r="Q34" s="45"/>
      <c r="R34" s="45">
        <f t="shared" si="12"/>
        <v>23640</v>
      </c>
      <c r="S34" s="45"/>
      <c r="T34" s="60">
        <f t="shared" si="3"/>
        <v>4.0276620648412705E-2</v>
      </c>
      <c r="U34" s="61"/>
      <c r="V34" s="71"/>
      <c r="W34" s="1"/>
      <c r="X34" s="29">
        <f t="shared" si="5"/>
        <v>3620</v>
      </c>
      <c r="Y34" s="30"/>
      <c r="Z34" s="30"/>
      <c r="AA34" s="30"/>
      <c r="AB34" s="30">
        <v>36254</v>
      </c>
      <c r="AC34" s="30"/>
      <c r="AD34" s="31">
        <f t="shared" si="6"/>
        <v>0.11092725378439665</v>
      </c>
      <c r="AE34" s="31"/>
      <c r="AF34" s="31"/>
      <c r="AG34" s="30"/>
      <c r="AH34" s="32">
        <f t="shared" si="7"/>
        <v>6.1767707486783167E-2</v>
      </c>
      <c r="AI34" s="1"/>
      <c r="AJ34" s="88">
        <f t="shared" si="14"/>
        <v>111697</v>
      </c>
      <c r="AK34" s="89"/>
      <c r="AL34" s="89">
        <v>2943955</v>
      </c>
      <c r="AM34" s="89"/>
      <c r="AN34" s="89">
        <f t="shared" si="9"/>
        <v>26641</v>
      </c>
      <c r="AO34" s="89"/>
      <c r="AP34" s="89"/>
      <c r="AQ34" s="89"/>
      <c r="AR34" s="89"/>
      <c r="AS34" s="89"/>
      <c r="AT34" s="89">
        <f t="shared" si="13"/>
        <v>339754</v>
      </c>
      <c r="AU34" s="89"/>
      <c r="AV34" s="98">
        <f t="shared" si="10"/>
        <v>0.11540733469091749</v>
      </c>
      <c r="AW34" s="89"/>
      <c r="AX34" s="110"/>
      <c r="AY34" s="228"/>
      <c r="AZ34" s="1"/>
      <c r="BA34">
        <f t="shared" si="8"/>
        <v>25</v>
      </c>
    </row>
    <row r="35" spans="2:53" x14ac:dyDescent="0.3">
      <c r="B35" s="215">
        <f t="shared" si="4"/>
        <v>43935</v>
      </c>
      <c r="D35" s="22">
        <v>30720</v>
      </c>
      <c r="E35" s="21"/>
      <c r="F35" s="21"/>
      <c r="G35" s="21"/>
      <c r="H35" s="21">
        <f>+H34+D35+5109-168</f>
        <v>622602</v>
      </c>
      <c r="I35" s="173" t="s">
        <v>70</v>
      </c>
      <c r="J35" s="51">
        <f t="shared" si="1"/>
        <v>5.2339161857835798E-2</v>
      </c>
      <c r="K35" s="21"/>
      <c r="L35" s="54"/>
      <c r="M35" s="1"/>
      <c r="N35" s="46">
        <v>2407</v>
      </c>
      <c r="O35" s="45"/>
      <c r="P35" s="45"/>
      <c r="Q35" s="45"/>
      <c r="R35" s="45">
        <f>+R34+N35+3778+317</f>
        <v>30142</v>
      </c>
      <c r="S35" s="174" t="s">
        <v>70</v>
      </c>
      <c r="T35" s="60">
        <f t="shared" si="3"/>
        <v>4.8412950809666531E-2</v>
      </c>
      <c r="U35" s="61"/>
      <c r="V35" s="71"/>
      <c r="W35" s="1"/>
      <c r="X35" s="29">
        <f t="shared" si="5"/>
        <v>2566</v>
      </c>
      <c r="Y35" s="30"/>
      <c r="Z35" s="30"/>
      <c r="AA35" s="30"/>
      <c r="AB35" s="30">
        <v>38820</v>
      </c>
      <c r="AC35" s="30"/>
      <c r="AD35" s="31">
        <f t="shared" si="6"/>
        <v>7.0778396866552656E-2</v>
      </c>
      <c r="AE35" s="31"/>
      <c r="AF35" s="31"/>
      <c r="AG35" s="30"/>
      <c r="AH35" s="32">
        <f t="shared" si="7"/>
        <v>6.23512291961799E-2</v>
      </c>
      <c r="AI35" s="1"/>
      <c r="AJ35" s="88">
        <f t="shared" si="14"/>
        <v>121064</v>
      </c>
      <c r="AK35" s="89"/>
      <c r="AL35" s="89">
        <v>3065019</v>
      </c>
      <c r="AM35" s="89"/>
      <c r="AN35" s="89">
        <f t="shared" si="9"/>
        <v>30720</v>
      </c>
      <c r="AO35" s="89"/>
      <c r="AP35" s="89"/>
      <c r="AQ35" s="89"/>
      <c r="AR35" s="89"/>
      <c r="AS35" s="89"/>
      <c r="AT35" s="89">
        <f t="shared" si="13"/>
        <v>370474</v>
      </c>
      <c r="AU35" s="89"/>
      <c r="AV35" s="98">
        <f t="shared" si="10"/>
        <v>0.12087168138272553</v>
      </c>
      <c r="AW35" s="89"/>
      <c r="AX35" s="110"/>
      <c r="AY35" s="228"/>
      <c r="AZ35" s="1"/>
      <c r="BA35">
        <f t="shared" si="8"/>
        <v>26</v>
      </c>
    </row>
    <row r="36" spans="2:53" x14ac:dyDescent="0.3">
      <c r="B36" s="215">
        <f t="shared" si="4"/>
        <v>43936</v>
      </c>
      <c r="D36" s="22">
        <v>30342</v>
      </c>
      <c r="E36" s="21"/>
      <c r="F36" s="21"/>
      <c r="G36" s="21"/>
      <c r="H36" s="21">
        <f t="shared" ref="H36:H45" si="15">+H35+D36</f>
        <v>652944</v>
      </c>
      <c r="I36" s="21"/>
      <c r="J36" s="51">
        <f t="shared" si="1"/>
        <v>4.8734183314541234E-2</v>
      </c>
      <c r="K36" s="21"/>
      <c r="L36" s="54"/>
      <c r="M36" s="1"/>
      <c r="N36" s="46">
        <v>2618</v>
      </c>
      <c r="O36" s="45"/>
      <c r="P36" s="45"/>
      <c r="Q36" s="45"/>
      <c r="R36" s="45">
        <f t="shared" ref="R36:R51" si="16">+R35+N36</f>
        <v>32760</v>
      </c>
      <c r="S36" s="45"/>
      <c r="T36" s="60">
        <f t="shared" si="3"/>
        <v>5.0172756009703744E-2</v>
      </c>
      <c r="U36" s="61"/>
      <c r="V36" s="71"/>
      <c r="W36" s="1"/>
      <c r="X36" s="29">
        <f t="shared" si="5"/>
        <v>9881</v>
      </c>
      <c r="Y36" s="30"/>
      <c r="Z36" s="30"/>
      <c r="AA36" s="30"/>
      <c r="AB36" s="30">
        <v>48701</v>
      </c>
      <c r="AC36" s="30"/>
      <c r="AD36" s="31">
        <f t="shared" si="6"/>
        <v>0.25453374549201441</v>
      </c>
      <c r="AE36" s="31"/>
      <c r="AF36" s="31"/>
      <c r="AG36" s="30"/>
      <c r="AH36" s="32">
        <f t="shared" si="7"/>
        <v>7.4586794579627039E-2</v>
      </c>
      <c r="AI36" s="1"/>
      <c r="AJ36" s="88">
        <f t="shared" si="14"/>
        <v>193860</v>
      </c>
      <c r="AK36" s="89"/>
      <c r="AL36" s="89">
        <v>3258879</v>
      </c>
      <c r="AM36" s="89"/>
      <c r="AN36" s="89">
        <f t="shared" si="9"/>
        <v>30342</v>
      </c>
      <c r="AO36" s="89"/>
      <c r="AP36" s="89"/>
      <c r="AQ36" s="89"/>
      <c r="AR36" s="89"/>
      <c r="AS36" s="89"/>
      <c r="AT36" s="89">
        <f t="shared" si="13"/>
        <v>400816</v>
      </c>
      <c r="AU36" s="89"/>
      <c r="AV36" s="98">
        <f t="shared" si="10"/>
        <v>0.12299198589453612</v>
      </c>
      <c r="AW36" s="89"/>
      <c r="AX36" s="110"/>
      <c r="AY36" s="228"/>
      <c r="AZ36" s="1"/>
      <c r="BA36">
        <f t="shared" si="8"/>
        <v>27</v>
      </c>
    </row>
    <row r="37" spans="2:53" x14ac:dyDescent="0.3">
      <c r="B37" s="215">
        <f t="shared" si="4"/>
        <v>43937</v>
      </c>
      <c r="D37" s="22">
        <v>29567</v>
      </c>
      <c r="E37" s="21"/>
      <c r="F37" s="21"/>
      <c r="G37" s="21"/>
      <c r="H37" s="21">
        <f t="shared" si="15"/>
        <v>682511</v>
      </c>
      <c r="I37" s="21"/>
      <c r="J37" s="51">
        <f t="shared" si="1"/>
        <v>4.5282596976157219E-2</v>
      </c>
      <c r="K37" s="21"/>
      <c r="L37" s="54"/>
      <c r="M37" s="1"/>
      <c r="N37" s="46">
        <v>2176</v>
      </c>
      <c r="O37" s="45"/>
      <c r="P37" s="45"/>
      <c r="Q37" s="45"/>
      <c r="R37" s="45">
        <f t="shared" si="16"/>
        <v>34936</v>
      </c>
      <c r="S37" s="45"/>
      <c r="T37" s="60">
        <f t="shared" si="3"/>
        <v>5.1187453389029629E-2</v>
      </c>
      <c r="U37" s="61"/>
      <c r="V37" s="71"/>
      <c r="W37" s="1"/>
      <c r="X37" s="29">
        <f t="shared" si="5"/>
        <v>8807</v>
      </c>
      <c r="Y37" s="30"/>
      <c r="Z37" s="30"/>
      <c r="AA37" s="30"/>
      <c r="AB37" s="30">
        <v>57508</v>
      </c>
      <c r="AC37" s="30"/>
      <c r="AD37" s="31">
        <f t="shared" si="6"/>
        <v>0.1808381758074783</v>
      </c>
      <c r="AE37" s="31"/>
      <c r="AF37" s="31"/>
      <c r="AG37" s="30"/>
      <c r="AH37" s="32">
        <f t="shared" si="7"/>
        <v>8.4259447833075221E-2</v>
      </c>
      <c r="AI37" s="1"/>
      <c r="AJ37" s="88">
        <f t="shared" si="14"/>
        <v>139261</v>
      </c>
      <c r="AK37" s="89"/>
      <c r="AL37" s="89">
        <v>3398140</v>
      </c>
      <c r="AM37" s="89"/>
      <c r="AN37" s="89">
        <f t="shared" si="9"/>
        <v>29567</v>
      </c>
      <c r="AO37" s="89"/>
      <c r="AP37" s="89"/>
      <c r="AQ37" s="89"/>
      <c r="AR37" s="89"/>
      <c r="AS37" s="89"/>
      <c r="AT37" s="89">
        <f t="shared" si="13"/>
        <v>430383</v>
      </c>
      <c r="AU37" s="89"/>
      <c r="AV37" s="98">
        <f t="shared" si="10"/>
        <v>0.12665252167362145</v>
      </c>
      <c r="AW37" s="89"/>
      <c r="AX37" s="110"/>
      <c r="AY37" s="228"/>
      <c r="AZ37" s="1"/>
      <c r="BA37">
        <f t="shared" si="8"/>
        <v>28</v>
      </c>
    </row>
    <row r="38" spans="2:53" x14ac:dyDescent="0.3">
      <c r="B38" s="215">
        <f t="shared" si="4"/>
        <v>43938</v>
      </c>
      <c r="D38" s="22">
        <v>32165</v>
      </c>
      <c r="E38" s="21"/>
      <c r="F38" s="21"/>
      <c r="G38" s="21"/>
      <c r="H38" s="21">
        <f t="shared" si="15"/>
        <v>714676</v>
      </c>
      <c r="I38" s="21"/>
      <c r="J38" s="51">
        <f t="shared" si="1"/>
        <v>4.7127445564979907E-2</v>
      </c>
      <c r="K38" s="21"/>
      <c r="L38" s="54"/>
      <c r="M38" s="1"/>
      <c r="N38" s="46">
        <v>2528</v>
      </c>
      <c r="O38" s="45"/>
      <c r="P38" s="45"/>
      <c r="Q38" s="45"/>
      <c r="R38" s="45">
        <f t="shared" si="16"/>
        <v>37464</v>
      </c>
      <c r="S38" s="45"/>
      <c r="T38" s="60">
        <f t="shared" si="3"/>
        <v>5.2420957188991937E-2</v>
      </c>
      <c r="U38" s="61"/>
      <c r="V38" s="71"/>
      <c r="W38" s="1"/>
      <c r="X38" s="29">
        <f t="shared" si="5"/>
        <v>3002</v>
      </c>
      <c r="Y38" s="30"/>
      <c r="Z38" s="30"/>
      <c r="AA38" s="30"/>
      <c r="AB38" s="30">
        <v>60510</v>
      </c>
      <c r="AC38" s="30"/>
      <c r="AD38" s="31">
        <f t="shared" si="6"/>
        <v>5.2201432844126032E-2</v>
      </c>
      <c r="AE38" s="31"/>
      <c r="AF38" s="31"/>
      <c r="AG38" s="30"/>
      <c r="AH38" s="32">
        <f t="shared" si="7"/>
        <v>8.4667737548203656E-2</v>
      </c>
      <c r="AI38" s="1"/>
      <c r="AJ38" s="88">
        <f t="shared" si="14"/>
        <v>174117</v>
      </c>
      <c r="AK38" s="89"/>
      <c r="AL38" s="89">
        <v>3572257</v>
      </c>
      <c r="AM38" s="89"/>
      <c r="AN38" s="89">
        <f t="shared" si="9"/>
        <v>32165</v>
      </c>
      <c r="AO38" s="89"/>
      <c r="AP38" s="89"/>
      <c r="AQ38" s="89"/>
      <c r="AR38" s="89"/>
      <c r="AS38" s="89"/>
      <c r="AT38" s="89">
        <f t="shared" si="13"/>
        <v>462548</v>
      </c>
      <c r="AU38" s="89"/>
      <c r="AV38" s="98">
        <f t="shared" si="10"/>
        <v>0.12948340502936939</v>
      </c>
      <c r="AW38" s="89"/>
      <c r="AX38" s="110"/>
      <c r="AY38" s="228"/>
      <c r="AZ38" s="1"/>
      <c r="BA38">
        <f t="shared" si="8"/>
        <v>29</v>
      </c>
    </row>
    <row r="39" spans="2:53" x14ac:dyDescent="0.3">
      <c r="B39" s="230">
        <f t="shared" si="4"/>
        <v>43939</v>
      </c>
      <c r="C39" s="231"/>
      <c r="D39" s="232">
        <v>29057</v>
      </c>
      <c r="E39" s="232"/>
      <c r="F39" s="232"/>
      <c r="G39" s="232"/>
      <c r="H39" s="232">
        <f t="shared" si="15"/>
        <v>743733</v>
      </c>
      <c r="I39" s="232"/>
      <c r="J39" s="233">
        <f t="shared" si="1"/>
        <v>4.0657584695722254E-2</v>
      </c>
      <c r="K39" s="232"/>
      <c r="L39" s="232"/>
      <c r="M39" s="232"/>
      <c r="N39" s="232">
        <v>1867</v>
      </c>
      <c r="O39" s="232"/>
      <c r="P39" s="232"/>
      <c r="Q39" s="232"/>
      <c r="R39" s="232">
        <f t="shared" si="16"/>
        <v>39331</v>
      </c>
      <c r="S39" s="232"/>
      <c r="T39" s="233">
        <f t="shared" si="3"/>
        <v>5.2883225566164205E-2</v>
      </c>
      <c r="U39" s="232"/>
      <c r="V39" s="232"/>
      <c r="W39" s="232"/>
      <c r="X39" s="232">
        <f t="shared" si="5"/>
        <v>7759</v>
      </c>
      <c r="Y39" s="232"/>
      <c r="Z39" s="232"/>
      <c r="AA39" s="232"/>
      <c r="AB39" s="232">
        <v>68269</v>
      </c>
      <c r="AC39" s="232"/>
      <c r="AD39" s="233">
        <f t="shared" si="6"/>
        <v>0.12822673938192033</v>
      </c>
      <c r="AE39" s="233"/>
      <c r="AF39" s="233"/>
      <c r="AG39" s="232"/>
      <c r="AH39" s="233">
        <f t="shared" si="7"/>
        <v>9.1792350211702317E-2</v>
      </c>
      <c r="AI39" s="232"/>
      <c r="AJ39" s="232">
        <f t="shared" si="14"/>
        <v>149888</v>
      </c>
      <c r="AK39" s="232"/>
      <c r="AL39" s="232">
        <v>3722145</v>
      </c>
      <c r="AM39" s="232"/>
      <c r="AN39" s="232">
        <f t="shared" si="9"/>
        <v>29057</v>
      </c>
      <c r="AO39" s="232"/>
      <c r="AP39" s="232"/>
      <c r="AQ39" s="232"/>
      <c r="AR39" s="232"/>
      <c r="AS39" s="232"/>
      <c r="AT39" s="232">
        <f t="shared" si="13"/>
        <v>491605</v>
      </c>
      <c r="AU39" s="232"/>
      <c r="AV39" s="233">
        <f t="shared" si="10"/>
        <v>0.13207572515310392</v>
      </c>
      <c r="AW39" s="232"/>
      <c r="AX39" s="234"/>
      <c r="AY39" s="232"/>
      <c r="AZ39" s="232"/>
      <c r="BA39" s="235">
        <f t="shared" si="8"/>
        <v>30</v>
      </c>
    </row>
    <row r="40" spans="2:53" x14ac:dyDescent="0.3">
      <c r="B40" s="215">
        <f t="shared" si="4"/>
        <v>43940</v>
      </c>
      <c r="C40" s="83"/>
      <c r="D40" s="22">
        <v>26183</v>
      </c>
      <c r="E40" s="21"/>
      <c r="F40" s="21"/>
      <c r="G40" s="21"/>
      <c r="H40" s="21">
        <f t="shared" si="15"/>
        <v>769916</v>
      </c>
      <c r="I40" s="21"/>
      <c r="J40" s="51">
        <f t="shared" si="1"/>
        <v>3.5204838295463559E-2</v>
      </c>
      <c r="K40" s="21"/>
      <c r="L40" s="54"/>
      <c r="M40" s="1"/>
      <c r="N40" s="46">
        <v>1570</v>
      </c>
      <c r="O40" s="45"/>
      <c r="P40" s="45"/>
      <c r="Q40" s="45"/>
      <c r="R40" s="45">
        <f t="shared" si="16"/>
        <v>40901</v>
      </c>
      <c r="S40" s="45"/>
      <c r="T40" s="60">
        <f t="shared" si="3"/>
        <v>5.312397716114485E-2</v>
      </c>
      <c r="U40" s="61"/>
      <c r="V40" s="71"/>
      <c r="W40" s="1"/>
      <c r="X40" s="29">
        <f t="shared" si="5"/>
        <v>2734</v>
      </c>
      <c r="Y40" s="30"/>
      <c r="Z40" s="30"/>
      <c r="AA40" s="30"/>
      <c r="AB40" s="30">
        <v>71003</v>
      </c>
      <c r="AC40" s="30"/>
      <c r="AD40" s="31">
        <f t="shared" si="6"/>
        <v>4.004745931535543E-2</v>
      </c>
      <c r="AE40" s="31"/>
      <c r="AF40" s="31"/>
      <c r="AG40" s="30"/>
      <c r="AH40" s="32">
        <f t="shared" si="7"/>
        <v>9.2221748866110065E-2</v>
      </c>
      <c r="AI40" s="1"/>
      <c r="AJ40" s="88">
        <f t="shared" si="14"/>
        <v>139404</v>
      </c>
      <c r="AK40" s="89"/>
      <c r="AL40" s="89">
        <v>3861549</v>
      </c>
      <c r="AM40" s="89"/>
      <c r="AN40" s="89">
        <f t="shared" si="9"/>
        <v>26183</v>
      </c>
      <c r="AO40" s="89"/>
      <c r="AP40" s="197">
        <f t="shared" ref="AP40:AP51" si="17">+AN40/AJ40</f>
        <v>0.18782100944018823</v>
      </c>
      <c r="AQ40" s="89"/>
      <c r="AR40" s="89"/>
      <c r="AS40" s="89"/>
      <c r="AT40" s="89">
        <f t="shared" si="13"/>
        <v>517788</v>
      </c>
      <c r="AU40" s="89"/>
      <c r="AV40" s="98">
        <f t="shared" si="10"/>
        <v>0.13408815995860729</v>
      </c>
      <c r="AW40" s="89"/>
      <c r="AX40" s="110"/>
      <c r="AY40" s="228"/>
      <c r="AZ40" s="1"/>
      <c r="BA40">
        <f t="shared" si="8"/>
        <v>31</v>
      </c>
    </row>
    <row r="41" spans="2:53" x14ac:dyDescent="0.3">
      <c r="B41" s="215">
        <f t="shared" si="4"/>
        <v>43941</v>
      </c>
      <c r="C41" s="83"/>
      <c r="D41" s="22">
        <v>28143</v>
      </c>
      <c r="E41" s="21"/>
      <c r="F41" s="21"/>
      <c r="G41" s="21"/>
      <c r="H41" s="21">
        <f t="shared" si="15"/>
        <v>798059</v>
      </c>
      <c r="I41" s="21"/>
      <c r="J41" s="51">
        <f t="shared" si="1"/>
        <v>3.6553338286254601E-2</v>
      </c>
      <c r="K41" s="21"/>
      <c r="L41" s="54"/>
      <c r="M41" s="1"/>
      <c r="N41" s="46">
        <v>1952</v>
      </c>
      <c r="O41" s="45"/>
      <c r="P41" s="45"/>
      <c r="Q41" s="45"/>
      <c r="R41" s="45">
        <f t="shared" si="16"/>
        <v>42853</v>
      </c>
      <c r="S41" s="45"/>
      <c r="T41" s="60">
        <f t="shared" si="3"/>
        <v>5.369653120884546E-2</v>
      </c>
      <c r="U41" s="61"/>
      <c r="V41" s="71"/>
      <c r="W41" s="1"/>
      <c r="X41" s="29">
        <f t="shared" si="5"/>
        <v>1386</v>
      </c>
      <c r="Y41" s="30"/>
      <c r="Z41" s="30"/>
      <c r="AA41" s="30"/>
      <c r="AB41" s="30">
        <v>72389</v>
      </c>
      <c r="AC41" s="30"/>
      <c r="AD41" s="31">
        <f t="shared" si="6"/>
        <v>1.9520301959072152E-2</v>
      </c>
      <c r="AE41" s="31"/>
      <c r="AF41" s="31"/>
      <c r="AG41" s="30"/>
      <c r="AH41" s="32">
        <f t="shared" si="7"/>
        <v>9.0706326224000988E-2</v>
      </c>
      <c r="AI41" s="1"/>
      <c r="AJ41" s="88">
        <f t="shared" si="14"/>
        <v>164811</v>
      </c>
      <c r="AK41" s="89"/>
      <c r="AL41" s="89">
        <v>4026360</v>
      </c>
      <c r="AM41" s="89"/>
      <c r="AN41" s="89">
        <f t="shared" si="9"/>
        <v>28143</v>
      </c>
      <c r="AO41" s="89"/>
      <c r="AP41" s="197">
        <f t="shared" si="17"/>
        <v>0.17075923330360232</v>
      </c>
      <c r="AQ41" s="89"/>
      <c r="AR41" s="89"/>
      <c r="AS41" s="89"/>
      <c r="AT41" s="89">
        <f t="shared" si="13"/>
        <v>545931</v>
      </c>
      <c r="AU41" s="89"/>
      <c r="AV41" s="98">
        <f t="shared" si="10"/>
        <v>0.13558921705957738</v>
      </c>
      <c r="AW41" s="89"/>
      <c r="AX41" s="110"/>
      <c r="AY41" s="228"/>
      <c r="AZ41" s="1"/>
      <c r="BA41">
        <f t="shared" si="8"/>
        <v>32</v>
      </c>
    </row>
    <row r="42" spans="2:53" x14ac:dyDescent="0.3">
      <c r="B42" s="215">
        <f t="shared" si="4"/>
        <v>43942</v>
      </c>
      <c r="C42" s="83"/>
      <c r="D42" s="22">
        <v>26105</v>
      </c>
      <c r="E42" s="21"/>
      <c r="F42" s="21"/>
      <c r="G42" s="21"/>
      <c r="H42" s="21">
        <f t="shared" si="15"/>
        <v>824164</v>
      </c>
      <c r="I42" s="21"/>
      <c r="J42" s="51">
        <f t="shared" si="1"/>
        <v>3.2710614127526912E-2</v>
      </c>
      <c r="K42" s="21"/>
      <c r="L42" s="54"/>
      <c r="M42" s="1"/>
      <c r="N42" s="46">
        <v>2683</v>
      </c>
      <c r="O42" s="45"/>
      <c r="P42" s="45"/>
      <c r="Q42" s="45"/>
      <c r="R42" s="45">
        <f t="shared" si="16"/>
        <v>45536</v>
      </c>
      <c r="S42" s="45"/>
      <c r="T42" s="60">
        <f t="shared" si="3"/>
        <v>5.5251139336345678E-2</v>
      </c>
      <c r="U42" s="61"/>
      <c r="V42" s="71"/>
      <c r="W42" s="1"/>
      <c r="X42" s="29">
        <f t="shared" si="5"/>
        <v>10534</v>
      </c>
      <c r="Y42" s="30"/>
      <c r="Z42" s="30"/>
      <c r="AA42" s="30"/>
      <c r="AB42" s="30">
        <v>82923</v>
      </c>
      <c r="AC42" s="30"/>
      <c r="AD42" s="31">
        <f t="shared" si="6"/>
        <v>0.14551934686209231</v>
      </c>
      <c r="AE42" s="31"/>
      <c r="AF42" s="31"/>
      <c r="AG42" s="30"/>
      <c r="AH42" s="32">
        <f t="shared" si="7"/>
        <v>0.10061468348532573</v>
      </c>
      <c r="AI42" s="1"/>
      <c r="AJ42" s="88">
        <f t="shared" si="14"/>
        <v>161032</v>
      </c>
      <c r="AK42" s="89"/>
      <c r="AL42" s="89">
        <v>4187392</v>
      </c>
      <c r="AM42" s="89"/>
      <c r="AN42" s="89">
        <f t="shared" si="9"/>
        <v>26105</v>
      </c>
      <c r="AO42" s="89"/>
      <c r="AP42" s="197">
        <f t="shared" si="17"/>
        <v>0.16211063639525064</v>
      </c>
      <c r="AQ42" s="89"/>
      <c r="AR42" s="89"/>
      <c r="AS42" s="89"/>
      <c r="AT42" s="89">
        <f t="shared" si="13"/>
        <v>572036</v>
      </c>
      <c r="AU42" s="89"/>
      <c r="AV42" s="98">
        <f t="shared" si="10"/>
        <v>0.13660913523262211</v>
      </c>
      <c r="AW42" s="89"/>
      <c r="AX42" s="110"/>
      <c r="AY42" s="228"/>
      <c r="AZ42" s="1"/>
      <c r="BA42">
        <f t="shared" si="8"/>
        <v>33</v>
      </c>
    </row>
    <row r="43" spans="2:53" x14ac:dyDescent="0.3">
      <c r="B43" s="215">
        <f t="shared" si="4"/>
        <v>43943</v>
      </c>
      <c r="C43" s="83"/>
      <c r="D43" s="22">
        <v>30210</v>
      </c>
      <c r="E43" s="21"/>
      <c r="F43" s="21"/>
      <c r="G43" s="21"/>
      <c r="H43" s="21">
        <f t="shared" si="15"/>
        <v>854374</v>
      </c>
      <c r="I43" s="21"/>
      <c r="J43" s="51">
        <f t="shared" si="1"/>
        <v>3.6655325881741981E-2</v>
      </c>
      <c r="K43" s="21"/>
      <c r="L43" s="54"/>
      <c r="M43" s="1"/>
      <c r="N43" s="46">
        <v>2358</v>
      </c>
      <c r="O43" s="45"/>
      <c r="P43" s="45"/>
      <c r="Q43" s="45"/>
      <c r="R43" s="45">
        <f t="shared" si="16"/>
        <v>47894</v>
      </c>
      <c r="S43" s="45"/>
      <c r="T43" s="60">
        <f t="shared" si="3"/>
        <v>5.6057417477591784E-2</v>
      </c>
      <c r="U43" s="61"/>
      <c r="V43" s="71"/>
      <c r="W43" s="1"/>
      <c r="X43" s="29">
        <f t="shared" si="5"/>
        <v>1127</v>
      </c>
      <c r="Y43" s="30"/>
      <c r="Z43" s="30"/>
      <c r="AA43" s="30"/>
      <c r="AB43" s="30">
        <v>84050</v>
      </c>
      <c r="AC43" s="30"/>
      <c r="AD43" s="31">
        <f t="shared" si="6"/>
        <v>1.3590921698443134E-2</v>
      </c>
      <c r="AE43" s="31"/>
      <c r="AF43" s="31"/>
      <c r="AG43" s="30"/>
      <c r="AH43" s="32">
        <f t="shared" si="7"/>
        <v>9.8376120996191363E-2</v>
      </c>
      <c r="AI43" s="1"/>
      <c r="AJ43" s="88">
        <f t="shared" si="14"/>
        <v>137950</v>
      </c>
      <c r="AK43" s="89"/>
      <c r="AL43" s="89">
        <v>4325342</v>
      </c>
      <c r="AM43" s="89"/>
      <c r="AN43" s="89">
        <f t="shared" si="9"/>
        <v>30210</v>
      </c>
      <c r="AO43" s="89"/>
      <c r="AP43" s="197">
        <f t="shared" si="17"/>
        <v>0.21899238854657485</v>
      </c>
      <c r="AQ43" s="89"/>
      <c r="AR43" s="89"/>
      <c r="AS43" s="89"/>
      <c r="AT43" s="89">
        <f t="shared" si="13"/>
        <v>602246</v>
      </c>
      <c r="AU43" s="89"/>
      <c r="AV43" s="98">
        <f t="shared" si="10"/>
        <v>0.13923661990196382</v>
      </c>
      <c r="AW43" s="89"/>
      <c r="AX43" s="110"/>
      <c r="AY43" s="228"/>
      <c r="AZ43" s="1"/>
      <c r="BA43">
        <f t="shared" si="8"/>
        <v>34</v>
      </c>
    </row>
    <row r="44" spans="2:53" x14ac:dyDescent="0.3">
      <c r="B44" s="215">
        <f t="shared" si="4"/>
        <v>43944</v>
      </c>
      <c r="C44" s="83"/>
      <c r="D44" s="22">
        <v>31900</v>
      </c>
      <c r="E44" s="21"/>
      <c r="F44" s="21"/>
      <c r="G44" s="21"/>
      <c r="H44" s="21">
        <f t="shared" si="15"/>
        <v>886274</v>
      </c>
      <c r="I44" s="21"/>
      <c r="J44" s="51">
        <f t="shared" si="1"/>
        <v>3.7337278522052403E-2</v>
      </c>
      <c r="K44" s="21"/>
      <c r="L44" s="54"/>
      <c r="M44" s="1"/>
      <c r="N44" s="46">
        <v>2340</v>
      </c>
      <c r="O44" s="45"/>
      <c r="P44" s="45"/>
      <c r="Q44" s="45"/>
      <c r="R44" s="45">
        <f t="shared" si="16"/>
        <v>50234</v>
      </c>
      <c r="S44" s="45"/>
      <c r="T44" s="60">
        <f t="shared" si="3"/>
        <v>5.6679988355745517E-2</v>
      </c>
      <c r="U44" s="61"/>
      <c r="V44" s="71"/>
      <c r="W44" s="1"/>
      <c r="X44" s="29">
        <f t="shared" si="5"/>
        <v>1872</v>
      </c>
      <c r="Y44" s="30"/>
      <c r="Z44" s="30"/>
      <c r="AA44" s="30"/>
      <c r="AB44" s="30">
        <v>85922</v>
      </c>
      <c r="AC44" s="30"/>
      <c r="AD44" s="31">
        <f t="shared" si="6"/>
        <v>2.2272456870910173E-2</v>
      </c>
      <c r="AE44" s="31"/>
      <c r="AF44" s="31"/>
      <c r="AG44" s="30"/>
      <c r="AH44" s="32">
        <f t="shared" si="7"/>
        <v>9.6947445146760486E-2</v>
      </c>
      <c r="AI44" s="1"/>
      <c r="AJ44" s="88">
        <f t="shared" si="14"/>
        <v>371362</v>
      </c>
      <c r="AK44" s="89"/>
      <c r="AL44" s="89">
        <v>4696704</v>
      </c>
      <c r="AM44" s="89"/>
      <c r="AN44" s="89">
        <f t="shared" si="9"/>
        <v>31900</v>
      </c>
      <c r="AO44" s="89"/>
      <c r="AP44" s="197">
        <f t="shared" si="17"/>
        <v>8.590001130971936E-2</v>
      </c>
      <c r="AQ44" s="89"/>
      <c r="AR44" s="89"/>
      <c r="AS44" s="89"/>
      <c r="AT44" s="89">
        <f t="shared" si="13"/>
        <v>634146</v>
      </c>
      <c r="AU44" s="89"/>
      <c r="AV44" s="98">
        <f t="shared" si="10"/>
        <v>0.13501936677295398</v>
      </c>
      <c r="AW44" s="89"/>
      <c r="AX44" s="110"/>
      <c r="AY44" s="228"/>
      <c r="AZ44" s="1"/>
      <c r="BA44">
        <f t="shared" si="8"/>
        <v>35</v>
      </c>
    </row>
    <row r="45" spans="2:53" x14ac:dyDescent="0.3">
      <c r="B45" s="215">
        <f t="shared" si="4"/>
        <v>43945</v>
      </c>
      <c r="C45" s="83"/>
      <c r="D45" s="22">
        <v>38764</v>
      </c>
      <c r="E45" s="21"/>
      <c r="F45" s="21"/>
      <c r="G45" s="21"/>
      <c r="H45" s="21">
        <f t="shared" si="15"/>
        <v>925038</v>
      </c>
      <c r="I45" s="21"/>
      <c r="J45" s="51">
        <f t="shared" si="1"/>
        <v>4.3738166752042819E-2</v>
      </c>
      <c r="K45" s="21"/>
      <c r="L45" s="54"/>
      <c r="M45" s="1"/>
      <c r="N45" s="46">
        <v>1957</v>
      </c>
      <c r="O45" s="45"/>
      <c r="P45" s="45"/>
      <c r="Q45" s="45"/>
      <c r="R45" s="45">
        <f t="shared" si="16"/>
        <v>52191</v>
      </c>
      <c r="S45" s="45"/>
      <c r="T45" s="60">
        <f t="shared" si="3"/>
        <v>5.6420384892296317E-2</v>
      </c>
      <c r="U45" s="61"/>
      <c r="V45" s="71"/>
      <c r="W45" s="1"/>
      <c r="X45" s="29">
        <f t="shared" si="5"/>
        <v>24510</v>
      </c>
      <c r="Y45" s="30"/>
      <c r="Z45" s="30"/>
      <c r="AA45" s="30"/>
      <c r="AB45" s="30">
        <v>110432</v>
      </c>
      <c r="AC45" s="30"/>
      <c r="AD45" s="31">
        <f t="shared" si="6"/>
        <v>0.28525872302786248</v>
      </c>
      <c r="AE45" s="31"/>
      <c r="AF45" s="31"/>
      <c r="AG45" s="30"/>
      <c r="AH45" s="32">
        <f t="shared" si="7"/>
        <v>0.11938104164369463</v>
      </c>
      <c r="AI45" s="1"/>
      <c r="AJ45" s="88">
        <f t="shared" si="14"/>
        <v>318898</v>
      </c>
      <c r="AK45" s="89"/>
      <c r="AL45" s="89">
        <v>5015602</v>
      </c>
      <c r="AM45" s="89"/>
      <c r="AN45" s="89">
        <f t="shared" si="9"/>
        <v>38764</v>
      </c>
      <c r="AO45" s="89"/>
      <c r="AP45" s="197">
        <f t="shared" si="17"/>
        <v>0.12155610884985167</v>
      </c>
      <c r="AQ45" s="89"/>
      <c r="AR45" s="89"/>
      <c r="AS45" s="89"/>
      <c r="AT45" s="89">
        <f t="shared" si="13"/>
        <v>672910</v>
      </c>
      <c r="AU45" s="89"/>
      <c r="AV45" s="98">
        <f t="shared" si="10"/>
        <v>0.13416335666187229</v>
      </c>
      <c r="AW45" s="89"/>
      <c r="AX45" s="110"/>
      <c r="AY45" s="228"/>
      <c r="AZ45" s="1"/>
      <c r="BA45">
        <f t="shared" si="8"/>
        <v>36</v>
      </c>
    </row>
    <row r="46" spans="2:53" x14ac:dyDescent="0.3">
      <c r="B46" s="215">
        <f t="shared" si="4"/>
        <v>43946</v>
      </c>
      <c r="C46" s="83"/>
      <c r="D46" s="22">
        <v>35419</v>
      </c>
      <c r="E46" s="21"/>
      <c r="F46" s="21"/>
      <c r="G46" s="21"/>
      <c r="H46" s="21">
        <f>+H45+D46+194</f>
        <v>960651</v>
      </c>
      <c r="I46" s="21"/>
      <c r="J46" s="51">
        <f t="shared" si="1"/>
        <v>3.8289237847526261E-2</v>
      </c>
      <c r="K46" s="21"/>
      <c r="L46" s="54"/>
      <c r="M46" s="1"/>
      <c r="N46" s="46">
        <v>2065</v>
      </c>
      <c r="O46" s="45"/>
      <c r="P46" s="45"/>
      <c r="Q46" s="45"/>
      <c r="R46" s="45">
        <f t="shared" si="16"/>
        <v>54256</v>
      </c>
      <c r="S46" s="45"/>
      <c r="T46" s="60">
        <f t="shared" si="3"/>
        <v>5.6478367273859083E-2</v>
      </c>
      <c r="U46" s="61"/>
      <c r="V46" s="71"/>
      <c r="W46" s="1"/>
      <c r="X46" s="29">
        <f t="shared" si="5"/>
        <v>7730</v>
      </c>
      <c r="Y46" s="30"/>
      <c r="Z46" s="30"/>
      <c r="AA46" s="30"/>
      <c r="AB46" s="30">
        <v>118162</v>
      </c>
      <c r="AC46" s="30"/>
      <c r="AD46" s="31">
        <f t="shared" si="6"/>
        <v>6.9997826716893655E-2</v>
      </c>
      <c r="AE46" s="31"/>
      <c r="AF46" s="31"/>
      <c r="AG46" s="30"/>
      <c r="AH46" s="32">
        <f t="shared" si="7"/>
        <v>0.12300200593139445</v>
      </c>
      <c r="AI46" s="1"/>
      <c r="AJ46" s="88">
        <f t="shared" si="14"/>
        <v>263635</v>
      </c>
      <c r="AK46" s="89"/>
      <c r="AL46" s="89">
        <v>5279237</v>
      </c>
      <c r="AM46" s="89"/>
      <c r="AN46" s="89">
        <f t="shared" si="9"/>
        <v>35419</v>
      </c>
      <c r="AO46" s="89"/>
      <c r="AP46" s="197">
        <f t="shared" si="17"/>
        <v>0.13434862594116867</v>
      </c>
      <c r="AQ46" s="89"/>
      <c r="AR46" s="89"/>
      <c r="AS46" s="89"/>
      <c r="AT46" s="89">
        <f t="shared" si="13"/>
        <v>708329</v>
      </c>
      <c r="AU46" s="89"/>
      <c r="AV46" s="98">
        <f t="shared" si="10"/>
        <v>0.13417260865537955</v>
      </c>
      <c r="AW46" s="89"/>
      <c r="AX46" s="110"/>
      <c r="AY46" s="228"/>
      <c r="AZ46" s="1"/>
      <c r="BA46">
        <f t="shared" si="8"/>
        <v>37</v>
      </c>
    </row>
    <row r="47" spans="2:53" x14ac:dyDescent="0.3">
      <c r="B47" s="215">
        <f t="shared" si="4"/>
        <v>43947</v>
      </c>
      <c r="C47" s="83"/>
      <c r="D47" s="22">
        <v>26509</v>
      </c>
      <c r="E47" s="21"/>
      <c r="F47" s="21"/>
      <c r="G47" s="21"/>
      <c r="H47" s="21">
        <f t="shared" ref="H47:H52" si="18">+H46+D47</f>
        <v>987160</v>
      </c>
      <c r="I47" s="21"/>
      <c r="J47" s="51">
        <f t="shared" si="1"/>
        <v>2.759482892330305E-2</v>
      </c>
      <c r="K47" s="21"/>
      <c r="L47" s="54"/>
      <c r="M47" s="1"/>
      <c r="N47" s="46">
        <v>1156</v>
      </c>
      <c r="O47" s="45"/>
      <c r="P47" s="45"/>
      <c r="Q47" s="45"/>
      <c r="R47" s="45">
        <f t="shared" si="16"/>
        <v>55412</v>
      </c>
      <c r="S47" s="45"/>
      <c r="T47" s="60">
        <f t="shared" si="3"/>
        <v>5.6132744438591516E-2</v>
      </c>
      <c r="U47" s="61"/>
      <c r="V47" s="71"/>
      <c r="W47" s="1"/>
      <c r="X47" s="29">
        <f t="shared" si="5"/>
        <v>619</v>
      </c>
      <c r="Y47" s="30"/>
      <c r="Z47" s="30"/>
      <c r="AA47" s="30"/>
      <c r="AB47" s="30">
        <v>118781</v>
      </c>
      <c r="AC47" s="30"/>
      <c r="AD47" s="31">
        <f t="shared" si="6"/>
        <v>5.238570775714697E-3</v>
      </c>
      <c r="AE47" s="31"/>
      <c r="AF47" s="31"/>
      <c r="AG47" s="30"/>
      <c r="AH47" s="32">
        <f t="shared" si="7"/>
        <v>0.12032598565582074</v>
      </c>
      <c r="AI47" s="1"/>
      <c r="AJ47" s="88">
        <f t="shared" si="14"/>
        <v>191227</v>
      </c>
      <c r="AK47" s="89"/>
      <c r="AL47" s="89">
        <v>5470464</v>
      </c>
      <c r="AM47" s="89"/>
      <c r="AN47" s="89">
        <f t="shared" si="9"/>
        <v>26509</v>
      </c>
      <c r="AO47" s="89"/>
      <c r="AP47" s="197">
        <f t="shared" si="17"/>
        <v>0.13862582166744236</v>
      </c>
      <c r="AQ47" s="89"/>
      <c r="AR47" s="89"/>
      <c r="AS47" s="89"/>
      <c r="AT47" s="89">
        <f t="shared" si="13"/>
        <v>734838</v>
      </c>
      <c r="AU47" s="89"/>
      <c r="AV47" s="98">
        <f t="shared" si="10"/>
        <v>0.13432827635827602</v>
      </c>
      <c r="AW47" s="89"/>
      <c r="AX47" s="110"/>
      <c r="AY47" s="228"/>
      <c r="AZ47" s="1"/>
      <c r="BA47">
        <f t="shared" si="8"/>
        <v>38</v>
      </c>
    </row>
    <row r="48" spans="2:53" x14ac:dyDescent="0.3">
      <c r="B48" s="215">
        <f t="shared" si="4"/>
        <v>43948</v>
      </c>
      <c r="C48" s="83"/>
      <c r="D48" s="22">
        <v>23196</v>
      </c>
      <c r="E48" s="21"/>
      <c r="F48" s="21"/>
      <c r="G48" s="21"/>
      <c r="H48" s="21">
        <f t="shared" si="18"/>
        <v>1010356</v>
      </c>
      <c r="I48" s="21"/>
      <c r="J48" s="51">
        <f t="shared" si="1"/>
        <v>2.3497710604157382E-2</v>
      </c>
      <c r="K48" s="21"/>
      <c r="L48" s="54"/>
      <c r="M48" s="1"/>
      <c r="N48" s="46">
        <f>1384-1</f>
        <v>1383</v>
      </c>
      <c r="O48" s="45"/>
      <c r="P48" s="45"/>
      <c r="Q48" s="45"/>
      <c r="R48" s="45">
        <f t="shared" si="16"/>
        <v>56795</v>
      </c>
      <c r="S48" s="45"/>
      <c r="T48" s="60">
        <f t="shared" si="3"/>
        <v>5.6212859625716087E-2</v>
      </c>
      <c r="U48" s="61"/>
      <c r="V48" s="71"/>
      <c r="W48" s="1"/>
      <c r="X48" s="29">
        <f t="shared" si="5"/>
        <v>19024</v>
      </c>
      <c r="Y48" s="30"/>
      <c r="Z48" s="30"/>
      <c r="AA48" s="30"/>
      <c r="AB48" s="30">
        <v>137805</v>
      </c>
      <c r="AC48" s="30"/>
      <c r="AD48" s="31">
        <f t="shared" si="6"/>
        <v>0.16016029499667456</v>
      </c>
      <c r="AE48" s="31"/>
      <c r="AF48" s="31"/>
      <c r="AG48" s="30"/>
      <c r="AH48" s="32">
        <f t="shared" si="7"/>
        <v>0.13639251907248534</v>
      </c>
      <c r="AI48" s="1"/>
      <c r="AJ48" s="88">
        <f t="shared" si="14"/>
        <v>202776</v>
      </c>
      <c r="AK48" s="89"/>
      <c r="AL48" s="89">
        <v>5673240</v>
      </c>
      <c r="AM48" s="89"/>
      <c r="AN48" s="89">
        <f t="shared" si="9"/>
        <v>23196</v>
      </c>
      <c r="AO48" s="89"/>
      <c r="AP48" s="197">
        <f t="shared" si="17"/>
        <v>0.11439223576754645</v>
      </c>
      <c r="AQ48" s="89"/>
      <c r="AR48" s="89"/>
      <c r="AS48" s="89"/>
      <c r="AT48" s="89">
        <f t="shared" si="13"/>
        <v>758034</v>
      </c>
      <c r="AU48" s="89"/>
      <c r="AV48" s="98">
        <f t="shared" si="10"/>
        <v>0.133615711656831</v>
      </c>
      <c r="AW48" s="89"/>
      <c r="AX48" s="110"/>
      <c r="AY48" s="228"/>
      <c r="AZ48" s="1"/>
      <c r="BA48">
        <f t="shared" si="8"/>
        <v>39</v>
      </c>
    </row>
    <row r="49" spans="2:53" x14ac:dyDescent="0.3">
      <c r="B49" s="215">
        <f t="shared" si="4"/>
        <v>43949</v>
      </c>
      <c r="C49" s="83"/>
      <c r="D49" s="22">
        <v>25409</v>
      </c>
      <c r="E49" s="21"/>
      <c r="F49" s="21"/>
      <c r="G49" s="21"/>
      <c r="H49" s="21">
        <f t="shared" si="18"/>
        <v>1035765</v>
      </c>
      <c r="I49" s="21"/>
      <c r="J49" s="51">
        <f t="shared" si="1"/>
        <v>2.5148561497135662E-2</v>
      </c>
      <c r="K49" s="21"/>
      <c r="L49" s="54"/>
      <c r="M49" s="1"/>
      <c r="N49" s="46">
        <v>2470</v>
      </c>
      <c r="O49" s="45"/>
      <c r="P49" s="45"/>
      <c r="Q49" s="45"/>
      <c r="R49" s="45">
        <f t="shared" si="16"/>
        <v>59265</v>
      </c>
      <c r="S49" s="45"/>
      <c r="T49" s="60">
        <f t="shared" si="3"/>
        <v>5.7218577573098145E-2</v>
      </c>
      <c r="U49" s="61"/>
      <c r="V49" s="71"/>
      <c r="W49" s="1"/>
      <c r="X49" s="29">
        <f t="shared" si="5"/>
        <v>4146</v>
      </c>
      <c r="Y49" s="30"/>
      <c r="Z49" s="30"/>
      <c r="AA49" s="30"/>
      <c r="AB49" s="30">
        <v>141951</v>
      </c>
      <c r="AC49" s="30"/>
      <c r="AD49" s="31">
        <f t="shared" si="6"/>
        <v>3.0085991074344183E-2</v>
      </c>
      <c r="AE49" s="31"/>
      <c r="AF49" s="31"/>
      <c r="AG49" s="30"/>
      <c r="AH49" s="32">
        <f t="shared" si="7"/>
        <v>0.13704942723494229</v>
      </c>
      <c r="AI49" s="1"/>
      <c r="AJ49" s="88">
        <f t="shared" si="14"/>
        <v>187926</v>
      </c>
      <c r="AK49" s="89"/>
      <c r="AL49" s="89">
        <v>5861166</v>
      </c>
      <c r="AM49" s="89"/>
      <c r="AN49" s="89">
        <f t="shared" si="9"/>
        <v>25409</v>
      </c>
      <c r="AO49" s="89"/>
      <c r="AP49" s="197">
        <f t="shared" si="17"/>
        <v>0.13520747528282409</v>
      </c>
      <c r="AQ49" s="89"/>
      <c r="AR49" s="89"/>
      <c r="AS49" s="89"/>
      <c r="AT49" s="89">
        <f t="shared" si="13"/>
        <v>783443</v>
      </c>
      <c r="AU49" s="89"/>
      <c r="AV49" s="98">
        <f t="shared" si="10"/>
        <v>0.13366674822040528</v>
      </c>
      <c r="AW49" s="89"/>
      <c r="AX49" s="110"/>
      <c r="AY49" s="228"/>
      <c r="AZ49" s="1"/>
      <c r="BA49">
        <f t="shared" si="8"/>
        <v>40</v>
      </c>
    </row>
    <row r="50" spans="2:53" x14ac:dyDescent="0.3">
      <c r="B50" s="215">
        <f t="shared" si="4"/>
        <v>43950</v>
      </c>
      <c r="C50" s="83"/>
      <c r="D50" s="22">
        <v>28429</v>
      </c>
      <c r="E50" s="21"/>
      <c r="F50" s="21"/>
      <c r="G50" s="21"/>
      <c r="H50" s="21">
        <f t="shared" si="18"/>
        <v>1064194</v>
      </c>
      <c r="I50" s="21"/>
      <c r="J50" s="51">
        <f t="shared" si="1"/>
        <v>2.7447345681694206E-2</v>
      </c>
      <c r="K50" s="21"/>
      <c r="L50" s="54"/>
      <c r="M50" s="1"/>
      <c r="N50" s="46">
        <v>2390</v>
      </c>
      <c r="O50" s="45"/>
      <c r="P50" s="45"/>
      <c r="Q50" s="45"/>
      <c r="R50" s="45">
        <f t="shared" si="16"/>
        <v>61655</v>
      </c>
      <c r="S50" s="45"/>
      <c r="T50" s="60">
        <f t="shared" si="3"/>
        <v>5.7935865077232161E-2</v>
      </c>
      <c r="U50" s="61"/>
      <c r="V50" s="71"/>
      <c r="W50" s="1"/>
      <c r="X50" s="29">
        <f t="shared" si="5"/>
        <v>5460</v>
      </c>
      <c r="Y50" s="30"/>
      <c r="Z50" s="30"/>
      <c r="AA50" s="30"/>
      <c r="AB50" s="30">
        <v>147411</v>
      </c>
      <c r="AC50" s="30"/>
      <c r="AD50" s="31">
        <f t="shared" si="6"/>
        <v>3.8463977006150007E-2</v>
      </c>
      <c r="AE50" s="31"/>
      <c r="AF50" s="31"/>
      <c r="AG50" s="30"/>
      <c r="AH50" s="32">
        <f t="shared" si="7"/>
        <v>0.13851891666369101</v>
      </c>
      <c r="AI50" s="1"/>
      <c r="AJ50" s="88">
        <f t="shared" si="14"/>
        <v>278745</v>
      </c>
      <c r="AK50" s="89"/>
      <c r="AL50" s="89">
        <v>6139911</v>
      </c>
      <c r="AM50" s="89"/>
      <c r="AN50" s="89">
        <f t="shared" si="9"/>
        <v>28429</v>
      </c>
      <c r="AO50" s="89"/>
      <c r="AP50" s="197">
        <f t="shared" si="17"/>
        <v>0.10198927335019463</v>
      </c>
      <c r="AQ50" s="89"/>
      <c r="AR50" s="89"/>
      <c r="AS50" s="89"/>
      <c r="AT50" s="89">
        <f t="shared" si="13"/>
        <v>811872</v>
      </c>
      <c r="AU50" s="89"/>
      <c r="AV50" s="98">
        <f t="shared" si="10"/>
        <v>0.13222862676673977</v>
      </c>
      <c r="AW50" s="89"/>
      <c r="AX50" s="110"/>
      <c r="AY50" s="228"/>
      <c r="AZ50" s="1"/>
      <c r="BA50">
        <f t="shared" si="8"/>
        <v>41</v>
      </c>
    </row>
    <row r="51" spans="2:53" x14ac:dyDescent="0.3">
      <c r="B51" s="215">
        <f t="shared" si="4"/>
        <v>43951</v>
      </c>
      <c r="C51" s="83"/>
      <c r="D51" s="22">
        <v>30829</v>
      </c>
      <c r="E51" s="21"/>
      <c r="F51" s="21"/>
      <c r="G51" s="21"/>
      <c r="H51" s="21">
        <f t="shared" si="18"/>
        <v>1095023</v>
      </c>
      <c r="I51" s="21"/>
      <c r="J51" s="51">
        <f t="shared" si="1"/>
        <v>2.8969342056053688E-2</v>
      </c>
      <c r="K51" s="21"/>
      <c r="L51" s="54"/>
      <c r="M51" s="1"/>
      <c r="N51" s="46">
        <v>2201</v>
      </c>
      <c r="O51" s="45"/>
      <c r="P51" s="45"/>
      <c r="Q51" s="45"/>
      <c r="R51" s="45">
        <f t="shared" si="16"/>
        <v>63856</v>
      </c>
      <c r="S51" s="45"/>
      <c r="T51" s="60">
        <f t="shared" si="3"/>
        <v>5.8314756858988348E-2</v>
      </c>
      <c r="U51" s="61"/>
      <c r="V51" s="71"/>
      <c r="W51" s="1"/>
      <c r="X51" s="29">
        <f t="shared" si="5"/>
        <v>4913</v>
      </c>
      <c r="Y51" s="30"/>
      <c r="Z51" s="30"/>
      <c r="AA51" s="30"/>
      <c r="AB51" s="30">
        <v>152324</v>
      </c>
      <c r="AC51" s="30"/>
      <c r="AD51" s="31">
        <f t="shared" si="6"/>
        <v>3.3328584705347636E-2</v>
      </c>
      <c r="AE51" s="31"/>
      <c r="AF51" s="31"/>
      <c r="AG51" s="30"/>
      <c r="AH51" s="32">
        <f t="shared" si="7"/>
        <v>0.13910575394306787</v>
      </c>
      <c r="AI51" s="1"/>
      <c r="AJ51" s="88">
        <f t="shared" si="14"/>
        <v>236535</v>
      </c>
      <c r="AK51" s="89"/>
      <c r="AL51" s="89">
        <v>6376446</v>
      </c>
      <c r="AM51" s="89"/>
      <c r="AN51" s="89">
        <f t="shared" si="9"/>
        <v>30829</v>
      </c>
      <c r="AO51" s="89"/>
      <c r="AP51" s="197">
        <f t="shared" si="17"/>
        <v>0.13033589109434121</v>
      </c>
      <c r="AQ51" s="89"/>
      <c r="AR51" s="89"/>
      <c r="AS51" s="89"/>
      <c r="AT51" s="89">
        <f t="shared" si="13"/>
        <v>842701</v>
      </c>
      <c r="AU51" s="89"/>
      <c r="AV51" s="98">
        <f t="shared" si="10"/>
        <v>0.13215841551861335</v>
      </c>
      <c r="AW51" s="89"/>
      <c r="AX51" s="110"/>
      <c r="AY51" s="228"/>
      <c r="AZ51" s="1"/>
      <c r="BA51">
        <f t="shared" si="8"/>
        <v>42</v>
      </c>
    </row>
    <row r="52" spans="2:53" x14ac:dyDescent="0.3">
      <c r="B52" s="215">
        <f t="shared" si="4"/>
        <v>43952</v>
      </c>
      <c r="C52" s="83"/>
      <c r="D52" s="22">
        <v>36007</v>
      </c>
      <c r="E52" s="21"/>
      <c r="F52" s="21"/>
      <c r="G52" s="21"/>
      <c r="H52" s="21">
        <f t="shared" si="18"/>
        <v>1131030</v>
      </c>
      <c r="I52" s="21"/>
      <c r="J52" s="51">
        <f t="shared" ref="J52" si="19">+D52/H51</f>
        <v>3.2882414341981858E-2</v>
      </c>
      <c r="K52" s="21"/>
      <c r="L52" s="54"/>
      <c r="M52" s="1"/>
      <c r="N52" s="46">
        <v>1897</v>
      </c>
      <c r="O52" s="45"/>
      <c r="P52" s="45"/>
      <c r="Q52" s="45"/>
      <c r="R52" s="45">
        <f t="shared" ref="R52" si="20">+R51+N52</f>
        <v>65753</v>
      </c>
      <c r="S52" s="45"/>
      <c r="T52" s="60">
        <f t="shared" ref="T52" si="21">+R52/H52</f>
        <v>5.8135504805354413E-2</v>
      </c>
      <c r="U52" s="61"/>
      <c r="V52" s="71"/>
      <c r="W52" s="1"/>
      <c r="X52" s="29">
        <f t="shared" ref="X52" si="22">+AB52-AB51</f>
        <v>9239</v>
      </c>
      <c r="Y52" s="30"/>
      <c r="Z52" s="30"/>
      <c r="AA52" s="30"/>
      <c r="AB52" s="30">
        <v>161563</v>
      </c>
      <c r="AC52" s="30"/>
      <c r="AD52" s="31">
        <f t="shared" ref="AD52" si="23">+X52/AB51</f>
        <v>6.0653606785536093E-2</v>
      </c>
      <c r="AE52" s="31"/>
      <c r="AF52" s="31"/>
      <c r="AG52" s="30"/>
      <c r="AH52" s="32">
        <f t="shared" ref="AH52" si="24">+AB52/H52</f>
        <v>0.14284590152339019</v>
      </c>
      <c r="AI52" s="1"/>
      <c r="AJ52" s="88">
        <f t="shared" ref="AJ52" si="25">+AL52-AL51</f>
        <v>323432</v>
      </c>
      <c r="AK52" s="89"/>
      <c r="AL52" s="89">
        <v>6699878</v>
      </c>
      <c r="AM52" s="89"/>
      <c r="AN52" s="89">
        <f t="shared" ref="AN52" si="26">+D52</f>
        <v>36007</v>
      </c>
      <c r="AO52" s="89"/>
      <c r="AP52" s="197">
        <f t="shared" ref="AP52" si="27">+AN52/AJ52</f>
        <v>0.11132788344999876</v>
      </c>
      <c r="AQ52" s="89"/>
      <c r="AR52" s="89"/>
      <c r="AS52" s="89"/>
      <c r="AT52" s="89">
        <f t="shared" ref="AT52" si="28">+AT51+AN52</f>
        <v>878708</v>
      </c>
      <c r="AU52" s="89"/>
      <c r="AV52" s="98">
        <f t="shared" ref="AV52" si="29">+AT52/AL52</f>
        <v>0.13115283591731072</v>
      </c>
      <c r="AW52" s="89"/>
      <c r="AX52" s="110"/>
      <c r="AY52" s="228"/>
      <c r="AZ52" s="1"/>
      <c r="BA52">
        <f t="shared" si="8"/>
        <v>43</v>
      </c>
    </row>
    <row r="53" spans="2:53" x14ac:dyDescent="0.3">
      <c r="B53" s="215">
        <f t="shared" si="4"/>
        <v>43953</v>
      </c>
      <c r="C53" s="83"/>
      <c r="D53" s="22">
        <v>29744</v>
      </c>
      <c r="E53" s="21"/>
      <c r="F53" s="21"/>
      <c r="G53" s="21"/>
      <c r="H53" s="21">
        <f t="shared" ref="H53" si="30">+H52+D53</f>
        <v>1160774</v>
      </c>
      <c r="I53" s="21"/>
      <c r="J53" s="51">
        <f t="shared" ref="J53" si="31">+D53/H52</f>
        <v>2.6298153010972301E-2</v>
      </c>
      <c r="K53" s="21"/>
      <c r="L53" s="54"/>
      <c r="M53" s="1"/>
      <c r="N53" s="46">
        <v>1691</v>
      </c>
      <c r="O53" s="45"/>
      <c r="P53" s="45"/>
      <c r="Q53" s="45"/>
      <c r="R53" s="45">
        <f t="shared" ref="R53" si="32">+R52+N53</f>
        <v>67444</v>
      </c>
      <c r="S53" s="45"/>
      <c r="T53" s="60">
        <f t="shared" ref="T53" si="33">+R53/H53</f>
        <v>5.810261084414365E-2</v>
      </c>
      <c r="U53" s="61"/>
      <c r="V53" s="71"/>
      <c r="W53" s="1"/>
      <c r="X53" s="29">
        <f t="shared" ref="X53" si="34">+AB53-AB52</f>
        <v>11755</v>
      </c>
      <c r="Y53" s="30"/>
      <c r="Z53" s="30"/>
      <c r="AA53" s="30"/>
      <c r="AB53" s="30">
        <v>173318</v>
      </c>
      <c r="AC53" s="30"/>
      <c r="AD53" s="31">
        <f t="shared" ref="AD53" si="35">+X53/AB52</f>
        <v>7.2757995333089881E-2</v>
      </c>
      <c r="AE53" s="31"/>
      <c r="AF53" s="31"/>
      <c r="AG53" s="30"/>
      <c r="AH53" s="32">
        <f t="shared" ref="AH53" si="36">+AB53/H53</f>
        <v>0.14931244152608519</v>
      </c>
      <c r="AI53" s="1"/>
      <c r="AJ53" s="88">
        <f t="shared" ref="AJ53" si="37">+AL53-AL52</f>
        <v>231254</v>
      </c>
      <c r="AK53" s="89"/>
      <c r="AL53" s="89">
        <v>6931132</v>
      </c>
      <c r="AM53" s="89"/>
      <c r="AN53" s="89">
        <f t="shared" ref="AN53" si="38">+D53</f>
        <v>29744</v>
      </c>
      <c r="AO53" s="89"/>
      <c r="AP53" s="197">
        <f t="shared" ref="AP53" si="39">+AN53/AJ53</f>
        <v>0.12862047791605766</v>
      </c>
      <c r="AQ53" s="89"/>
      <c r="AR53" s="89"/>
      <c r="AS53" s="89"/>
      <c r="AT53" s="89">
        <f t="shared" ref="AT53" si="40">+AT52+AN53</f>
        <v>908452</v>
      </c>
      <c r="AU53" s="89"/>
      <c r="AV53" s="98">
        <f t="shared" ref="AV53" si="41">+AT53/AL53</f>
        <v>0.13106834496875835</v>
      </c>
      <c r="AW53" s="89"/>
      <c r="AX53" s="110"/>
      <c r="AY53" s="228"/>
      <c r="AZ53" s="1"/>
      <c r="BA53">
        <f t="shared" si="8"/>
        <v>44</v>
      </c>
    </row>
    <row r="54" spans="2:53" x14ac:dyDescent="0.3">
      <c r="B54" s="215">
        <f t="shared" si="4"/>
        <v>43954</v>
      </c>
      <c r="C54" s="83"/>
      <c r="D54" s="22">
        <v>27348</v>
      </c>
      <c r="E54" s="21"/>
      <c r="F54" s="21"/>
      <c r="G54" s="21"/>
      <c r="H54" s="21">
        <f t="shared" ref="H54" si="42">+H53+D54</f>
        <v>1188122</v>
      </c>
      <c r="I54" s="21"/>
      <c r="J54" s="51">
        <f t="shared" ref="J54" si="43">+D54/H53</f>
        <v>2.356014176747584E-2</v>
      </c>
      <c r="K54" s="21"/>
      <c r="L54" s="54"/>
      <c r="M54" s="1"/>
      <c r="N54" s="46">
        <v>1153</v>
      </c>
      <c r="O54" s="45"/>
      <c r="P54" s="45"/>
      <c r="Q54" s="45"/>
      <c r="R54" s="45">
        <f t="shared" ref="R54" si="44">+R53+N54</f>
        <v>68597</v>
      </c>
      <c r="S54" s="45"/>
      <c r="T54" s="60">
        <f t="shared" ref="T54" si="45">+R54/H54</f>
        <v>5.7735653409330019E-2</v>
      </c>
      <c r="U54" s="61"/>
      <c r="V54" s="71"/>
      <c r="W54" s="1"/>
      <c r="X54" s="29">
        <f t="shared" ref="X54" si="46">+AB54-AB53</f>
        <v>4945</v>
      </c>
      <c r="Y54" s="30"/>
      <c r="Z54" s="30"/>
      <c r="AA54" s="30">
        <v>178263</v>
      </c>
      <c r="AB54" s="30">
        <v>178263</v>
      </c>
      <c r="AC54" s="30"/>
      <c r="AD54" s="31">
        <f t="shared" ref="AD54" si="47">+X54/AB53</f>
        <v>2.8531370082738088E-2</v>
      </c>
      <c r="AE54" s="31"/>
      <c r="AF54" s="31"/>
      <c r="AG54" s="30"/>
      <c r="AH54" s="32">
        <f t="shared" ref="AH54" si="48">+AB54/H54</f>
        <v>0.15003762239904656</v>
      </c>
      <c r="AI54" s="1"/>
      <c r="AJ54" s="88">
        <f t="shared" ref="AJ54" si="49">+AL54-AL53</f>
        <v>265608</v>
      </c>
      <c r="AK54" s="89"/>
      <c r="AL54" s="89">
        <v>7196740</v>
      </c>
      <c r="AM54" s="89"/>
      <c r="AN54" s="89">
        <f t="shared" ref="AN54" si="50">+D54</f>
        <v>27348</v>
      </c>
      <c r="AO54" s="89"/>
      <c r="AP54" s="197">
        <f t="shared" ref="AP54" si="51">+AN54/AJ54</f>
        <v>0.10296376615162194</v>
      </c>
      <c r="AQ54" s="89"/>
      <c r="AR54" s="89"/>
      <c r="AS54" s="89"/>
      <c r="AT54" s="89">
        <f t="shared" ref="AT54" si="52">+AT53+AN54</f>
        <v>935800</v>
      </c>
      <c r="AU54" s="89"/>
      <c r="AV54" s="98">
        <f t="shared" ref="AV54" si="53">+AT54/AL54</f>
        <v>0.13003109741355112</v>
      </c>
      <c r="AW54" s="89"/>
      <c r="AX54" s="110"/>
      <c r="AY54" s="228"/>
      <c r="AZ54" s="1"/>
      <c r="BA54">
        <f t="shared" si="8"/>
        <v>45</v>
      </c>
    </row>
    <row r="55" spans="2:53" x14ac:dyDescent="0.3">
      <c r="B55" s="215">
        <f t="shared" si="4"/>
        <v>43955</v>
      </c>
      <c r="C55" s="83"/>
      <c r="D55" s="22">
        <v>24713</v>
      </c>
      <c r="E55" s="21"/>
      <c r="F55" s="21"/>
      <c r="G55" s="21"/>
      <c r="H55" s="21">
        <f t="shared" ref="H55" si="54">+H54+D55</f>
        <v>1212835</v>
      </c>
      <c r="I55" s="21"/>
      <c r="J55" s="51">
        <f t="shared" ref="J55" si="55">+D55/H54</f>
        <v>2.0800052519859072E-2</v>
      </c>
      <c r="K55" s="21"/>
      <c r="L55" s="54"/>
      <c r="M55" s="1"/>
      <c r="N55" s="46">
        <v>1324</v>
      </c>
      <c r="O55" s="45"/>
      <c r="P55" s="45"/>
      <c r="Q55" s="45"/>
      <c r="R55" s="45">
        <f t="shared" ref="R55" si="56">+R54+N55</f>
        <v>69921</v>
      </c>
      <c r="S55" s="45"/>
      <c r="T55" s="60">
        <f t="shared" ref="T55" si="57">+R55/H55</f>
        <v>5.7650875840489432E-2</v>
      </c>
      <c r="U55" s="61"/>
      <c r="V55" s="71"/>
      <c r="W55" s="1"/>
      <c r="X55" s="29">
        <f t="shared" ref="X55" si="58">+AB55-AB54</f>
        <v>9764</v>
      </c>
      <c r="Y55" s="30"/>
      <c r="Z55" s="30"/>
      <c r="AA55" s="30">
        <v>178263</v>
      </c>
      <c r="AB55" s="30">
        <v>188027</v>
      </c>
      <c r="AC55" s="30"/>
      <c r="AD55" s="31">
        <f t="shared" ref="AD55" si="59">+X55/AB54</f>
        <v>5.4773003932392025E-2</v>
      </c>
      <c r="AE55" s="31"/>
      <c r="AF55" s="31"/>
      <c r="AG55" s="30"/>
      <c r="AH55" s="32">
        <f t="shared" ref="AH55" si="60">+AB55/H55</f>
        <v>0.15503098113098648</v>
      </c>
      <c r="AI55" s="1"/>
      <c r="AJ55" s="88">
        <f t="shared" ref="AJ55" si="61">+AL55-AL54</f>
        <v>265691</v>
      </c>
      <c r="AK55" s="89"/>
      <c r="AL55" s="89">
        <v>7462431</v>
      </c>
      <c r="AM55" s="89"/>
      <c r="AN55" s="89">
        <f t="shared" ref="AN55" si="62">+D55</f>
        <v>24713</v>
      </c>
      <c r="AO55" s="89"/>
      <c r="AP55" s="197">
        <f t="shared" ref="AP55" si="63">+AN55/AJ55</f>
        <v>9.3014065211091082E-2</v>
      </c>
      <c r="AQ55" s="89"/>
      <c r="AR55" s="89"/>
      <c r="AS55" s="89"/>
      <c r="AT55" s="89">
        <f t="shared" ref="AT55" si="64">+AT54+AN55</f>
        <v>960513</v>
      </c>
      <c r="AU55" s="89"/>
      <c r="AV55" s="98">
        <f t="shared" ref="AV55" si="65">+AT55/AL55</f>
        <v>0.12871314991053184</v>
      </c>
      <c r="AW55" s="89"/>
      <c r="AX55" s="110"/>
      <c r="AY55" s="228"/>
      <c r="AZ55" s="1"/>
      <c r="BA55">
        <f t="shared" si="8"/>
        <v>46</v>
      </c>
    </row>
    <row r="56" spans="2:53" x14ac:dyDescent="0.3">
      <c r="B56" s="215">
        <f t="shared" si="4"/>
        <v>43956</v>
      </c>
      <c r="C56" s="83"/>
      <c r="D56" s="22">
        <v>24792</v>
      </c>
      <c r="E56" s="21"/>
      <c r="F56" s="21"/>
      <c r="G56" s="21"/>
      <c r="H56" s="21">
        <f t="shared" ref="H56" si="66">+H55+D56</f>
        <v>1237627</v>
      </c>
      <c r="I56" s="21"/>
      <c r="J56" s="51">
        <f t="shared" ref="J56" si="67">+D56/H55</f>
        <v>2.044136259260328E-2</v>
      </c>
      <c r="K56" s="21"/>
      <c r="L56" s="54"/>
      <c r="M56" s="1"/>
      <c r="N56" s="46">
        <v>2349</v>
      </c>
      <c r="O56" s="45"/>
      <c r="P56" s="45"/>
      <c r="Q56" s="45"/>
      <c r="R56" s="45">
        <f t="shared" ref="R56" si="68">+R55+N56</f>
        <v>72270</v>
      </c>
      <c r="S56" s="45"/>
      <c r="T56" s="60">
        <f t="shared" ref="T56" si="69">+R56/H56</f>
        <v>5.8394007241277059E-2</v>
      </c>
      <c r="U56" s="61"/>
      <c r="V56" s="71"/>
      <c r="W56" s="1"/>
      <c r="X56" s="29">
        <f t="shared" ref="X56" si="70">+AB56-AB55</f>
        <v>12599</v>
      </c>
      <c r="Y56" s="30"/>
      <c r="Z56" s="30"/>
      <c r="AA56" s="30">
        <v>178263</v>
      </c>
      <c r="AB56" s="30">
        <v>200626</v>
      </c>
      <c r="AC56" s="30"/>
      <c r="AD56" s="31">
        <f t="shared" ref="AD56" si="71">+X56/AB55</f>
        <v>6.7006334196684517E-2</v>
      </c>
      <c r="AE56" s="31"/>
      <c r="AF56" s="31"/>
      <c r="AG56" s="30"/>
      <c r="AH56" s="32">
        <f t="shared" ref="AH56" si="72">+AB56/H56</f>
        <v>0.16210538393231563</v>
      </c>
      <c r="AI56" s="1"/>
      <c r="AJ56" s="88">
        <f t="shared" ref="AJ56" si="73">+AL56-AL55</f>
        <v>265380</v>
      </c>
      <c r="AK56" s="89"/>
      <c r="AL56" s="89">
        <v>7727811</v>
      </c>
      <c r="AM56" s="89"/>
      <c r="AN56" s="89">
        <f t="shared" ref="AN56" si="74">+D56</f>
        <v>24792</v>
      </c>
      <c r="AO56" s="89"/>
      <c r="AP56" s="197">
        <f t="shared" ref="AP56" si="75">+AN56/AJ56</f>
        <v>9.3420755143567707E-2</v>
      </c>
      <c r="AQ56" s="89"/>
      <c r="AR56" s="89"/>
      <c r="AS56" s="89"/>
      <c r="AT56" s="89">
        <f t="shared" ref="AT56" si="76">+AT55+AN56</f>
        <v>985305</v>
      </c>
      <c r="AU56" s="89"/>
      <c r="AV56" s="98">
        <f t="shared" ref="AV56" si="77">+AT56/AL56</f>
        <v>0.12750117724152416</v>
      </c>
      <c r="AW56" s="89"/>
      <c r="AX56" s="110"/>
      <c r="AY56" s="228"/>
      <c r="AZ56" s="1"/>
      <c r="BA56">
        <f t="shared" si="8"/>
        <v>47</v>
      </c>
    </row>
    <row r="57" spans="2:53" x14ac:dyDescent="0.3">
      <c r="B57" s="215">
        <f t="shared" si="4"/>
        <v>43957</v>
      </c>
      <c r="C57" s="83"/>
      <c r="D57" s="22">
        <v>25059</v>
      </c>
      <c r="E57" s="21"/>
      <c r="F57" s="21"/>
      <c r="G57" s="21"/>
      <c r="H57" s="21">
        <f t="shared" ref="H57" si="78">+H56+D57</f>
        <v>1262686</v>
      </c>
      <c r="I57" s="21"/>
      <c r="J57" s="51">
        <f t="shared" ref="J57" si="79">+D57/H56</f>
        <v>2.024761903222861E-2</v>
      </c>
      <c r="K57" s="21"/>
      <c r="L57" s="54"/>
      <c r="M57" s="1"/>
      <c r="N57" s="46">
        <v>2520</v>
      </c>
      <c r="O57" s="45"/>
      <c r="P57" s="45"/>
      <c r="Q57" s="45"/>
      <c r="R57" s="45">
        <f t="shared" ref="R57" si="80">+R56+N57</f>
        <v>74790</v>
      </c>
      <c r="S57" s="45"/>
      <c r="T57" s="60">
        <f t="shared" ref="T57" si="81">+R57/H57</f>
        <v>5.9230877668715737E-2</v>
      </c>
      <c r="U57" s="61"/>
      <c r="V57" s="71"/>
      <c r="W57" s="1"/>
      <c r="X57" s="29">
        <f t="shared" ref="X57" si="82">+AB57-AB56</f>
        <v>5682</v>
      </c>
      <c r="Y57" s="30"/>
      <c r="Z57" s="30"/>
      <c r="AA57" s="30">
        <v>178263</v>
      </c>
      <c r="AB57" s="30">
        <v>206308</v>
      </c>
      <c r="AC57" s="30"/>
      <c r="AD57" s="31">
        <f t="shared" ref="AD57" si="83">+X57/AB56</f>
        <v>2.8321354161474584E-2</v>
      </c>
      <c r="AE57" s="31"/>
      <c r="AF57" s="31"/>
      <c r="AG57" s="30"/>
      <c r="AH57" s="32">
        <f t="shared" ref="AH57" si="84">+AB57/H57</f>
        <v>0.16338820577720828</v>
      </c>
      <c r="AI57" s="1"/>
      <c r="AJ57" s="88">
        <f t="shared" ref="AJ57" si="85">+AL57-AL56</f>
        <v>244534</v>
      </c>
      <c r="AK57" s="89"/>
      <c r="AL57" s="89">
        <v>7972345</v>
      </c>
      <c r="AM57" s="89"/>
      <c r="AN57" s="89">
        <f t="shared" ref="AN57" si="86">+D57</f>
        <v>25059</v>
      </c>
      <c r="AO57" s="89"/>
      <c r="AP57" s="197">
        <f t="shared" ref="AP57" si="87">+AN57/AJ57</f>
        <v>0.10247654722860625</v>
      </c>
      <c r="AQ57" s="89"/>
      <c r="AR57" s="89"/>
      <c r="AS57" s="89"/>
      <c r="AT57" s="89">
        <f t="shared" ref="AT57" si="88">+AT56+AN57</f>
        <v>1010364</v>
      </c>
      <c r="AU57" s="89"/>
      <c r="AV57" s="98">
        <f t="shared" ref="AV57" si="89">+AT57/AL57</f>
        <v>0.12673360222117833</v>
      </c>
      <c r="AW57" s="89"/>
      <c r="AX57" s="110"/>
      <c r="AY57" s="228"/>
      <c r="AZ57" s="1"/>
      <c r="BA57">
        <f t="shared" si="8"/>
        <v>48</v>
      </c>
    </row>
    <row r="58" spans="2:53" x14ac:dyDescent="0.3">
      <c r="B58" s="215">
        <f t="shared" si="4"/>
        <v>43958</v>
      </c>
      <c r="C58" s="83"/>
      <c r="D58" s="22">
        <v>29531</v>
      </c>
      <c r="E58" s="21"/>
      <c r="F58" s="21"/>
      <c r="G58" s="21"/>
      <c r="H58" s="21">
        <f t="shared" ref="H58" si="90">+H57+D58</f>
        <v>1292217</v>
      </c>
      <c r="I58" s="21"/>
      <c r="J58" s="51">
        <f t="shared" ref="J58" si="91">+D58/H57</f>
        <v>2.3387445493178827E-2</v>
      </c>
      <c r="K58" s="21"/>
      <c r="L58" s="54"/>
      <c r="M58" s="1"/>
      <c r="N58" s="46">
        <v>2129</v>
      </c>
      <c r="O58" s="45"/>
      <c r="P58" s="45"/>
      <c r="Q58" s="45"/>
      <c r="R58" s="45">
        <f t="shared" ref="R58" si="92">+R57+N58</f>
        <v>76919</v>
      </c>
      <c r="S58" s="45"/>
      <c r="T58" s="60">
        <f t="shared" ref="T58" si="93">+R58/H58</f>
        <v>5.9524832129588139E-2</v>
      </c>
      <c r="U58" s="61"/>
      <c r="V58" s="71"/>
      <c r="W58" s="1"/>
      <c r="X58" s="29">
        <f t="shared" ref="X58" si="94">+AB58-AB57</f>
        <v>10942</v>
      </c>
      <c r="Y58" s="30"/>
      <c r="Z58" s="30"/>
      <c r="AA58" s="30">
        <v>178263</v>
      </c>
      <c r="AB58" s="30">
        <v>217250</v>
      </c>
      <c r="AC58" s="30"/>
      <c r="AD58" s="31">
        <f t="shared" ref="AD58" si="95">+X58/AB57</f>
        <v>5.3037206506776277E-2</v>
      </c>
      <c r="AE58" s="31"/>
      <c r="AF58" s="31"/>
      <c r="AG58" s="30"/>
      <c r="AH58" s="32">
        <f t="shared" ref="AH58" si="96">+AB58/H58</f>
        <v>0.1681219176036223</v>
      </c>
      <c r="AI58" s="1"/>
      <c r="AJ58" s="88">
        <f t="shared" ref="AJ58" si="97">+AL58-AL57</f>
        <v>325217</v>
      </c>
      <c r="AK58" s="89"/>
      <c r="AL58" s="89">
        <v>8297562</v>
      </c>
      <c r="AM58" s="89"/>
      <c r="AN58" s="89">
        <f t="shared" ref="AN58" si="98">+D58</f>
        <v>29531</v>
      </c>
      <c r="AO58" s="89"/>
      <c r="AP58" s="197">
        <f t="shared" ref="AP58" si="99">+AN58/AJ58</f>
        <v>9.0803986261480799E-2</v>
      </c>
      <c r="AQ58" s="89"/>
      <c r="AR58" s="89"/>
      <c r="AS58" s="89"/>
      <c r="AT58" s="89">
        <f t="shared" ref="AT58" si="100">+AT57+AN58</f>
        <v>1039895</v>
      </c>
      <c r="AU58" s="89"/>
      <c r="AV58" s="98">
        <f t="shared" ref="AV58" si="101">+AT58/AL58</f>
        <v>0.12532536665589242</v>
      </c>
      <c r="AW58" s="89"/>
      <c r="AX58" s="110"/>
      <c r="AY58" s="228"/>
      <c r="AZ58" s="1"/>
      <c r="BA58">
        <f t="shared" si="8"/>
        <v>49</v>
      </c>
    </row>
    <row r="59" spans="2:53" x14ac:dyDescent="0.3">
      <c r="B59" s="215">
        <f t="shared" si="4"/>
        <v>43959</v>
      </c>
      <c r="C59" s="83"/>
      <c r="D59" s="22"/>
      <c r="E59" s="21"/>
      <c r="F59" s="21"/>
      <c r="G59" s="21"/>
      <c r="H59" s="21"/>
      <c r="I59" s="21"/>
      <c r="J59" s="51"/>
      <c r="K59" s="21"/>
      <c r="L59" s="54"/>
      <c r="M59" s="1"/>
      <c r="N59" s="46"/>
      <c r="O59" s="45"/>
      <c r="P59" s="45"/>
      <c r="Q59" s="45"/>
      <c r="R59" s="45"/>
      <c r="S59" s="45"/>
      <c r="T59" s="60"/>
      <c r="U59" s="61"/>
      <c r="V59" s="71"/>
      <c r="W59" s="1"/>
      <c r="X59" s="29"/>
      <c r="Y59" s="30"/>
      <c r="Z59" s="30"/>
      <c r="AA59" s="30"/>
      <c r="AB59" s="30"/>
      <c r="AC59" s="30"/>
      <c r="AD59" s="31"/>
      <c r="AE59" s="31"/>
      <c r="AF59" s="31"/>
      <c r="AG59" s="30"/>
      <c r="AH59" s="32"/>
      <c r="AI59" s="1"/>
      <c r="AJ59" s="88"/>
      <c r="AK59" s="89"/>
      <c r="AL59" s="89"/>
      <c r="AM59" s="89"/>
      <c r="AN59" s="89"/>
      <c r="AO59" s="89"/>
      <c r="AP59" s="197"/>
      <c r="AQ59" s="89"/>
      <c r="AR59" s="89"/>
      <c r="AS59" s="89"/>
      <c r="AT59" s="89"/>
      <c r="AU59" s="89"/>
      <c r="AV59" s="98"/>
      <c r="AW59" s="89"/>
      <c r="AX59" s="110"/>
      <c r="AY59" s="228"/>
      <c r="AZ59" s="1"/>
      <c r="BA59">
        <f t="shared" si="8"/>
        <v>50</v>
      </c>
    </row>
    <row r="60" spans="2:53" x14ac:dyDescent="0.3">
      <c r="B60" s="215">
        <f t="shared" si="4"/>
        <v>43960</v>
      </c>
      <c r="C60" s="83"/>
      <c r="D60" s="22"/>
      <c r="E60" s="21"/>
      <c r="F60" s="21"/>
      <c r="G60" s="21"/>
      <c r="H60" s="21"/>
      <c r="I60" s="21"/>
      <c r="J60" s="51"/>
      <c r="K60" s="21"/>
      <c r="L60" s="54"/>
      <c r="M60" s="1"/>
      <c r="N60" s="46"/>
      <c r="O60" s="45"/>
      <c r="P60" s="45"/>
      <c r="Q60" s="45"/>
      <c r="R60" s="45"/>
      <c r="S60" s="45"/>
      <c r="T60" s="60"/>
      <c r="U60" s="61"/>
      <c r="V60" s="71"/>
      <c r="W60" s="1"/>
      <c r="X60" s="29"/>
      <c r="Y60" s="30"/>
      <c r="Z60" s="30"/>
      <c r="AA60" s="30"/>
      <c r="AB60" s="30"/>
      <c r="AC60" s="30"/>
      <c r="AD60" s="31"/>
      <c r="AE60" s="31"/>
      <c r="AF60" s="31"/>
      <c r="AG60" s="30"/>
      <c r="AH60" s="32"/>
      <c r="AI60" s="1"/>
      <c r="AJ60" s="88"/>
      <c r="AK60" s="89"/>
      <c r="AL60" s="89"/>
      <c r="AM60" s="89"/>
      <c r="AN60" s="89"/>
      <c r="AO60" s="89"/>
      <c r="AP60" s="197"/>
      <c r="AQ60" s="89"/>
      <c r="AR60" s="89"/>
      <c r="AS60" s="89"/>
      <c r="AT60" s="89"/>
      <c r="AU60" s="89"/>
      <c r="AV60" s="98"/>
      <c r="AW60" s="89"/>
      <c r="AX60" s="110"/>
      <c r="AY60" s="228"/>
      <c r="AZ60" s="1"/>
      <c r="BA60">
        <f t="shared" si="8"/>
        <v>51</v>
      </c>
    </row>
    <row r="61" spans="2:53" x14ac:dyDescent="0.3">
      <c r="B61" s="215">
        <f t="shared" si="4"/>
        <v>43961</v>
      </c>
      <c r="C61" s="83"/>
      <c r="D61" s="22"/>
      <c r="E61" s="21"/>
      <c r="F61" s="21"/>
      <c r="G61" s="21"/>
      <c r="H61" s="21"/>
      <c r="I61" s="21"/>
      <c r="J61" s="51"/>
      <c r="K61" s="21"/>
      <c r="L61" s="54"/>
      <c r="M61" s="1"/>
      <c r="N61" s="46"/>
      <c r="O61" s="45"/>
      <c r="P61" s="45"/>
      <c r="Q61" s="45"/>
      <c r="R61" s="45"/>
      <c r="S61" s="45"/>
      <c r="T61" s="60"/>
      <c r="U61" s="61"/>
      <c r="V61" s="71"/>
      <c r="W61" s="1"/>
      <c r="X61" s="29"/>
      <c r="Y61" s="30"/>
      <c r="Z61" s="30"/>
      <c r="AA61" s="30"/>
      <c r="AB61" s="30"/>
      <c r="AC61" s="30"/>
      <c r="AD61" s="31"/>
      <c r="AE61" s="31"/>
      <c r="AF61" s="31"/>
      <c r="AG61" s="30"/>
      <c r="AH61" s="32"/>
      <c r="AI61" s="1"/>
      <c r="AJ61" s="88"/>
      <c r="AK61" s="89"/>
      <c r="AL61" s="89"/>
      <c r="AM61" s="89"/>
      <c r="AN61" s="89"/>
      <c r="AO61" s="89"/>
      <c r="AP61" s="197"/>
      <c r="AQ61" s="89"/>
      <c r="AR61" s="89"/>
      <c r="AS61" s="89"/>
      <c r="AT61" s="89"/>
      <c r="AU61" s="89"/>
      <c r="AV61" s="98"/>
      <c r="AW61" s="89"/>
      <c r="AX61" s="110"/>
      <c r="AY61" s="228"/>
      <c r="AZ61" s="1"/>
      <c r="BA61">
        <f t="shared" si="8"/>
        <v>52</v>
      </c>
    </row>
    <row r="62" spans="2:53" x14ac:dyDescent="0.3">
      <c r="B62" s="215">
        <f t="shared" si="4"/>
        <v>43962</v>
      </c>
      <c r="C62" s="83"/>
      <c r="D62" s="22"/>
      <c r="E62" s="21"/>
      <c r="F62" s="21"/>
      <c r="G62" s="21"/>
      <c r="H62" s="21"/>
      <c r="I62" s="21"/>
      <c r="J62" s="51"/>
      <c r="K62" s="21"/>
      <c r="L62" s="54"/>
      <c r="M62" s="1"/>
      <c r="N62" s="46"/>
      <c r="O62" s="45"/>
      <c r="P62" s="45"/>
      <c r="Q62" s="45"/>
      <c r="R62" s="45"/>
      <c r="S62" s="45"/>
      <c r="T62" s="60"/>
      <c r="U62" s="61"/>
      <c r="V62" s="71"/>
      <c r="W62" s="1"/>
      <c r="X62" s="29"/>
      <c r="Y62" s="30"/>
      <c r="Z62" s="30"/>
      <c r="AA62" s="30"/>
      <c r="AB62" s="30"/>
      <c r="AC62" s="30"/>
      <c r="AD62" s="31"/>
      <c r="AE62" s="31"/>
      <c r="AF62" s="31"/>
      <c r="AG62" s="30"/>
      <c r="AH62" s="32"/>
      <c r="AI62" s="1"/>
      <c r="AJ62" s="88"/>
      <c r="AK62" s="89"/>
      <c r="AL62" s="89"/>
      <c r="AM62" s="89"/>
      <c r="AN62" s="89"/>
      <c r="AO62" s="89"/>
      <c r="AP62" s="197"/>
      <c r="AQ62" s="89"/>
      <c r="AR62" s="89"/>
      <c r="AS62" s="89"/>
      <c r="AT62" s="89"/>
      <c r="AU62" s="89"/>
      <c r="AV62" s="98"/>
      <c r="AW62" s="89"/>
      <c r="AX62" s="110"/>
      <c r="AY62" s="228"/>
      <c r="AZ62" s="1"/>
      <c r="BA62">
        <f t="shared" si="8"/>
        <v>53</v>
      </c>
    </row>
    <row r="63" spans="2:53" x14ac:dyDescent="0.3">
      <c r="B63" s="215">
        <f t="shared" si="4"/>
        <v>43963</v>
      </c>
      <c r="D63" s="23"/>
      <c r="E63" s="24"/>
      <c r="F63" s="24"/>
      <c r="G63" s="24"/>
      <c r="H63" s="24"/>
      <c r="I63" s="24"/>
      <c r="J63" s="52"/>
      <c r="K63" s="24"/>
      <c r="L63" s="56"/>
      <c r="M63" s="1"/>
      <c r="N63" s="47"/>
      <c r="O63" s="48"/>
      <c r="P63" s="48"/>
      <c r="Q63" s="48"/>
      <c r="R63" s="48"/>
      <c r="S63" s="48"/>
      <c r="T63" s="62"/>
      <c r="U63" s="62"/>
      <c r="V63" s="72"/>
      <c r="W63" s="1"/>
      <c r="X63" s="33"/>
      <c r="Y63" s="34"/>
      <c r="Z63" s="34"/>
      <c r="AA63" s="34"/>
      <c r="AB63" s="34"/>
      <c r="AC63" s="34"/>
      <c r="AD63" s="34"/>
      <c r="AE63" s="34"/>
      <c r="AF63" s="34"/>
      <c r="AG63" s="34"/>
      <c r="AH63" s="35"/>
      <c r="AI63" s="1"/>
      <c r="AJ63" s="90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4"/>
      <c r="AW63" s="91"/>
      <c r="AX63" s="91"/>
      <c r="AY63" s="229"/>
      <c r="AZ63" s="1"/>
      <c r="BA63">
        <f t="shared" si="8"/>
        <v>54</v>
      </c>
    </row>
    <row r="64" spans="2:53" x14ac:dyDescent="0.3">
      <c r="B64" s="78"/>
      <c r="D64" s="1"/>
      <c r="E64" s="1"/>
      <c r="F64" s="1"/>
      <c r="G64" s="1"/>
      <c r="H64" s="81"/>
      <c r="I64" s="1"/>
      <c r="J64" s="81"/>
      <c r="K64" s="1"/>
      <c r="L64" s="1"/>
      <c r="M64" s="1"/>
      <c r="N64" s="81"/>
      <c r="O64" s="1"/>
      <c r="P64" s="1"/>
      <c r="Q64" s="1"/>
      <c r="R64" s="1"/>
      <c r="S64" s="1"/>
      <c r="T64" s="8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81"/>
      <c r="AM64" s="1"/>
      <c r="AN64" s="8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2:68" x14ac:dyDescent="0.3">
      <c r="B65" s="224" t="s">
        <v>85</v>
      </c>
      <c r="D65" s="78">
        <f>+D58</f>
        <v>29531</v>
      </c>
      <c r="E65" s="78">
        <f t="shared" ref="E65:G65" si="102">+E51</f>
        <v>0</v>
      </c>
      <c r="F65" s="78">
        <f t="shared" si="102"/>
        <v>0</v>
      </c>
      <c r="G65" s="78">
        <f t="shared" si="102"/>
        <v>0</v>
      </c>
      <c r="H65" s="78">
        <f t="shared" ref="H65:AJ65" si="103">+H58</f>
        <v>1292217</v>
      </c>
      <c r="I65" s="78">
        <f t="shared" si="103"/>
        <v>0</v>
      </c>
      <c r="J65" s="81">
        <f t="shared" si="103"/>
        <v>2.3387445493178827E-2</v>
      </c>
      <c r="K65" s="78">
        <f t="shared" si="103"/>
        <v>0</v>
      </c>
      <c r="L65" s="78">
        <f t="shared" si="103"/>
        <v>0</v>
      </c>
      <c r="M65" s="78"/>
      <c r="N65" s="78">
        <f t="shared" si="103"/>
        <v>2129</v>
      </c>
      <c r="O65" s="78">
        <f t="shared" si="103"/>
        <v>0</v>
      </c>
      <c r="P65" s="78">
        <f t="shared" si="103"/>
        <v>0</v>
      </c>
      <c r="Q65" s="78">
        <f t="shared" si="103"/>
        <v>0</v>
      </c>
      <c r="R65" s="78">
        <f t="shared" si="103"/>
        <v>76919</v>
      </c>
      <c r="S65" s="78">
        <f t="shared" si="103"/>
        <v>0</v>
      </c>
      <c r="T65" s="81">
        <f t="shared" si="103"/>
        <v>5.9524832129588139E-2</v>
      </c>
      <c r="U65" s="78">
        <f t="shared" si="103"/>
        <v>0</v>
      </c>
      <c r="V65" s="78"/>
      <c r="W65" s="78"/>
      <c r="X65" s="78">
        <f t="shared" si="103"/>
        <v>10942</v>
      </c>
      <c r="Y65" s="78">
        <f t="shared" si="103"/>
        <v>0</v>
      </c>
      <c r="Z65" s="78">
        <f t="shared" si="103"/>
        <v>0</v>
      </c>
      <c r="AA65" s="78">
        <f t="shared" si="103"/>
        <v>178263</v>
      </c>
      <c r="AB65" s="78">
        <f t="shared" si="103"/>
        <v>217250</v>
      </c>
      <c r="AC65" s="78">
        <f t="shared" si="103"/>
        <v>0</v>
      </c>
      <c r="AD65" s="81">
        <f t="shared" si="103"/>
        <v>5.3037206506776277E-2</v>
      </c>
      <c r="AE65" s="78">
        <f t="shared" si="103"/>
        <v>0</v>
      </c>
      <c r="AF65" s="78">
        <f t="shared" si="103"/>
        <v>0</v>
      </c>
      <c r="AG65" s="78">
        <f t="shared" si="103"/>
        <v>0</v>
      </c>
      <c r="AH65" s="78"/>
      <c r="AI65" s="78"/>
      <c r="AJ65" s="78">
        <f t="shared" si="103"/>
        <v>325217</v>
      </c>
      <c r="AS65" s="14"/>
      <c r="AT65" s="14"/>
      <c r="AU65" s="14"/>
      <c r="AV65" s="84"/>
      <c r="AW65" s="14"/>
      <c r="AX65" s="14"/>
      <c r="AY65" s="14"/>
      <c r="AZ65" s="14"/>
      <c r="BA65" s="201"/>
      <c r="BB65" s="14"/>
      <c r="BC65" s="84"/>
      <c r="BD65" s="14"/>
      <c r="BE65" s="201"/>
      <c r="BF65" s="83"/>
      <c r="BG65" s="83"/>
      <c r="BH65" s="83"/>
      <c r="BI65" s="83"/>
      <c r="BJ65" s="83"/>
      <c r="BK65" s="198"/>
    </row>
    <row r="66" spans="2:68" x14ac:dyDescent="0.3">
      <c r="D66" s="78"/>
      <c r="R66" s="78"/>
      <c r="AJ66" s="1"/>
      <c r="AS66" s="14"/>
      <c r="AT66" s="14"/>
      <c r="AU66" s="14"/>
      <c r="AV66" s="14"/>
      <c r="AW66" s="14"/>
      <c r="AX66" s="14"/>
      <c r="AY66" s="14"/>
      <c r="AZ66" s="14"/>
      <c r="BA66" s="84"/>
      <c r="BB66" s="14"/>
      <c r="BC66" s="14"/>
      <c r="BD66" s="14"/>
      <c r="BE66" s="84"/>
      <c r="BF66" s="83"/>
      <c r="BG66" s="83"/>
      <c r="BH66" s="83"/>
      <c r="BI66" s="83"/>
      <c r="BJ66" s="83"/>
      <c r="BK66" s="146"/>
    </row>
    <row r="67" spans="2:68" x14ac:dyDescent="0.3">
      <c r="R67" s="78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83"/>
      <c r="BG67" s="146"/>
      <c r="BH67" s="146"/>
      <c r="BI67" s="146"/>
      <c r="BJ67" s="146"/>
    </row>
    <row r="68" spans="2:68" x14ac:dyDescent="0.3">
      <c r="AS68" s="83"/>
      <c r="AT68" s="83"/>
      <c r="AU68" s="83"/>
      <c r="AV68" s="83"/>
      <c r="AW68" s="14"/>
      <c r="AX68" s="14"/>
    </row>
    <row r="69" spans="2:68" x14ac:dyDescent="0.3">
      <c r="U69" s="1"/>
      <c r="V69" s="14"/>
      <c r="W69" s="14"/>
      <c r="X69" s="172"/>
      <c r="Y69" s="14"/>
      <c r="Z69" s="14"/>
      <c r="AA69" s="14"/>
      <c r="AL69" t="s">
        <v>108</v>
      </c>
      <c r="AQ69" s="114"/>
      <c r="AR69" s="114"/>
      <c r="AS69" s="114"/>
      <c r="AT69" s="114"/>
      <c r="AU69" s="14"/>
      <c r="AV69" s="14"/>
      <c r="AW69" s="1"/>
      <c r="AX69" s="1"/>
    </row>
    <row r="70" spans="2:68" x14ac:dyDescent="0.3">
      <c r="D70" s="1"/>
      <c r="E70" s="154" t="s">
        <v>29</v>
      </c>
      <c r="F70" s="155"/>
      <c r="G70" s="155" t="s">
        <v>69</v>
      </c>
      <c r="H70" s="145"/>
      <c r="I70" s="145"/>
      <c r="J70" s="145"/>
      <c r="K70" s="83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Q70" s="119"/>
      <c r="AR70" s="119"/>
      <c r="AS70" s="192"/>
      <c r="AT70" s="192"/>
      <c r="AU70" s="114"/>
      <c r="AV70" s="114"/>
      <c r="AW70" s="1"/>
      <c r="AX70" s="1"/>
    </row>
    <row r="71" spans="2:68" x14ac:dyDescent="0.3">
      <c r="D71" s="1"/>
      <c r="E71" s="154" t="s">
        <v>41</v>
      </c>
      <c r="F71" s="155"/>
      <c r="G71" s="155" t="s">
        <v>43</v>
      </c>
      <c r="H71" s="14"/>
      <c r="I71" s="14"/>
      <c r="J71" s="14"/>
      <c r="K71" s="83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Q71" s="136"/>
      <c r="AR71" s="136"/>
      <c r="AS71" s="136"/>
      <c r="AT71" s="136"/>
      <c r="AU71" s="114"/>
      <c r="AV71" s="114"/>
      <c r="AW71" s="1"/>
      <c r="AX71" s="1"/>
      <c r="BO71" s="79"/>
    </row>
    <row r="72" spans="2:68" x14ac:dyDescent="0.3">
      <c r="D72" s="1"/>
      <c r="E72" s="154" t="s">
        <v>48</v>
      </c>
      <c r="F72" s="155"/>
      <c r="G72" s="155" t="s">
        <v>59</v>
      </c>
      <c r="H72" s="14"/>
      <c r="I72" s="14"/>
      <c r="J72" s="14"/>
      <c r="K72" s="83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Q72" s="137"/>
      <c r="AR72" s="137"/>
      <c r="AS72" s="137"/>
      <c r="AT72" s="137"/>
      <c r="AU72" s="114"/>
      <c r="AV72" s="157"/>
      <c r="AW72" s="1"/>
      <c r="AX72" s="1"/>
      <c r="BO72" s="78"/>
    </row>
    <row r="73" spans="2:68" x14ac:dyDescent="0.3">
      <c r="D73" s="1"/>
      <c r="E73" s="154" t="s">
        <v>70</v>
      </c>
      <c r="F73" s="83"/>
      <c r="G73" s="117" t="s">
        <v>71</v>
      </c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Q73" s="137"/>
      <c r="AR73" s="137"/>
      <c r="AS73" s="137"/>
      <c r="AT73" s="137"/>
      <c r="AU73" s="139"/>
      <c r="AV73" s="139"/>
      <c r="AW73" s="83"/>
      <c r="AX73" s="83"/>
      <c r="BN73" s="14"/>
      <c r="BO73" s="84"/>
      <c r="BP73" s="1"/>
    </row>
    <row r="74" spans="2:68" x14ac:dyDescent="0.3">
      <c r="U74" s="1"/>
      <c r="V74" s="1"/>
      <c r="W74" s="1"/>
      <c r="X74" s="1"/>
      <c r="Y74" s="1"/>
      <c r="Z74" s="1"/>
      <c r="AA74" s="1"/>
      <c r="AQ74" s="137"/>
      <c r="AR74" s="137"/>
      <c r="AS74" s="137"/>
      <c r="AT74" s="137"/>
      <c r="AU74" s="114"/>
      <c r="AV74" s="114"/>
      <c r="AW74" s="1"/>
      <c r="AX74" s="1"/>
    </row>
    <row r="75" spans="2:68" x14ac:dyDescent="0.3">
      <c r="U75" s="1"/>
      <c r="V75" s="1"/>
      <c r="W75" s="1"/>
      <c r="X75" s="1"/>
      <c r="Y75" s="1"/>
      <c r="Z75" s="1"/>
      <c r="AA75" s="1"/>
      <c r="AQ75" s="137"/>
      <c r="AR75" s="137"/>
      <c r="AS75" s="137"/>
      <c r="AT75" s="137"/>
      <c r="AU75" s="114"/>
      <c r="AV75" s="114"/>
      <c r="AW75" s="1"/>
      <c r="AX75" s="1"/>
    </row>
    <row r="76" spans="2:68" x14ac:dyDescent="0.3">
      <c r="U76" s="1"/>
      <c r="V76" s="1"/>
      <c r="W76" s="1"/>
      <c r="X76" s="1" t="s">
        <v>18</v>
      </c>
      <c r="Y76" s="1"/>
      <c r="Z76" s="1"/>
      <c r="AA76" s="1"/>
      <c r="AQ76" s="138"/>
      <c r="AR76" s="138"/>
      <c r="AS76" s="138"/>
      <c r="AT76" s="138"/>
      <c r="AU76" s="114"/>
      <c r="AV76" s="114"/>
      <c r="AW76" s="1"/>
      <c r="AX76" s="1"/>
    </row>
    <row r="77" spans="2:68" x14ac:dyDescent="0.3">
      <c r="U77" s="1"/>
      <c r="V77" s="1"/>
      <c r="W77" s="1"/>
      <c r="X77" s="1"/>
      <c r="Y77" s="1"/>
      <c r="Z77" s="1"/>
      <c r="AA77" s="1"/>
      <c r="AQ77" s="138"/>
      <c r="AR77" s="138"/>
      <c r="AS77" s="138"/>
      <c r="AT77" s="138"/>
      <c r="AU77" s="114"/>
      <c r="AV77" s="114"/>
      <c r="AW77" s="1"/>
      <c r="AX77" s="1"/>
    </row>
    <row r="78" spans="2:68" x14ac:dyDescent="0.3">
      <c r="D78" s="1"/>
      <c r="U78" s="1"/>
      <c r="V78" s="1"/>
      <c r="W78" s="1"/>
      <c r="X78" s="1"/>
      <c r="Y78" s="1"/>
      <c r="Z78" s="1"/>
      <c r="AA78" s="1"/>
      <c r="AQ78" s="138"/>
      <c r="AR78" s="138"/>
      <c r="AS78" s="138"/>
      <c r="AT78" s="138"/>
      <c r="AU78" s="114"/>
      <c r="AV78" s="114"/>
      <c r="AW78" s="1"/>
      <c r="AX78" s="1"/>
    </row>
    <row r="79" spans="2:68" x14ac:dyDescent="0.3">
      <c r="U79" s="1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"/>
      <c r="AX79" s="1"/>
    </row>
    <row r="80" spans="2:68" x14ac:dyDescent="0.3">
      <c r="U80" s="1"/>
    </row>
    <row r="81" spans="4:65" x14ac:dyDescent="0.3">
      <c r="D81" s="78"/>
      <c r="U81" s="1"/>
    </row>
    <row r="82" spans="4:65" x14ac:dyDescent="0.3">
      <c r="U82" s="1"/>
    </row>
    <row r="83" spans="4:65" x14ac:dyDescent="0.3">
      <c r="U83" s="1"/>
    </row>
    <row r="84" spans="4:65" x14ac:dyDescent="0.3">
      <c r="U84" s="1"/>
    </row>
    <row r="85" spans="4:65" x14ac:dyDescent="0.3">
      <c r="U85" s="1"/>
    </row>
    <row r="86" spans="4:65" x14ac:dyDescent="0.3">
      <c r="U86" s="1"/>
    </row>
    <row r="87" spans="4:65" x14ac:dyDescent="0.3">
      <c r="U87" s="1"/>
    </row>
    <row r="88" spans="4:65" x14ac:dyDescent="0.3">
      <c r="U88" s="1"/>
    </row>
    <row r="89" spans="4:65" x14ac:dyDescent="0.3">
      <c r="U89" s="1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"/>
      <c r="AX89" s="1"/>
      <c r="AY89" s="1"/>
      <c r="AZ89" s="1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</row>
    <row r="90" spans="4:65" x14ac:dyDescent="0.3">
      <c r="U90" s="14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13"/>
      <c r="BB90" s="113"/>
      <c r="BC90" s="113"/>
      <c r="BD90" s="113"/>
      <c r="BE90" s="152"/>
      <c r="BF90" s="1"/>
      <c r="BG90" s="1"/>
      <c r="BH90" s="1"/>
      <c r="BI90" s="1"/>
      <c r="BJ90" s="1"/>
      <c r="BK90" s="1"/>
      <c r="BL90" s="1"/>
      <c r="BM90" s="1"/>
    </row>
    <row r="91" spans="4:65" x14ac:dyDescent="0.3">
      <c r="U91" s="14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13"/>
      <c r="BB91" s="113"/>
      <c r="BC91" s="113"/>
      <c r="BD91" s="113"/>
      <c r="BE91" s="113"/>
      <c r="BF91" s="1"/>
      <c r="BG91" s="1"/>
      <c r="BH91" s="1"/>
      <c r="BI91" s="1"/>
      <c r="BJ91" s="1"/>
      <c r="BK91" s="1"/>
      <c r="BL91" s="1"/>
      <c r="BM91" s="1"/>
    </row>
    <row r="92" spans="4:65" x14ac:dyDescent="0.3">
      <c r="U92" s="14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13"/>
      <c r="BB92" s="113"/>
      <c r="BC92" s="113"/>
      <c r="BD92" s="113"/>
      <c r="BE92" s="113"/>
      <c r="BF92" s="1"/>
      <c r="BG92" s="1"/>
      <c r="BH92" s="1"/>
      <c r="BI92" s="1"/>
      <c r="BJ92" s="1"/>
      <c r="BK92" s="1"/>
    </row>
    <row r="93" spans="4:65" x14ac:dyDescent="0.3">
      <c r="U93" s="14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13"/>
      <c r="BB93" s="113"/>
      <c r="BC93" s="113"/>
      <c r="BD93" s="113"/>
      <c r="BE93" s="113"/>
      <c r="BF93" s="1"/>
      <c r="BG93" s="1"/>
      <c r="BH93" s="1"/>
      <c r="BI93" s="1"/>
      <c r="BJ93" s="1"/>
      <c r="BK93" s="1"/>
    </row>
    <row r="94" spans="4:65" x14ac:dyDescent="0.3">
      <c r="U94" s="14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13"/>
      <c r="BB94" s="113"/>
      <c r="BC94" s="153"/>
      <c r="BD94" s="113"/>
      <c r="BE94" s="113"/>
    </row>
    <row r="95" spans="4:65" x14ac:dyDescent="0.3">
      <c r="U95" s="14"/>
      <c r="V95" s="114"/>
      <c r="W95" s="114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5"/>
      <c r="AI95" s="195"/>
      <c r="AJ95" s="195"/>
      <c r="AK95" s="114"/>
      <c r="AL95" s="114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13"/>
      <c r="BB95" s="113"/>
      <c r="BC95" s="113"/>
      <c r="BD95" s="113"/>
      <c r="BE95" s="113"/>
    </row>
    <row r="96" spans="4:65" x14ac:dyDescent="0.3">
      <c r="U96" s="14"/>
      <c r="V96" s="114"/>
      <c r="W96" s="114"/>
      <c r="X96" s="191"/>
      <c r="Y96" s="191"/>
      <c r="Z96" s="191"/>
      <c r="AA96" s="191"/>
      <c r="AB96" s="191"/>
      <c r="AC96" s="191"/>
      <c r="AD96" s="191"/>
      <c r="AE96" s="114"/>
      <c r="AF96" s="114"/>
      <c r="AG96" s="114"/>
      <c r="AH96" s="139"/>
      <c r="AI96" s="114"/>
      <c r="AJ96" s="114"/>
      <c r="AK96" s="139"/>
      <c r="AL96" s="114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13"/>
      <c r="BB96" s="113"/>
      <c r="BC96" s="113"/>
      <c r="BD96" s="113"/>
      <c r="BE96" s="113"/>
    </row>
    <row r="97" spans="2:57" x14ac:dyDescent="0.3">
      <c r="U97" s="14"/>
      <c r="V97" s="114"/>
      <c r="W97" s="114"/>
      <c r="X97" s="191"/>
      <c r="Y97" s="191"/>
      <c r="Z97" s="191"/>
      <c r="AA97" s="191"/>
      <c r="AB97" s="191"/>
      <c r="AC97" s="191"/>
      <c r="AD97" s="191"/>
      <c r="AE97" s="191"/>
      <c r="AF97" s="139"/>
      <c r="AG97" s="114"/>
      <c r="AH97" s="139"/>
      <c r="AI97" s="114"/>
      <c r="AJ97" s="114"/>
      <c r="AK97" s="139"/>
      <c r="AL97" s="114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13"/>
      <c r="BB97" s="113"/>
      <c r="BC97" s="113"/>
      <c r="BD97" s="113"/>
      <c r="BE97" s="113"/>
    </row>
    <row r="98" spans="2:57" x14ac:dyDescent="0.3">
      <c r="U98" s="14"/>
      <c r="V98" s="114"/>
      <c r="W98" s="114"/>
      <c r="X98" s="114"/>
      <c r="Y98" s="114"/>
      <c r="Z98" s="192"/>
      <c r="AA98" s="192"/>
      <c r="AB98" s="192"/>
      <c r="AC98" s="192"/>
      <c r="AD98" s="192"/>
      <c r="AE98" s="114"/>
      <c r="AF98" s="114"/>
      <c r="AG98" s="114"/>
      <c r="AH98" s="139"/>
      <c r="AI98" s="114"/>
      <c r="AJ98" s="114"/>
      <c r="AK98" s="139"/>
      <c r="AL98" s="114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13"/>
      <c r="BB98" s="113"/>
      <c r="BC98" s="113"/>
      <c r="BD98" s="113"/>
      <c r="BE98" s="113"/>
    </row>
    <row r="99" spans="2:57" x14ac:dyDescent="0.3">
      <c r="U99" s="14"/>
      <c r="V99" s="114"/>
      <c r="W99" s="114"/>
      <c r="X99" s="191"/>
      <c r="Y99" s="191"/>
      <c r="Z99" s="191"/>
      <c r="AA99" s="191"/>
      <c r="AB99" s="191"/>
      <c r="AC99" s="191"/>
      <c r="AD99" s="191"/>
      <c r="AE99" s="191"/>
      <c r="AF99" s="191"/>
      <c r="AG99" s="191"/>
      <c r="AH99" s="139"/>
      <c r="AI99" s="114"/>
      <c r="AJ99" s="114"/>
      <c r="AK99" s="139"/>
      <c r="AL99" s="114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2:57" x14ac:dyDescent="0.3">
      <c r="U100" s="14"/>
      <c r="V100" s="114"/>
      <c r="W100" s="114"/>
      <c r="X100" s="114"/>
      <c r="Y100" s="114"/>
      <c r="Z100" s="192"/>
      <c r="AA100" s="192"/>
      <c r="AB100" s="192"/>
      <c r="AC100" s="192"/>
      <c r="AD100" s="192"/>
      <c r="AE100" s="192"/>
      <c r="AF100" s="192"/>
      <c r="AG100" s="114"/>
      <c r="AH100" s="139"/>
      <c r="AI100" s="114"/>
      <c r="AJ100" s="114"/>
      <c r="AK100" s="139"/>
      <c r="AL100" s="114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2:57" x14ac:dyDescent="0.3">
      <c r="U101" s="14"/>
      <c r="V101" s="114"/>
      <c r="W101" s="114"/>
      <c r="X101" s="114"/>
      <c r="Y101" s="114"/>
      <c r="Z101" s="192"/>
      <c r="AA101" s="192"/>
      <c r="AB101" s="192"/>
      <c r="AC101" s="192"/>
      <c r="AD101" s="192"/>
      <c r="AE101" s="192"/>
      <c r="AF101" s="192"/>
      <c r="AG101" s="114"/>
      <c r="AH101" s="139"/>
      <c r="AI101" s="114"/>
      <c r="AJ101" s="114"/>
      <c r="AK101" s="139"/>
      <c r="AL101" s="114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2:57" x14ac:dyDescent="0.3">
      <c r="U102" s="14"/>
      <c r="V102" s="114"/>
      <c r="W102" s="114"/>
      <c r="X102" s="114"/>
      <c r="Y102" s="114"/>
      <c r="Z102" s="192"/>
      <c r="AA102" s="192"/>
      <c r="AB102" s="192"/>
      <c r="AC102" s="192"/>
      <c r="AD102" s="192"/>
      <c r="AE102" s="192"/>
      <c r="AF102" s="192"/>
      <c r="AG102" s="114"/>
      <c r="AH102" s="139"/>
      <c r="AI102" s="114"/>
      <c r="AJ102" s="114"/>
      <c r="AK102" s="139"/>
      <c r="AL102" s="114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2:57" x14ac:dyDescent="0.3">
      <c r="U103" s="14"/>
      <c r="V103" s="114"/>
      <c r="W103" s="114"/>
      <c r="X103" s="114"/>
      <c r="Y103" s="114"/>
      <c r="Z103" s="192"/>
      <c r="AA103" s="192"/>
      <c r="AB103" s="192"/>
      <c r="AC103" s="192"/>
      <c r="AD103" s="192"/>
      <c r="AE103" s="192"/>
      <c r="AF103" s="192"/>
      <c r="AG103" s="114"/>
      <c r="AH103" s="139"/>
      <c r="AI103" s="114"/>
      <c r="AJ103" s="114"/>
      <c r="AK103" s="139"/>
      <c r="AL103" s="114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2:57" x14ac:dyDescent="0.3">
      <c r="U104" s="14"/>
      <c r="V104" s="114"/>
      <c r="W104" s="114"/>
      <c r="X104" s="114"/>
      <c r="Y104" s="114"/>
      <c r="Z104" s="192"/>
      <c r="AA104" s="192"/>
      <c r="AB104" s="192"/>
      <c r="AC104" s="192"/>
      <c r="AD104" s="192"/>
      <c r="AE104" s="192"/>
      <c r="AF104" s="192"/>
      <c r="AG104" s="114"/>
      <c r="AH104" s="139"/>
      <c r="AI104" s="114"/>
      <c r="AJ104" s="114"/>
      <c r="AK104" s="139"/>
      <c r="AL104" s="114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2:57" x14ac:dyDescent="0.3">
      <c r="U105" s="14"/>
      <c r="V105" s="114"/>
      <c r="W105" s="114"/>
      <c r="X105" s="191"/>
      <c r="Y105" s="191"/>
      <c r="Z105" s="191"/>
      <c r="AA105" s="191"/>
      <c r="AB105" s="191"/>
      <c r="AC105" s="191"/>
      <c r="AD105" s="191"/>
      <c r="AE105" s="191"/>
      <c r="AF105" s="191"/>
      <c r="AG105" s="191"/>
      <c r="AH105" s="114"/>
      <c r="AI105" s="114"/>
      <c r="AJ105" s="139"/>
      <c r="AK105" s="139"/>
      <c r="AL105" s="114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2:57" x14ac:dyDescent="0.3">
      <c r="U106" s="14"/>
      <c r="V106" s="114"/>
      <c r="W106" s="114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14"/>
      <c r="AJ106" s="114"/>
      <c r="AK106" s="139"/>
      <c r="AL106" s="114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2:57" x14ac:dyDescent="0.3"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14"/>
      <c r="AG107" s="139"/>
      <c r="AH107" s="193"/>
      <c r="AI107" s="139"/>
      <c r="AJ107" s="139"/>
      <c r="AK107" s="139"/>
      <c r="AL107" s="139"/>
    </row>
    <row r="108" spans="2:57" x14ac:dyDescent="0.3">
      <c r="B108" s="156"/>
      <c r="D108" s="77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14"/>
      <c r="AI108" s="139"/>
      <c r="AJ108" s="194"/>
      <c r="AK108" s="139"/>
      <c r="AL108" s="139"/>
    </row>
    <row r="109" spans="2:57" x14ac:dyDescent="0.3">
      <c r="B109" s="1"/>
      <c r="D109" s="77"/>
      <c r="O109" s="83"/>
      <c r="P109" s="83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</row>
    <row r="110" spans="2:57" x14ac:dyDescent="0.3">
      <c r="B110" s="1"/>
      <c r="D110" s="77"/>
      <c r="O110" s="83"/>
      <c r="P110" s="83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</row>
    <row r="111" spans="2:57" x14ac:dyDescent="0.3">
      <c r="B111" s="1"/>
      <c r="D111" s="77"/>
      <c r="O111" s="83"/>
      <c r="P111" s="83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</row>
    <row r="112" spans="2:57" x14ac:dyDescent="0.3">
      <c r="B112" s="1"/>
      <c r="D112" s="77"/>
      <c r="O112" s="83"/>
      <c r="P112" s="83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</row>
    <row r="113" spans="2:30" x14ac:dyDescent="0.3">
      <c r="B113" s="77"/>
      <c r="D113" s="77"/>
      <c r="O113" s="83"/>
      <c r="P113" s="83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</row>
    <row r="114" spans="2:30" x14ac:dyDescent="0.3">
      <c r="B114" s="79"/>
      <c r="D114" s="77"/>
      <c r="O114" s="83"/>
      <c r="P114" s="83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</row>
    <row r="115" spans="2:30" x14ac:dyDescent="0.3">
      <c r="B115" s="1"/>
      <c r="D115" s="77"/>
      <c r="O115" s="83"/>
      <c r="P115" s="83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</row>
    <row r="116" spans="2:30" x14ac:dyDescent="0.3">
      <c r="B116" s="1"/>
      <c r="D116" s="77"/>
      <c r="Q116" s="147"/>
      <c r="R116" s="147"/>
      <c r="S116" s="147"/>
      <c r="T116" s="147"/>
      <c r="U116" s="147"/>
      <c r="V116" s="147"/>
      <c r="W116" s="147"/>
      <c r="X116" s="147"/>
      <c r="Y116" s="147"/>
      <c r="Z116" s="147"/>
      <c r="AA116" s="147"/>
      <c r="AB116" s="147"/>
      <c r="AC116" s="147"/>
      <c r="AD116" s="147"/>
    </row>
    <row r="117" spans="2:30" x14ac:dyDescent="0.3">
      <c r="B117" s="1"/>
      <c r="D117" s="77"/>
    </row>
    <row r="118" spans="2:30" x14ac:dyDescent="0.3">
      <c r="B118" s="1"/>
      <c r="D118" s="77"/>
    </row>
    <row r="119" spans="2:30" x14ac:dyDescent="0.3">
      <c r="B119" s="79" t="e">
        <f>+B118/B117</f>
        <v>#DIV/0!</v>
      </c>
      <c r="D119" s="77"/>
    </row>
    <row r="120" spans="2:30" x14ac:dyDescent="0.3">
      <c r="B120" s="1"/>
      <c r="D120" s="77"/>
    </row>
    <row r="121" spans="2:30" x14ac:dyDescent="0.3">
      <c r="B121" s="1"/>
      <c r="D121" s="77"/>
    </row>
    <row r="122" spans="2:30" x14ac:dyDescent="0.3">
      <c r="B122" s="1">
        <f>+B118*50</f>
        <v>0</v>
      </c>
      <c r="D122" s="77"/>
    </row>
    <row r="123" spans="2:30" x14ac:dyDescent="0.3">
      <c r="B123" s="1"/>
      <c r="D123" s="77"/>
    </row>
    <row r="124" spans="2:30" x14ac:dyDescent="0.3">
      <c r="B124" s="1"/>
      <c r="D124" s="77"/>
    </row>
    <row r="125" spans="2:30" x14ac:dyDescent="0.3">
      <c r="B125" s="1"/>
      <c r="D125" s="77"/>
    </row>
    <row r="126" spans="2:30" x14ac:dyDescent="0.3">
      <c r="B126" s="1"/>
      <c r="D126" s="77"/>
    </row>
    <row r="127" spans="2:30" x14ac:dyDescent="0.3">
      <c r="B127" s="1"/>
      <c r="D127" s="77"/>
    </row>
    <row r="128" spans="2:30" x14ac:dyDescent="0.3">
      <c r="B128" s="1"/>
      <c r="D128" s="77"/>
    </row>
    <row r="129" spans="2:4" x14ac:dyDescent="0.3">
      <c r="B129" s="1"/>
      <c r="D129" s="77"/>
    </row>
    <row r="130" spans="2:4" x14ac:dyDescent="0.3">
      <c r="B130" s="1"/>
      <c r="D130" s="77"/>
    </row>
    <row r="131" spans="2:4" x14ac:dyDescent="0.3">
      <c r="B131" s="1"/>
      <c r="D131" s="77"/>
    </row>
    <row r="132" spans="2:4" x14ac:dyDescent="0.3">
      <c r="B132" s="1"/>
    </row>
    <row r="133" spans="2:4" x14ac:dyDescent="0.3">
      <c r="B133" s="1"/>
    </row>
    <row r="134" spans="2:4" x14ac:dyDescent="0.3">
      <c r="B134" s="1"/>
    </row>
    <row r="135" spans="2:4" x14ac:dyDescent="0.3">
      <c r="B135" s="1"/>
    </row>
    <row r="136" spans="2:4" x14ac:dyDescent="0.3">
      <c r="B136" s="1"/>
    </row>
    <row r="137" spans="2:4" x14ac:dyDescent="0.3">
      <c r="B137" s="1"/>
    </row>
    <row r="138" spans="2:4" x14ac:dyDescent="0.3">
      <c r="B138" s="1"/>
    </row>
    <row r="139" spans="2:4" x14ac:dyDescent="0.3">
      <c r="B139" s="1"/>
    </row>
  </sheetData>
  <mergeCells count="15">
    <mergeCell ref="AJ8:AL8"/>
    <mergeCell ref="AN8:AT8"/>
    <mergeCell ref="B1:D1"/>
    <mergeCell ref="B2:D2"/>
    <mergeCell ref="J4:T4"/>
    <mergeCell ref="D7:J7"/>
    <mergeCell ref="B3:C3"/>
    <mergeCell ref="F6:L6"/>
    <mergeCell ref="P6:V6"/>
    <mergeCell ref="O7:S7"/>
    <mergeCell ref="X4:AY4"/>
    <mergeCell ref="AB6:AH6"/>
    <mergeCell ref="AN6:AY6"/>
    <mergeCell ref="X7:AH7"/>
    <mergeCell ref="AJ7:AY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M75"/>
  <sheetViews>
    <sheetView topLeftCell="A28" workbookViewId="0">
      <selection activeCell="W53" sqref="W53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2.33203125" customWidth="1"/>
    <col min="18" max="18" width="2.44140625" customWidth="1"/>
    <col min="20" max="20" width="2.33203125" customWidth="1"/>
    <col min="21" max="21" width="5.6640625" customWidth="1"/>
    <col min="24" max="24" width="1.88671875" customWidth="1"/>
    <col min="25" max="25" width="2.5546875" customWidth="1"/>
    <col min="26" max="26" width="7.6640625" customWidth="1"/>
    <col min="27" max="27" width="2.44140625" customWidth="1"/>
    <col min="28" max="28" width="12" customWidth="1"/>
    <col min="29" max="29" width="1.6640625" customWidth="1"/>
    <col min="30" max="30" width="10" customWidth="1"/>
    <col min="31" max="31" width="1.88671875" customWidth="1"/>
    <col min="33" max="33" width="1.5546875" customWidth="1"/>
    <col min="35" max="35" width="1.88671875" customWidth="1"/>
    <col min="36" max="36" width="8.88671875" customWidth="1"/>
    <col min="38" max="38" width="8.88671875" customWidth="1"/>
    <col min="39" max="39" width="14.6640625" customWidth="1"/>
  </cols>
  <sheetData>
    <row r="1" spans="3:38" ht="15.6" x14ac:dyDescent="0.3">
      <c r="C1" s="210" t="s">
        <v>5</v>
      </c>
      <c r="D1" s="210"/>
      <c r="E1" s="210"/>
    </row>
    <row r="2" spans="3:38" ht="15.6" x14ac:dyDescent="0.3">
      <c r="C2" s="210" t="s">
        <v>6</v>
      </c>
      <c r="D2" s="210"/>
      <c r="E2" s="210"/>
    </row>
    <row r="3" spans="3:38" x14ac:dyDescent="0.3">
      <c r="C3" s="211" t="s">
        <v>14</v>
      </c>
      <c r="D3" s="211"/>
    </row>
    <row r="4" spans="3:38" x14ac:dyDescent="0.3">
      <c r="D4" s="211"/>
      <c r="E4" s="211"/>
    </row>
    <row r="5" spans="3:38" x14ac:dyDescent="0.3">
      <c r="D5" s="211"/>
      <c r="E5" s="211"/>
    </row>
    <row r="6" spans="3:38" ht="15" thickBot="1" x14ac:dyDescent="0.35"/>
    <row r="7" spans="3:38" x14ac:dyDescent="0.3">
      <c r="C7" s="80" t="s">
        <v>81</v>
      </c>
      <c r="E7" s="426" t="s">
        <v>7</v>
      </c>
      <c r="F7" s="427"/>
      <c r="G7" s="432">
        <v>0.7</v>
      </c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3"/>
    </row>
    <row r="8" spans="3:38" x14ac:dyDescent="0.3">
      <c r="E8" s="428" t="s">
        <v>13</v>
      </c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30"/>
      <c r="Q8" s="430"/>
      <c r="R8" s="430"/>
      <c r="S8" s="431"/>
    </row>
    <row r="9" spans="3:38" x14ac:dyDescent="0.3">
      <c r="E9" s="424" t="s">
        <v>38</v>
      </c>
      <c r="F9" s="425"/>
      <c r="G9" s="425"/>
      <c r="H9" s="425"/>
      <c r="I9" s="425"/>
      <c r="J9" s="425"/>
      <c r="K9" s="425"/>
      <c r="L9" s="425"/>
      <c r="M9" s="425"/>
      <c r="N9" s="331"/>
      <c r="O9" s="332"/>
      <c r="P9" s="5"/>
      <c r="Q9" s="442" t="s">
        <v>4</v>
      </c>
      <c r="R9" s="425"/>
      <c r="S9" s="443"/>
      <c r="U9" s="80" t="s">
        <v>19</v>
      </c>
    </row>
    <row r="10" spans="3:38" x14ac:dyDescent="0.3">
      <c r="E10" s="335" t="s">
        <v>8</v>
      </c>
      <c r="F10" s="5"/>
      <c r="G10" s="4" t="s">
        <v>52</v>
      </c>
      <c r="H10" s="5"/>
      <c r="I10" s="331" t="s">
        <v>53</v>
      </c>
      <c r="J10" s="5"/>
      <c r="K10" s="4" t="s">
        <v>9</v>
      </c>
      <c r="L10" s="5"/>
      <c r="M10" s="217" t="s">
        <v>82</v>
      </c>
      <c r="N10" s="148"/>
      <c r="O10" s="149" t="s">
        <v>16</v>
      </c>
      <c r="P10" s="6"/>
      <c r="Q10" s="4" t="s">
        <v>4</v>
      </c>
      <c r="R10" s="6"/>
      <c r="S10" s="336" t="s">
        <v>83</v>
      </c>
    </row>
    <row r="11" spans="3:38" x14ac:dyDescent="0.3">
      <c r="C11" s="214">
        <v>43910</v>
      </c>
      <c r="E11" s="337"/>
      <c r="F11" s="7"/>
      <c r="G11" s="7"/>
      <c r="H11" s="7"/>
      <c r="I11" s="7"/>
      <c r="J11" s="7"/>
      <c r="K11" s="7"/>
      <c r="L11" s="6"/>
      <c r="M11" s="36"/>
      <c r="N11" s="36"/>
      <c r="O11" s="36"/>
      <c r="P11" s="6"/>
      <c r="Q11" s="6"/>
      <c r="R11" s="6"/>
      <c r="S11" s="338"/>
      <c r="U11">
        <v>1</v>
      </c>
      <c r="AJ11" s="139"/>
      <c r="AK11" s="139"/>
      <c r="AL11" s="139"/>
    </row>
    <row r="12" spans="3:38" ht="15" thickBot="1" x14ac:dyDescent="0.35">
      <c r="C12" s="214">
        <f t="shared" ref="C12" si="0">+C11+1</f>
        <v>43911</v>
      </c>
      <c r="E12" s="337"/>
      <c r="F12" s="7"/>
      <c r="G12" s="7"/>
      <c r="H12" s="7"/>
      <c r="I12" s="7"/>
      <c r="J12" s="7"/>
      <c r="K12" s="7"/>
      <c r="L12" s="6"/>
      <c r="M12" s="36"/>
      <c r="N12" s="36"/>
      <c r="O12" s="36"/>
      <c r="P12" s="6"/>
      <c r="Q12" s="6"/>
      <c r="R12" s="6"/>
      <c r="S12" s="338"/>
      <c r="U12">
        <f t="shared" ref="U12:U61" si="1">+U11+1</f>
        <v>2</v>
      </c>
      <c r="X12" s="14"/>
      <c r="Y12" s="14"/>
      <c r="Z12" s="14"/>
      <c r="AA12" s="14"/>
      <c r="AB12" s="14"/>
      <c r="AC12" s="14"/>
      <c r="AD12" s="14"/>
      <c r="AE12" s="83"/>
      <c r="AF12" s="83"/>
      <c r="AG12" s="83"/>
      <c r="AH12" s="83"/>
      <c r="AI12" s="83"/>
      <c r="AJ12" s="139"/>
      <c r="AK12" s="139"/>
      <c r="AL12" s="139"/>
    </row>
    <row r="13" spans="3:38" ht="15" thickBot="1" x14ac:dyDescent="0.35">
      <c r="C13" s="214">
        <f>+C12+1</f>
        <v>43912</v>
      </c>
      <c r="E13" s="337"/>
      <c r="F13" s="7"/>
      <c r="G13" s="7"/>
      <c r="H13" s="7"/>
      <c r="I13" s="7"/>
      <c r="J13" s="7"/>
      <c r="K13" s="7"/>
      <c r="L13" s="6"/>
      <c r="M13" s="36"/>
      <c r="N13" s="36"/>
      <c r="O13" s="36"/>
      <c r="P13" s="6"/>
      <c r="Q13" s="6"/>
      <c r="R13" s="6"/>
      <c r="S13" s="338"/>
      <c r="U13">
        <f t="shared" si="1"/>
        <v>3</v>
      </c>
      <c r="X13" s="1"/>
      <c r="Y13" s="1"/>
      <c r="Z13" s="1"/>
      <c r="AA13" s="253" t="s">
        <v>62</v>
      </c>
      <c r="AB13" s="254"/>
      <c r="AC13" s="254"/>
      <c r="AD13" s="254"/>
      <c r="AE13" s="254"/>
      <c r="AF13" s="254"/>
      <c r="AG13" s="254"/>
      <c r="AH13" s="254"/>
      <c r="AI13" s="255"/>
      <c r="AJ13" s="195"/>
      <c r="AK13" s="195"/>
      <c r="AL13" s="139"/>
    </row>
    <row r="14" spans="3:38" ht="15" thickBot="1" x14ac:dyDescent="0.35">
      <c r="C14" s="214">
        <f t="shared" ref="C14:C61" si="2">+C13+1</f>
        <v>43913</v>
      </c>
      <c r="E14" s="337"/>
      <c r="F14" s="7"/>
      <c r="G14" s="7"/>
      <c r="H14" s="7"/>
      <c r="I14" s="7"/>
      <c r="J14" s="7"/>
      <c r="K14" s="7"/>
      <c r="L14" s="6"/>
      <c r="M14" s="36"/>
      <c r="N14" s="36"/>
      <c r="O14" s="36"/>
      <c r="P14" s="6"/>
      <c r="Q14" s="6"/>
      <c r="R14" s="6"/>
      <c r="S14" s="338"/>
      <c r="U14">
        <f t="shared" si="1"/>
        <v>4</v>
      </c>
      <c r="X14" s="1"/>
      <c r="Y14" s="1"/>
      <c r="Z14" s="1"/>
      <c r="AA14" s="256"/>
      <c r="AB14" s="439" t="s">
        <v>49</v>
      </c>
      <c r="AC14" s="440"/>
      <c r="AD14" s="441"/>
      <c r="AE14" s="257"/>
      <c r="AF14" s="437" t="s">
        <v>33</v>
      </c>
      <c r="AG14" s="258"/>
      <c r="AH14" s="258"/>
      <c r="AI14" s="259"/>
      <c r="AJ14" s="139"/>
      <c r="AK14" s="139"/>
      <c r="AL14" s="139"/>
    </row>
    <row r="15" spans="3:38" ht="15" thickBot="1" x14ac:dyDescent="0.35">
      <c r="C15" s="214">
        <f t="shared" si="2"/>
        <v>43914</v>
      </c>
      <c r="E15" s="337"/>
      <c r="F15" s="7"/>
      <c r="G15" s="7"/>
      <c r="H15" s="7"/>
      <c r="I15" s="7"/>
      <c r="J15" s="7"/>
      <c r="K15" s="7"/>
      <c r="L15" s="6"/>
      <c r="M15" s="36"/>
      <c r="N15" s="36"/>
      <c r="O15" s="36"/>
      <c r="P15" s="6"/>
      <c r="Q15" s="6"/>
      <c r="R15" s="6"/>
      <c r="S15" s="338"/>
      <c r="U15">
        <f t="shared" si="1"/>
        <v>5</v>
      </c>
      <c r="X15" s="1"/>
      <c r="Y15" s="1"/>
      <c r="Z15" s="1"/>
      <c r="AA15" s="240"/>
      <c r="AB15" s="212"/>
      <c r="AC15" s="212"/>
      <c r="AD15" s="260" t="s">
        <v>21</v>
      </c>
      <c r="AE15" s="261"/>
      <c r="AF15" s="438"/>
      <c r="AG15" s="262"/>
      <c r="AH15" s="263" t="s">
        <v>4</v>
      </c>
      <c r="AI15" s="264"/>
      <c r="AJ15" s="139"/>
      <c r="AK15" s="139"/>
      <c r="AL15" s="139"/>
    </row>
    <row r="16" spans="3:38" x14ac:dyDescent="0.3">
      <c r="C16" s="214">
        <f t="shared" si="2"/>
        <v>43915</v>
      </c>
      <c r="E16" s="337"/>
      <c r="F16" s="7"/>
      <c r="G16" s="7"/>
      <c r="H16" s="7"/>
      <c r="I16" s="7"/>
      <c r="J16" s="7"/>
      <c r="K16" s="7"/>
      <c r="L16" s="6"/>
      <c r="M16" s="36"/>
      <c r="N16" s="36"/>
      <c r="O16" s="36"/>
      <c r="P16" s="6"/>
      <c r="Q16" s="6"/>
      <c r="R16" s="6"/>
      <c r="S16" s="338"/>
      <c r="U16">
        <f t="shared" si="1"/>
        <v>6</v>
      </c>
      <c r="X16" s="1"/>
      <c r="Y16" s="1"/>
      <c r="Z16" s="1"/>
      <c r="AA16" s="240"/>
      <c r="AB16" s="252" t="s">
        <v>40</v>
      </c>
      <c r="AC16" s="212"/>
      <c r="AD16" s="252">
        <f>+K63</f>
        <v>493244</v>
      </c>
      <c r="AE16" s="251"/>
      <c r="AF16" s="265">
        <f>+AH31</f>
        <v>1517.7722787120899</v>
      </c>
      <c r="AG16" s="265"/>
      <c r="AH16" s="266">
        <f>+Q63</f>
        <v>444</v>
      </c>
      <c r="AI16" s="267"/>
      <c r="AJ16" s="139"/>
      <c r="AK16" s="139"/>
      <c r="AL16" s="139"/>
    </row>
    <row r="17" spans="3:39" x14ac:dyDescent="0.3">
      <c r="C17" s="214">
        <f t="shared" si="2"/>
        <v>43916</v>
      </c>
      <c r="E17" s="337"/>
      <c r="F17" s="7"/>
      <c r="G17" s="7"/>
      <c r="H17" s="7"/>
      <c r="I17" s="7"/>
      <c r="J17" s="7"/>
      <c r="K17" s="7"/>
      <c r="L17" s="6"/>
      <c r="M17" s="36"/>
      <c r="N17" s="36"/>
      <c r="O17" s="36"/>
      <c r="P17" s="6"/>
      <c r="Q17" s="6"/>
      <c r="R17" s="6"/>
      <c r="S17" s="338"/>
      <c r="U17">
        <f t="shared" si="1"/>
        <v>7</v>
      </c>
      <c r="X17" s="83"/>
      <c r="Y17" s="83"/>
      <c r="Z17" s="14"/>
      <c r="AA17" s="240"/>
      <c r="AB17" s="268" t="s">
        <v>60</v>
      </c>
      <c r="AC17" s="212"/>
      <c r="AD17" s="203">
        <v>73721</v>
      </c>
      <c r="AE17" s="252"/>
      <c r="AF17" s="204">
        <v>1070</v>
      </c>
      <c r="AG17" s="265"/>
      <c r="AH17" s="203">
        <v>4552</v>
      </c>
      <c r="AI17" s="269"/>
      <c r="AJ17" s="139"/>
      <c r="AK17" s="114"/>
      <c r="AL17" s="114"/>
    </row>
    <row r="18" spans="3:39" x14ac:dyDescent="0.3">
      <c r="C18" s="214">
        <f t="shared" si="2"/>
        <v>43917</v>
      </c>
      <c r="E18" s="337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37"/>
      <c r="N18" s="37"/>
      <c r="O18" s="37"/>
      <c r="P18" s="57"/>
      <c r="Q18" s="6"/>
      <c r="R18" s="6"/>
      <c r="S18" s="339"/>
      <c r="U18">
        <f t="shared" si="1"/>
        <v>8</v>
      </c>
      <c r="X18" s="1"/>
      <c r="Y18" s="1"/>
      <c r="Z18" s="1"/>
      <c r="AA18" s="240"/>
      <c r="AB18" s="252" t="s">
        <v>93</v>
      </c>
      <c r="AC18" s="212"/>
      <c r="AD18" s="203">
        <v>55956</v>
      </c>
      <c r="AE18" s="252"/>
      <c r="AF18" s="204">
        <v>437</v>
      </c>
      <c r="AG18" s="265"/>
      <c r="AH18" s="203">
        <v>3589</v>
      </c>
      <c r="AI18" s="269"/>
      <c r="AJ18" s="139"/>
      <c r="AK18" s="114"/>
      <c r="AL18" s="114"/>
    </row>
    <row r="19" spans="3:39" ht="15" thickBot="1" x14ac:dyDescent="0.35">
      <c r="C19" s="214">
        <f t="shared" si="2"/>
        <v>43918</v>
      </c>
      <c r="E19" s="337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37">
        <f t="shared" ref="M19:M30" si="4">+(K19-K18)/K18</f>
        <v>0.1815252816835832</v>
      </c>
      <c r="N19" s="37"/>
      <c r="O19" s="37"/>
      <c r="P19" s="57"/>
      <c r="Q19" s="7">
        <f>728+140</f>
        <v>868</v>
      </c>
      <c r="R19" s="6"/>
      <c r="S19" s="339">
        <f>+Q19/K19</f>
        <v>1.3681788089908893E-2</v>
      </c>
      <c r="U19">
        <f t="shared" si="1"/>
        <v>9</v>
      </c>
      <c r="X19" s="1"/>
      <c r="Y19" s="1"/>
      <c r="Z19" s="14"/>
      <c r="AA19" s="240"/>
      <c r="AB19" s="212"/>
      <c r="AC19" s="212"/>
      <c r="AD19" s="270">
        <f>SUM(AD16:AD18)</f>
        <v>622921</v>
      </c>
      <c r="AE19" s="252"/>
      <c r="AF19" s="252"/>
      <c r="AG19" s="252"/>
      <c r="AH19" s="270">
        <f>SUM(AH16:AH18)</f>
        <v>8585</v>
      </c>
      <c r="AI19" s="269"/>
      <c r="AJ19" s="139"/>
      <c r="AK19" s="114"/>
      <c r="AL19" s="114"/>
    </row>
    <row r="20" spans="3:39" ht="15" thickTop="1" x14ac:dyDescent="0.3">
      <c r="C20" s="214">
        <f t="shared" si="2"/>
        <v>43919</v>
      </c>
      <c r="E20" s="337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37">
        <f t="shared" si="4"/>
        <v>0.14906528797957189</v>
      </c>
      <c r="N20" s="37"/>
      <c r="O20" s="37"/>
      <c r="P20" s="57"/>
      <c r="Q20" s="7">
        <f>965+161</f>
        <v>1126</v>
      </c>
      <c r="R20" s="6"/>
      <c r="S20" s="339">
        <f t="shared" ref="S20:S52" si="5">+Q20/K20</f>
        <v>1.5446028066228617E-2</v>
      </c>
      <c r="U20">
        <f t="shared" si="1"/>
        <v>10</v>
      </c>
      <c r="X20" s="1"/>
      <c r="Y20" s="1"/>
      <c r="Z20" s="1"/>
      <c r="AA20" s="240"/>
      <c r="AB20" s="212"/>
      <c r="AC20" s="212"/>
      <c r="AD20" s="252"/>
      <c r="AE20" s="252"/>
      <c r="AF20" s="252"/>
      <c r="AG20" s="252"/>
      <c r="AH20" s="252"/>
      <c r="AI20" s="269"/>
      <c r="AJ20" s="139"/>
      <c r="AK20" s="114"/>
      <c r="AL20" s="114"/>
    </row>
    <row r="21" spans="3:39" ht="15" thickBot="1" x14ac:dyDescent="0.35">
      <c r="C21" s="214">
        <f t="shared" si="2"/>
        <v>43920</v>
      </c>
      <c r="E21" s="337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37">
        <f t="shared" si="4"/>
        <v>0.13997448524671122</v>
      </c>
      <c r="N21" s="37"/>
      <c r="O21" s="37"/>
      <c r="P21" s="57"/>
      <c r="Q21" s="7">
        <f>1218+198</f>
        <v>1416</v>
      </c>
      <c r="R21" s="6"/>
      <c r="S21" s="339">
        <f t="shared" si="5"/>
        <v>1.7039096061514023E-2</v>
      </c>
      <c r="U21">
        <f t="shared" si="1"/>
        <v>11</v>
      </c>
      <c r="X21" s="1"/>
      <c r="Y21" s="1"/>
      <c r="Z21" s="1"/>
      <c r="AA21" s="240"/>
      <c r="AB21" s="271" t="s">
        <v>30</v>
      </c>
      <c r="AC21" s="212"/>
      <c r="AD21" s="272">
        <f>+AD19/'Main Table'!H65</f>
        <v>0.48205603238465367</v>
      </c>
      <c r="AE21" s="252"/>
      <c r="AF21" s="252"/>
      <c r="AG21" s="252"/>
      <c r="AH21" s="272">
        <f>+AH19/'Main Table'!R65</f>
        <v>0.11161091537851506</v>
      </c>
      <c r="AI21" s="269"/>
      <c r="AJ21" s="139"/>
      <c r="AK21" s="114"/>
      <c r="AL21" s="114"/>
    </row>
    <row r="22" spans="3:39" ht="15.6" thickTop="1" thickBot="1" x14ac:dyDescent="0.35">
      <c r="C22" s="214">
        <f t="shared" si="2"/>
        <v>43921</v>
      </c>
      <c r="E22" s="337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37">
        <f t="shared" si="4"/>
        <v>0.13703476408793908</v>
      </c>
      <c r="N22" s="37"/>
      <c r="O22" s="37"/>
      <c r="P22" s="6"/>
      <c r="Q22" s="7">
        <f>1550+267</f>
        <v>1817</v>
      </c>
      <c r="R22" s="6"/>
      <c r="S22" s="339">
        <f t="shared" si="5"/>
        <v>1.9229344593665005E-2</v>
      </c>
      <c r="U22">
        <f t="shared" si="1"/>
        <v>12</v>
      </c>
      <c r="X22" s="1"/>
      <c r="Y22" s="1"/>
      <c r="Z22" s="1"/>
      <c r="AA22" s="245"/>
      <c r="AB22" s="273"/>
      <c r="AC22" s="246"/>
      <c r="AD22" s="274"/>
      <c r="AE22" s="275"/>
      <c r="AF22" s="275"/>
      <c r="AG22" s="275"/>
      <c r="AH22" s="274"/>
      <c r="AI22" s="276"/>
      <c r="AJ22" s="139"/>
      <c r="AK22" s="114"/>
      <c r="AL22" s="114"/>
    </row>
    <row r="23" spans="3:39" x14ac:dyDescent="0.3">
      <c r="C23" s="214">
        <f t="shared" si="2"/>
        <v>43922</v>
      </c>
      <c r="E23" s="337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37">
        <f t="shared" si="4"/>
        <v>0.12145072017440814</v>
      </c>
      <c r="N23" s="37"/>
      <c r="O23" s="37"/>
      <c r="P23" s="6"/>
      <c r="Q23" s="7">
        <f>1941+355</f>
        <v>2296</v>
      </c>
      <c r="R23" s="6"/>
      <c r="S23" s="339">
        <f t="shared" si="5"/>
        <v>2.1667122783508075E-2</v>
      </c>
      <c r="U23">
        <f t="shared" si="1"/>
        <v>13</v>
      </c>
      <c r="X23" s="1"/>
      <c r="Y23" s="1"/>
      <c r="Z23" s="114"/>
      <c r="AA23" s="114"/>
      <c r="AB23" s="119"/>
      <c r="AC23" s="114"/>
      <c r="AD23" s="120"/>
      <c r="AE23" s="114"/>
      <c r="AF23" s="114"/>
      <c r="AG23" s="114"/>
      <c r="AH23" s="114"/>
      <c r="AI23" s="114"/>
      <c r="AJ23" s="120"/>
      <c r="AK23" s="114"/>
      <c r="AL23" s="114"/>
    </row>
    <row r="24" spans="3:39" ht="15" thickBot="1" x14ac:dyDescent="0.35">
      <c r="C24" s="214">
        <f t="shared" si="2"/>
        <v>43923</v>
      </c>
      <c r="E24" s="337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37">
        <f t="shared" si="4"/>
        <v>0.11446016212594487</v>
      </c>
      <c r="N24" s="37"/>
      <c r="O24" s="37"/>
      <c r="P24" s="6"/>
      <c r="Q24" s="7">
        <f>2373+537</f>
        <v>2910</v>
      </c>
      <c r="R24" s="6"/>
      <c r="S24" s="339">
        <f t="shared" si="5"/>
        <v>2.4640970058257688E-2</v>
      </c>
      <c r="U24">
        <f t="shared" si="1"/>
        <v>14</v>
      </c>
      <c r="X24" s="1"/>
      <c r="Y24" s="1"/>
      <c r="Z24" s="114"/>
      <c r="AA24" s="114"/>
      <c r="AB24" s="119"/>
      <c r="AC24" s="114"/>
      <c r="AD24" s="114"/>
      <c r="AE24" s="114"/>
      <c r="AF24" s="114"/>
      <c r="AG24" s="114"/>
      <c r="AH24" s="114"/>
      <c r="AI24" s="114"/>
      <c r="AJ24" s="144"/>
      <c r="AK24" s="114"/>
      <c r="AL24" s="114"/>
      <c r="AM24" s="147"/>
    </row>
    <row r="25" spans="3:39" ht="15" thickBot="1" x14ac:dyDescent="0.35">
      <c r="C25" s="214">
        <f t="shared" si="2"/>
        <v>43924</v>
      </c>
      <c r="E25" s="337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37">
        <f t="shared" si="4"/>
        <v>0.12582136566860858</v>
      </c>
      <c r="N25" s="37"/>
      <c r="O25" s="37"/>
      <c r="P25" s="6"/>
      <c r="Q25" s="7">
        <f>2935+646</f>
        <v>3581</v>
      </c>
      <c r="R25" s="6"/>
      <c r="S25" s="339">
        <f t="shared" si="5"/>
        <v>2.6933925012222179E-2</v>
      </c>
      <c r="U25">
        <f t="shared" si="1"/>
        <v>15</v>
      </c>
      <c r="X25" s="1"/>
      <c r="Y25" s="439" t="s">
        <v>58</v>
      </c>
      <c r="Z25" s="440"/>
      <c r="AA25" s="440"/>
      <c r="AB25" s="440"/>
      <c r="AC25" s="440"/>
      <c r="AD25" s="440"/>
      <c r="AE25" s="440"/>
      <c r="AF25" s="440"/>
      <c r="AG25" s="440"/>
      <c r="AH25" s="440"/>
      <c r="AI25" s="441"/>
      <c r="AJ25" s="195"/>
      <c r="AK25" s="195"/>
      <c r="AL25" s="114"/>
      <c r="AM25" s="147"/>
    </row>
    <row r="26" spans="3:39" x14ac:dyDescent="0.3">
      <c r="C26" s="214">
        <f t="shared" si="2"/>
        <v>43925</v>
      </c>
      <c r="E26" s="337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37">
        <f t="shared" si="4"/>
        <v>0.1128351697942913</v>
      </c>
      <c r="N26" s="37"/>
      <c r="O26" s="37"/>
      <c r="P26" s="6"/>
      <c r="Q26" s="7">
        <f>3565+846</f>
        <v>4411</v>
      </c>
      <c r="R26" s="6"/>
      <c r="S26" s="339">
        <f t="shared" si="5"/>
        <v>2.9812715856634021E-2</v>
      </c>
      <c r="U26">
        <f t="shared" si="1"/>
        <v>16</v>
      </c>
      <c r="X26" s="1"/>
      <c r="Y26" s="236"/>
      <c r="Z26" s="237" t="s">
        <v>54</v>
      </c>
      <c r="AA26" s="238"/>
      <c r="AB26" s="237" t="s">
        <v>21</v>
      </c>
      <c r="AC26" s="238"/>
      <c r="AD26" s="237" t="s">
        <v>55</v>
      </c>
      <c r="AE26" s="238"/>
      <c r="AF26" s="237" t="s">
        <v>57</v>
      </c>
      <c r="AG26" s="238"/>
      <c r="AH26" s="237" t="s">
        <v>56</v>
      </c>
      <c r="AI26" s="239"/>
      <c r="AJ26" s="147"/>
      <c r="AK26" s="147"/>
      <c r="AL26" s="114"/>
      <c r="AM26" s="147"/>
    </row>
    <row r="27" spans="3:39" x14ac:dyDescent="0.3">
      <c r="C27" s="214">
        <f t="shared" si="2"/>
        <v>43926</v>
      </c>
      <c r="E27" s="337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37">
        <f t="shared" si="4"/>
        <v>8.5889819339402665E-2</v>
      </c>
      <c r="N27" s="37"/>
      <c r="O27" s="37"/>
      <c r="P27" s="6"/>
      <c r="Q27" s="7">
        <f>4150+914</f>
        <v>5064</v>
      </c>
      <c r="R27" s="6"/>
      <c r="S27" s="339">
        <f t="shared" si="5"/>
        <v>3.1518999159742322E-2</v>
      </c>
      <c r="U27">
        <f t="shared" si="1"/>
        <v>17</v>
      </c>
      <c r="X27" s="1"/>
      <c r="Y27" s="240"/>
      <c r="Z27" s="212" t="s">
        <v>51</v>
      </c>
      <c r="AA27" s="212"/>
      <c r="AB27" s="212">
        <f>+E63</f>
        <v>327469</v>
      </c>
      <c r="AC27" s="212"/>
      <c r="AD27" s="250">
        <v>1683</v>
      </c>
      <c r="AE27" s="212"/>
      <c r="AF27" s="241">
        <f>+AB27/AB$31</f>
        <v>0.57758239044738213</v>
      </c>
      <c r="AG27" s="241"/>
      <c r="AH27" s="212">
        <f>+AD27*AF27</f>
        <v>972.07116312294409</v>
      </c>
      <c r="AI27" s="242"/>
      <c r="AJ27" s="147"/>
      <c r="AK27" s="114"/>
      <c r="AL27" s="114"/>
      <c r="AM27" s="147"/>
    </row>
    <row r="28" spans="3:39" x14ac:dyDescent="0.3">
      <c r="C28" s="214">
        <f t="shared" si="2"/>
        <v>43927</v>
      </c>
      <c r="E28" s="337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37">
        <f t="shared" si="4"/>
        <v>7.4596209504247973E-2</v>
      </c>
      <c r="N28" s="37"/>
      <c r="O28" s="37"/>
      <c r="P28" s="6"/>
      <c r="Q28" s="7">
        <f>4758+1003</f>
        <v>5761</v>
      </c>
      <c r="R28" s="6"/>
      <c r="S28" s="339">
        <f t="shared" si="5"/>
        <v>3.3368085722560094E-2</v>
      </c>
      <c r="U28">
        <f t="shared" si="1"/>
        <v>18</v>
      </c>
      <c r="X28" s="1"/>
      <c r="Y28" s="240"/>
      <c r="Z28" s="212" t="s">
        <v>52</v>
      </c>
      <c r="AA28" s="212"/>
      <c r="AB28" s="212">
        <f>+G63</f>
        <v>133991</v>
      </c>
      <c r="AC28" s="212"/>
      <c r="AD28" s="250">
        <v>1509</v>
      </c>
      <c r="AE28" s="212"/>
      <c r="AF28" s="241">
        <f>+AB28/AB$31</f>
        <v>0.23633028493822369</v>
      </c>
      <c r="AG28" s="241"/>
      <c r="AH28" s="212">
        <f>+AD28*AF28</f>
        <v>356.62239997177954</v>
      </c>
      <c r="AI28" s="242"/>
      <c r="AJ28" s="147"/>
      <c r="AK28" s="114"/>
      <c r="AL28" s="114"/>
      <c r="AM28" s="147"/>
    </row>
    <row r="29" spans="3:39" x14ac:dyDescent="0.3">
      <c r="C29" s="214">
        <f t="shared" si="2"/>
        <v>43928</v>
      </c>
      <c r="E29" s="337">
        <v>139876</v>
      </c>
      <c r="F29" s="7"/>
      <c r="G29" s="7">
        <f>44416</f>
        <v>44416</v>
      </c>
      <c r="H29" s="7"/>
      <c r="I29" s="7"/>
      <c r="J29" s="340" t="s">
        <v>41</v>
      </c>
      <c r="K29" s="7">
        <f t="shared" si="3"/>
        <v>184292</v>
      </c>
      <c r="L29" s="6"/>
      <c r="M29" s="37">
        <f t="shared" si="4"/>
        <v>6.7431219229655379E-2</v>
      </c>
      <c r="N29" s="37"/>
      <c r="O29" s="37"/>
      <c r="P29" s="6"/>
      <c r="Q29" s="7">
        <f>5489+1232+277</f>
        <v>6998</v>
      </c>
      <c r="R29" s="6"/>
      <c r="S29" s="339">
        <f t="shared" si="5"/>
        <v>3.7972348229982855E-2</v>
      </c>
      <c r="U29">
        <f t="shared" si="1"/>
        <v>19</v>
      </c>
      <c r="X29" s="1"/>
      <c r="Y29" s="240"/>
      <c r="Z29" s="212" t="s">
        <v>53</v>
      </c>
      <c r="AA29" s="212"/>
      <c r="AB29" s="212">
        <f>+I63</f>
        <v>31784</v>
      </c>
      <c r="AC29" s="212"/>
      <c r="AD29" s="250">
        <v>891</v>
      </c>
      <c r="AE29" s="212"/>
      <c r="AF29" s="241">
        <f>+AB29/AB$31</f>
        <v>5.6059897877294013E-2</v>
      </c>
      <c r="AG29" s="241"/>
      <c r="AH29" s="212">
        <f>+AD29*AF29</f>
        <v>49.949369008668967</v>
      </c>
      <c r="AI29" s="242"/>
      <c r="AJ29" s="147"/>
      <c r="AK29" s="114"/>
      <c r="AL29" s="114"/>
      <c r="AM29" s="147"/>
    </row>
    <row r="30" spans="3:39" x14ac:dyDescent="0.3">
      <c r="C30" s="214">
        <f t="shared" si="2"/>
        <v>43929</v>
      </c>
      <c r="E30" s="337">
        <v>151069</v>
      </c>
      <c r="F30" s="7"/>
      <c r="G30" s="7">
        <f>47437</f>
        <v>47437</v>
      </c>
      <c r="H30" s="7"/>
      <c r="I30" s="7">
        <v>8781</v>
      </c>
      <c r="J30" s="340"/>
      <c r="K30" s="7">
        <f>SUM(E30:I30)</f>
        <v>207287</v>
      </c>
      <c r="L30" s="6"/>
      <c r="M30" s="37">
        <f t="shared" si="4"/>
        <v>0.12477481388231719</v>
      </c>
      <c r="N30" s="37"/>
      <c r="O30" s="37"/>
      <c r="P30" s="6"/>
      <c r="Q30" s="7">
        <f>6268+1504+335</f>
        <v>8107</v>
      </c>
      <c r="R30" s="6"/>
      <c r="S30" s="339">
        <f t="shared" si="5"/>
        <v>3.9110026195564605E-2</v>
      </c>
      <c r="U30">
        <f t="shared" si="1"/>
        <v>20</v>
      </c>
      <c r="X30" s="1"/>
      <c r="Y30" s="236"/>
      <c r="Z30" s="212" t="s">
        <v>109</v>
      </c>
      <c r="AA30" s="333"/>
      <c r="AB30" s="212">
        <f>+AD17</f>
        <v>73721</v>
      </c>
      <c r="AC30" s="333"/>
      <c r="AD30" s="212">
        <f>+AF17</f>
        <v>1070</v>
      </c>
      <c r="AE30" s="333"/>
      <c r="AF30" s="241">
        <f>+AB30/AB$31</f>
        <v>0.13002742673710016</v>
      </c>
      <c r="AG30" s="333"/>
      <c r="AH30" s="212">
        <f>+AD30*AF30</f>
        <v>139.12934660869718</v>
      </c>
      <c r="AI30" s="242"/>
      <c r="AJ30" s="147"/>
      <c r="AK30" s="114"/>
      <c r="AL30" s="114"/>
      <c r="AM30" s="147"/>
    </row>
    <row r="31" spans="3:39" ht="15" thickBot="1" x14ac:dyDescent="0.35">
      <c r="C31" s="214">
        <f t="shared" si="2"/>
        <v>43930</v>
      </c>
      <c r="E31" s="337">
        <v>161790</v>
      </c>
      <c r="F31" s="7"/>
      <c r="G31" s="7">
        <f>51027</f>
        <v>51027</v>
      </c>
      <c r="H31" s="7"/>
      <c r="I31" s="7">
        <v>9784</v>
      </c>
      <c r="J31" s="340"/>
      <c r="K31" s="7">
        <f t="shared" ref="K31:K52" si="6">SUM(E31:I31)</f>
        <v>222601</v>
      </c>
      <c r="L31" s="6"/>
      <c r="M31" s="37">
        <f>+(K31-K30)/K30</f>
        <v>7.3878246103228851E-2</v>
      </c>
      <c r="N31" s="37"/>
      <c r="O31" s="37"/>
      <c r="P31" s="6"/>
      <c r="Q31" s="7">
        <f>7067+1209+380</f>
        <v>8656</v>
      </c>
      <c r="R31" s="6"/>
      <c r="S31" s="339">
        <f t="shared" si="5"/>
        <v>3.8885719291467696E-2</v>
      </c>
      <c r="U31">
        <f t="shared" si="1"/>
        <v>21</v>
      </c>
      <c r="X31" s="1"/>
      <c r="Y31" s="240"/>
      <c r="Z31" s="212"/>
      <c r="AA31" s="212"/>
      <c r="AB31" s="243">
        <f>SUM(AB27:AB30)</f>
        <v>566965</v>
      </c>
      <c r="AC31" s="212"/>
      <c r="AD31" s="212"/>
      <c r="AE31" s="212"/>
      <c r="AF31" s="244">
        <f>SUM(AF27:AF30)</f>
        <v>1</v>
      </c>
      <c r="AG31" s="241"/>
      <c r="AH31" s="243">
        <f>SUM(AH27:AH30)</f>
        <v>1517.7722787120899</v>
      </c>
      <c r="AI31" s="242"/>
      <c r="AJ31" s="147"/>
      <c r="AK31" s="114"/>
      <c r="AL31" s="114"/>
      <c r="AM31" s="147"/>
    </row>
    <row r="32" spans="3:39" ht="15.6" thickTop="1" thickBot="1" x14ac:dyDescent="0.35">
      <c r="C32" s="214">
        <f t="shared" si="2"/>
        <v>43931</v>
      </c>
      <c r="E32" s="337">
        <v>174481</v>
      </c>
      <c r="F32" s="7"/>
      <c r="G32" s="7">
        <f>54588</f>
        <v>54588</v>
      </c>
      <c r="H32" s="7"/>
      <c r="I32" s="7">
        <v>10538</v>
      </c>
      <c r="J32" s="340"/>
      <c r="K32" s="7">
        <f t="shared" si="6"/>
        <v>239607</v>
      </c>
      <c r="L32" s="6"/>
      <c r="M32" s="37">
        <f t="shared" ref="M32:M52" si="7">+(K32-K31)/K31</f>
        <v>7.6396781685616866E-2</v>
      </c>
      <c r="N32" s="37"/>
      <c r="O32" s="37"/>
      <c r="P32" s="6"/>
      <c r="Q32" s="7">
        <f>7884+1932+448</f>
        <v>10264</v>
      </c>
      <c r="R32" s="6"/>
      <c r="S32" s="339">
        <f t="shared" si="5"/>
        <v>4.2836811946228619E-2</v>
      </c>
      <c r="U32">
        <f t="shared" si="1"/>
        <v>22</v>
      </c>
      <c r="X32" s="1"/>
      <c r="Y32" s="245"/>
      <c r="Z32" s="246"/>
      <c r="AA32" s="246"/>
      <c r="AB32" s="246"/>
      <c r="AC32" s="246"/>
      <c r="AD32" s="246"/>
      <c r="AE32" s="246"/>
      <c r="AF32" s="247"/>
      <c r="AG32" s="247"/>
      <c r="AH32" s="248"/>
      <c r="AI32" s="249"/>
      <c r="AJ32" s="147"/>
      <c r="AK32" s="114"/>
      <c r="AL32" s="114"/>
      <c r="AM32" s="147"/>
    </row>
    <row r="33" spans="3:38" x14ac:dyDescent="0.3">
      <c r="C33" s="214">
        <f t="shared" si="2"/>
        <v>43932</v>
      </c>
      <c r="E33" s="337">
        <v>181825</v>
      </c>
      <c r="F33" s="7"/>
      <c r="G33" s="7">
        <f>58151</f>
        <v>58151</v>
      </c>
      <c r="H33" s="7"/>
      <c r="I33" s="7">
        <v>11510</v>
      </c>
      <c r="J33" s="340"/>
      <c r="K33" s="7">
        <f t="shared" si="6"/>
        <v>251486</v>
      </c>
      <c r="L33" s="6"/>
      <c r="M33" s="37">
        <f t="shared" si="7"/>
        <v>4.9577015696536414E-2</v>
      </c>
      <c r="N33" s="37"/>
      <c r="O33" s="37"/>
      <c r="P33" s="6"/>
      <c r="Q33" s="7">
        <f>8650+2183+494</f>
        <v>11327</v>
      </c>
      <c r="R33" s="6"/>
      <c r="S33" s="339">
        <f t="shared" si="5"/>
        <v>4.5040280572278379E-2</v>
      </c>
      <c r="U33">
        <f t="shared" si="1"/>
        <v>23</v>
      </c>
    </row>
    <row r="34" spans="3:38" x14ac:dyDescent="0.3">
      <c r="C34" s="214">
        <f t="shared" si="2"/>
        <v>43933</v>
      </c>
      <c r="E34" s="337">
        <v>189033</v>
      </c>
      <c r="F34" s="7"/>
      <c r="G34" s="7">
        <f>61850</f>
        <v>61850</v>
      </c>
      <c r="H34" s="7"/>
      <c r="I34" s="7">
        <v>12035</v>
      </c>
      <c r="J34" s="340"/>
      <c r="K34" s="7">
        <f t="shared" si="6"/>
        <v>262918</v>
      </c>
      <c r="L34" s="6"/>
      <c r="M34" s="37">
        <f t="shared" si="7"/>
        <v>4.5457798843673208E-2</v>
      </c>
      <c r="N34" s="37"/>
      <c r="O34" s="37"/>
      <c r="P34" s="6"/>
      <c r="Q34" s="7">
        <f>9385+2350+554</f>
        <v>12289</v>
      </c>
      <c r="R34" s="6"/>
      <c r="S34" s="339">
        <f t="shared" si="5"/>
        <v>4.674080892141276E-2</v>
      </c>
      <c r="U34">
        <f t="shared" si="1"/>
        <v>24</v>
      </c>
    </row>
    <row r="35" spans="3:38" ht="15" thickBot="1" x14ac:dyDescent="0.35">
      <c r="C35" s="214">
        <f t="shared" si="2"/>
        <v>43934</v>
      </c>
      <c r="E35" s="337">
        <v>195749</v>
      </c>
      <c r="F35" s="7"/>
      <c r="G35" s="7">
        <f>64584</f>
        <v>64584</v>
      </c>
      <c r="H35" s="7"/>
      <c r="I35" s="7">
        <v>13381</v>
      </c>
      <c r="J35" s="340"/>
      <c r="K35" s="7">
        <f t="shared" si="6"/>
        <v>273714</v>
      </c>
      <c r="L35" s="6"/>
      <c r="M35" s="37">
        <f t="shared" si="7"/>
        <v>4.1062232330992932E-2</v>
      </c>
      <c r="N35" s="37"/>
      <c r="O35" s="37"/>
      <c r="P35" s="6"/>
      <c r="Q35" s="7">
        <f>10058+2443+602</f>
        <v>13103</v>
      </c>
      <c r="R35" s="6"/>
      <c r="S35" s="339">
        <f t="shared" si="5"/>
        <v>4.7871135564859668E-2</v>
      </c>
      <c r="U35">
        <f t="shared" si="1"/>
        <v>25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14"/>
      <c r="AI35" s="114"/>
      <c r="AJ35" s="114"/>
      <c r="AK35" s="114"/>
      <c r="AL35" s="114"/>
    </row>
    <row r="36" spans="3:38" ht="15" thickBot="1" x14ac:dyDescent="0.35">
      <c r="C36" s="214">
        <f t="shared" si="2"/>
        <v>43935</v>
      </c>
      <c r="E36" s="337">
        <v>203020</v>
      </c>
      <c r="F36" s="7"/>
      <c r="G36" s="7">
        <f>68824</f>
        <v>68824</v>
      </c>
      <c r="H36" s="7"/>
      <c r="I36" s="7">
        <v>13989</v>
      </c>
      <c r="J36" s="340"/>
      <c r="K36" s="7">
        <f t="shared" si="6"/>
        <v>285833</v>
      </c>
      <c r="L36" s="6"/>
      <c r="M36" s="37">
        <f t="shared" si="7"/>
        <v>4.4276142250670406E-2</v>
      </c>
      <c r="N36" s="37"/>
      <c r="O36" s="37"/>
      <c r="P36" s="6"/>
      <c r="Q36" s="7">
        <f>10842+2805+671+3778</f>
        <v>18096</v>
      </c>
      <c r="R36" s="6"/>
      <c r="S36" s="339">
        <f t="shared" si="5"/>
        <v>6.3309694821801543E-2</v>
      </c>
      <c r="U36">
        <f t="shared" si="1"/>
        <v>26</v>
      </c>
      <c r="X36" s="1"/>
      <c r="Y36" s="434" t="s">
        <v>32</v>
      </c>
      <c r="Z36" s="435"/>
      <c r="AA36" s="435"/>
      <c r="AB36" s="435"/>
      <c r="AC36" s="435"/>
      <c r="AD36" s="435"/>
      <c r="AE36" s="435"/>
      <c r="AF36" s="435"/>
      <c r="AG36" s="436"/>
      <c r="AH36" s="195"/>
      <c r="AI36" s="195"/>
      <c r="AJ36" s="195"/>
      <c r="AK36" s="119"/>
      <c r="AL36" s="119"/>
    </row>
    <row r="37" spans="3:38" x14ac:dyDescent="0.3">
      <c r="C37" s="214">
        <f t="shared" si="2"/>
        <v>43936</v>
      </c>
      <c r="E37" s="337">
        <v>214639</v>
      </c>
      <c r="F37" s="7"/>
      <c r="G37" s="7">
        <f>71030</f>
        <v>71030</v>
      </c>
      <c r="H37" s="7"/>
      <c r="I37" s="7">
        <v>14755</v>
      </c>
      <c r="J37" s="340"/>
      <c r="K37" s="7">
        <f t="shared" si="6"/>
        <v>300424</v>
      </c>
      <c r="L37" s="6"/>
      <c r="M37" s="37">
        <f t="shared" si="7"/>
        <v>5.1047289851066879E-2</v>
      </c>
      <c r="N37" s="37"/>
      <c r="O37" s="37"/>
      <c r="P37" s="6"/>
      <c r="Q37" s="7">
        <f>11620+3156+868-145</f>
        <v>15499</v>
      </c>
      <c r="R37" s="6"/>
      <c r="S37" s="339">
        <f t="shared" si="5"/>
        <v>5.1590418874657151E-2</v>
      </c>
      <c r="U37">
        <f t="shared" si="1"/>
        <v>27</v>
      </c>
      <c r="X37" s="1"/>
      <c r="Y37" s="115"/>
      <c r="Z37" s="127"/>
      <c r="AA37" s="127"/>
      <c r="AB37" s="127"/>
      <c r="AC37" s="127"/>
      <c r="AD37" s="221" t="s">
        <v>31</v>
      </c>
      <c r="AE37" s="206"/>
      <c r="AF37" s="124" t="s">
        <v>35</v>
      </c>
      <c r="AG37" s="140"/>
      <c r="AH37" s="138"/>
      <c r="AI37" s="138"/>
      <c r="AJ37" s="139"/>
      <c r="AK37" s="136"/>
      <c r="AL37" s="136"/>
    </row>
    <row r="38" spans="3:38" x14ac:dyDescent="0.3">
      <c r="C38" s="214">
        <f t="shared" si="2"/>
        <v>43937</v>
      </c>
      <c r="E38" s="337">
        <v>223691</v>
      </c>
      <c r="F38" s="7"/>
      <c r="G38" s="7">
        <f>75317</f>
        <v>75317</v>
      </c>
      <c r="H38" s="7"/>
      <c r="I38" s="7">
        <v>15884</v>
      </c>
      <c r="J38" s="340"/>
      <c r="K38" s="7">
        <f t="shared" si="6"/>
        <v>314892</v>
      </c>
      <c r="L38" s="6"/>
      <c r="M38" s="37">
        <f t="shared" si="7"/>
        <v>4.8158602508454718E-2</v>
      </c>
      <c r="N38" s="37"/>
      <c r="O38" s="37"/>
      <c r="P38" s="6"/>
      <c r="Q38" s="7">
        <f>14832+3518+446</f>
        <v>18796</v>
      </c>
      <c r="R38" s="6"/>
      <c r="S38" s="339">
        <f t="shared" si="5"/>
        <v>5.9690306517790226E-2</v>
      </c>
      <c r="U38">
        <f t="shared" si="1"/>
        <v>28</v>
      </c>
      <c r="X38" s="1"/>
      <c r="Y38" s="115"/>
      <c r="Z38" s="127" t="s">
        <v>39</v>
      </c>
      <c r="AA38" s="127"/>
      <c r="AB38" s="127"/>
      <c r="AC38" s="127"/>
      <c r="AD38" s="207">
        <v>20100000</v>
      </c>
      <c r="AE38" s="206"/>
      <c r="AF38" s="125">
        <f>+AD38/AD$43</f>
        <v>6.0909090909090906E-2</v>
      </c>
      <c r="AG38" s="140"/>
      <c r="AH38" s="138"/>
      <c r="AI38" s="138"/>
      <c r="AJ38" s="139"/>
      <c r="AK38" s="137"/>
      <c r="AL38" s="137"/>
    </row>
    <row r="39" spans="3:38" x14ac:dyDescent="0.3">
      <c r="C39" s="214">
        <f t="shared" si="2"/>
        <v>43938</v>
      </c>
      <c r="E39" s="337">
        <v>230597</v>
      </c>
      <c r="F39" s="7"/>
      <c r="G39" s="7">
        <f>78467</f>
        <v>78467</v>
      </c>
      <c r="H39" s="7"/>
      <c r="I39" s="7">
        <v>16809</v>
      </c>
      <c r="J39" s="340"/>
      <c r="K39" s="7">
        <f t="shared" si="6"/>
        <v>325873</v>
      </c>
      <c r="L39" s="6"/>
      <c r="M39" s="37">
        <f t="shared" si="7"/>
        <v>3.4872273668432353E-2</v>
      </c>
      <c r="N39" s="37"/>
      <c r="O39" s="37"/>
      <c r="P39" s="6"/>
      <c r="Q39" s="7">
        <f>17131+3840+1036</f>
        <v>22007</v>
      </c>
      <c r="R39" s="6"/>
      <c r="S39" s="339">
        <f t="shared" si="5"/>
        <v>6.7532443620674315E-2</v>
      </c>
      <c r="U39">
        <f t="shared" si="1"/>
        <v>29</v>
      </c>
      <c r="X39" s="99"/>
      <c r="Y39" s="115"/>
      <c r="Z39" s="127" t="s">
        <v>60</v>
      </c>
      <c r="AA39" s="127"/>
      <c r="AB39" s="127"/>
      <c r="AC39" s="127"/>
      <c r="AD39" s="206">
        <v>4900000</v>
      </c>
      <c r="AE39" s="206"/>
      <c r="AF39" s="125">
        <f>+AD39/AD$43</f>
        <v>1.4848484848484849E-2</v>
      </c>
      <c r="AG39" s="222"/>
      <c r="AH39" s="220"/>
      <c r="AI39" s="220"/>
      <c r="AJ39" s="139"/>
      <c r="AK39" s="137"/>
      <c r="AL39" s="137"/>
    </row>
    <row r="40" spans="3:38" x14ac:dyDescent="0.3">
      <c r="C40" s="216">
        <f t="shared" si="2"/>
        <v>43939</v>
      </c>
      <c r="D40" s="175"/>
      <c r="E40" s="341">
        <v>238767</v>
      </c>
      <c r="F40" s="177"/>
      <c r="G40" s="177">
        <f>81420</f>
        <v>81420</v>
      </c>
      <c r="H40" s="177"/>
      <c r="I40" s="177">
        <v>17550</v>
      </c>
      <c r="J40" s="179"/>
      <c r="K40" s="177">
        <f t="shared" si="6"/>
        <v>337737</v>
      </c>
      <c r="L40" s="175"/>
      <c r="M40" s="178">
        <f t="shared" si="7"/>
        <v>3.6406821062192937E-2</v>
      </c>
      <c r="N40" s="178"/>
      <c r="O40" s="178"/>
      <c r="P40" s="175"/>
      <c r="Q40" s="177">
        <f>17671+4070+1086</f>
        <v>22827</v>
      </c>
      <c r="R40" s="175"/>
      <c r="S40" s="342">
        <f t="shared" si="5"/>
        <v>6.7588093694205847E-2</v>
      </c>
      <c r="T40" s="175"/>
      <c r="U40" s="176">
        <f t="shared" si="1"/>
        <v>30</v>
      </c>
      <c r="X40" s="99"/>
      <c r="Y40" s="115"/>
      <c r="Z40" s="127" t="s">
        <v>94</v>
      </c>
      <c r="AA40" s="127"/>
      <c r="AB40" s="127"/>
      <c r="AC40" s="127"/>
      <c r="AD40" s="206">
        <v>6000000</v>
      </c>
      <c r="AE40" s="206"/>
      <c r="AF40" s="125">
        <f>+AD40/AD$43</f>
        <v>1.8181818181818181E-2</v>
      </c>
      <c r="AG40" s="140"/>
      <c r="AH40" s="138"/>
      <c r="AI40" s="138"/>
      <c r="AJ40" s="139"/>
      <c r="AK40" s="137"/>
      <c r="AL40" s="137"/>
    </row>
    <row r="41" spans="3:38" ht="15" thickBot="1" x14ac:dyDescent="0.35">
      <c r="C41" s="214">
        <f t="shared" si="2"/>
        <v>43940</v>
      </c>
      <c r="E41" s="337">
        <v>242570</v>
      </c>
      <c r="F41" s="7"/>
      <c r="G41" s="7">
        <f>85301</f>
        <v>85301</v>
      </c>
      <c r="H41" s="7"/>
      <c r="I41" s="7">
        <v>17550</v>
      </c>
      <c r="J41" s="340"/>
      <c r="K41" s="7">
        <f t="shared" si="6"/>
        <v>345421</v>
      </c>
      <c r="L41" s="6"/>
      <c r="M41" s="37">
        <f t="shared" si="7"/>
        <v>2.2751430847079236E-2</v>
      </c>
      <c r="N41" s="37"/>
      <c r="O41" s="37"/>
      <c r="P41" s="6"/>
      <c r="Q41" s="7">
        <f>17428+4362+1086</f>
        <v>22876</v>
      </c>
      <c r="R41" s="6"/>
      <c r="S41" s="339">
        <f t="shared" si="5"/>
        <v>6.6226430935003952E-2</v>
      </c>
      <c r="U41">
        <f t="shared" si="1"/>
        <v>31</v>
      </c>
      <c r="X41" s="99"/>
      <c r="Y41" s="115"/>
      <c r="Z41" s="206" t="s">
        <v>34</v>
      </c>
      <c r="AA41" s="206"/>
      <c r="AB41" s="206"/>
      <c r="AC41" s="206"/>
      <c r="AD41" s="205">
        <f>SUM(AD38:AE40)</f>
        <v>31000000</v>
      </c>
      <c r="AE41" s="206"/>
      <c r="AF41" s="126">
        <f>+AD41/AD43</f>
        <v>9.3939393939393934E-2</v>
      </c>
      <c r="AG41" s="140"/>
      <c r="AH41" s="138"/>
      <c r="AI41" s="138"/>
      <c r="AJ41" s="139"/>
      <c r="AK41" s="137"/>
      <c r="AL41" s="137"/>
    </row>
    <row r="42" spans="3:38" ht="15" thickTop="1" x14ac:dyDescent="0.3">
      <c r="C42" s="214">
        <f t="shared" si="2"/>
        <v>43941</v>
      </c>
      <c r="E42" s="337">
        <v>253060</v>
      </c>
      <c r="F42" s="7"/>
      <c r="G42" s="7">
        <f>88722</f>
        <v>88722</v>
      </c>
      <c r="H42" s="7"/>
      <c r="I42" s="7">
        <v>19815</v>
      </c>
      <c r="J42" s="340"/>
      <c r="K42" s="7">
        <f t="shared" si="6"/>
        <v>361597</v>
      </c>
      <c r="L42" s="6"/>
      <c r="M42" s="37">
        <f t="shared" si="7"/>
        <v>4.6829810578974645E-2</v>
      </c>
      <c r="N42" s="37"/>
      <c r="O42" s="37"/>
      <c r="P42" s="6"/>
      <c r="Q42" s="7">
        <f>18611+4496+1331</f>
        <v>24438</v>
      </c>
      <c r="R42" s="6"/>
      <c r="S42" s="339">
        <f t="shared" si="5"/>
        <v>6.7583525305796227E-2</v>
      </c>
      <c r="U42">
        <f t="shared" si="1"/>
        <v>32</v>
      </c>
      <c r="X42" s="1"/>
      <c r="Y42" s="115"/>
      <c r="Z42" s="127"/>
      <c r="AA42" s="127"/>
      <c r="AB42" s="127"/>
      <c r="AC42" s="127"/>
      <c r="AD42" s="127"/>
      <c r="AE42" s="127"/>
      <c r="AF42" s="127"/>
      <c r="AG42" s="140"/>
      <c r="AH42" s="138"/>
      <c r="AI42" s="138"/>
      <c r="AJ42" s="139"/>
      <c r="AK42" s="138"/>
      <c r="AL42" s="138"/>
    </row>
    <row r="43" spans="3:38" ht="15" thickBot="1" x14ac:dyDescent="0.35">
      <c r="C43" s="214">
        <f t="shared" si="2"/>
        <v>43942</v>
      </c>
      <c r="E43" s="337">
        <v>258361</v>
      </c>
      <c r="F43" s="7"/>
      <c r="G43" s="7">
        <f>92387</f>
        <v>92387</v>
      </c>
      <c r="H43" s="7"/>
      <c r="I43" s="7">
        <v>20360</v>
      </c>
      <c r="J43" s="340"/>
      <c r="K43" s="7">
        <f t="shared" si="6"/>
        <v>371108</v>
      </c>
      <c r="L43" s="6"/>
      <c r="M43" s="37">
        <f t="shared" si="7"/>
        <v>2.6302762467608969E-2</v>
      </c>
      <c r="N43" s="37"/>
      <c r="O43" s="37"/>
      <c r="P43" s="6"/>
      <c r="Q43" s="7">
        <f>18821+4520+1423</f>
        <v>24764</v>
      </c>
      <c r="R43" s="6"/>
      <c r="S43" s="339">
        <f t="shared" si="5"/>
        <v>6.672990072970672E-2</v>
      </c>
      <c r="U43">
        <f t="shared" si="1"/>
        <v>33</v>
      </c>
      <c r="X43" s="1"/>
      <c r="Y43" s="115"/>
      <c r="Z43" s="127" t="s">
        <v>42</v>
      </c>
      <c r="AA43" s="127"/>
      <c r="AB43" s="127"/>
      <c r="AC43" s="127"/>
      <c r="AD43" s="205">
        <v>330000000</v>
      </c>
      <c r="AE43" s="206"/>
      <c r="AF43" s="218"/>
      <c r="AG43" s="140"/>
      <c r="AH43" s="138"/>
      <c r="AI43" s="138"/>
      <c r="AJ43" s="138"/>
      <c r="AK43" s="138"/>
      <c r="AL43" s="138"/>
    </row>
    <row r="44" spans="3:38" ht="15.6" thickTop="1" thickBot="1" x14ac:dyDescent="0.35">
      <c r="C44" s="214">
        <f t="shared" si="2"/>
        <v>43943</v>
      </c>
      <c r="E44" s="337">
        <v>263292</v>
      </c>
      <c r="F44" s="7"/>
      <c r="G44" s="7">
        <f>95418</f>
        <v>95418</v>
      </c>
      <c r="H44" s="7"/>
      <c r="I44" s="7">
        <v>22469</v>
      </c>
      <c r="J44" s="340"/>
      <c r="K44" s="7">
        <f t="shared" si="6"/>
        <v>381179</v>
      </c>
      <c r="L44" s="6"/>
      <c r="M44" s="37">
        <f t="shared" si="7"/>
        <v>2.7137652650980306E-2</v>
      </c>
      <c r="N44" s="37"/>
      <c r="O44" s="37"/>
      <c r="P44" s="6"/>
      <c r="Q44" s="7">
        <f>19413+5129+1544</f>
        <v>26086</v>
      </c>
      <c r="R44" s="6"/>
      <c r="S44" s="339">
        <f t="shared" si="5"/>
        <v>6.8435039705755041E-2</v>
      </c>
      <c r="U44">
        <f t="shared" si="1"/>
        <v>34</v>
      </c>
      <c r="X44" s="1"/>
      <c r="Y44" s="116"/>
      <c r="Z44" s="128"/>
      <c r="AA44" s="128"/>
      <c r="AB44" s="128"/>
      <c r="AC44" s="128"/>
      <c r="AD44" s="128"/>
      <c r="AE44" s="128"/>
      <c r="AF44" s="223"/>
      <c r="AG44" s="141"/>
      <c r="AH44" s="138"/>
      <c r="AI44" s="138"/>
      <c r="AJ44" s="138"/>
      <c r="AK44" s="138"/>
      <c r="AL44" s="138"/>
    </row>
    <row r="45" spans="3:38" x14ac:dyDescent="0.3">
      <c r="C45" s="214">
        <f t="shared" si="2"/>
        <v>43944</v>
      </c>
      <c r="E45" s="337">
        <v>271145</v>
      </c>
      <c r="F45" s="7"/>
      <c r="G45" s="7">
        <f>99989</f>
        <v>99989</v>
      </c>
      <c r="H45" s="7"/>
      <c r="I45" s="7">
        <v>23128</v>
      </c>
      <c r="J45" s="340"/>
      <c r="K45" s="7">
        <f t="shared" si="6"/>
        <v>394262</v>
      </c>
      <c r="L45" s="6"/>
      <c r="M45" s="37">
        <f t="shared" si="7"/>
        <v>3.4322457428137436E-2</v>
      </c>
      <c r="N45" s="37"/>
      <c r="O45" s="37"/>
      <c r="P45" s="6"/>
      <c r="Q45" s="7">
        <f>20971+5426+1637</f>
        <v>28034</v>
      </c>
      <c r="R45" s="6"/>
      <c r="S45" s="339">
        <f t="shared" si="5"/>
        <v>7.110500124282837E-2</v>
      </c>
      <c r="U45">
        <f t="shared" si="1"/>
        <v>35</v>
      </c>
      <c r="AE45" s="147"/>
      <c r="AH45" s="139"/>
      <c r="AI45" s="139"/>
      <c r="AJ45" s="139"/>
      <c r="AK45" s="139"/>
      <c r="AL45" s="139"/>
    </row>
    <row r="46" spans="3:38" x14ac:dyDescent="0.3">
      <c r="C46" s="214">
        <f t="shared" si="2"/>
        <v>43945</v>
      </c>
      <c r="E46" s="337">
        <v>271590</v>
      </c>
      <c r="F46" s="7"/>
      <c r="G46" s="7">
        <f>100025</f>
        <v>100025</v>
      </c>
      <c r="H46" s="7"/>
      <c r="I46" s="7">
        <v>23936</v>
      </c>
      <c r="J46" s="340"/>
      <c r="K46" s="7">
        <f t="shared" si="6"/>
        <v>395551</v>
      </c>
      <c r="L46" s="6"/>
      <c r="M46" s="37">
        <f t="shared" si="7"/>
        <v>3.2693995363489254E-3</v>
      </c>
      <c r="N46" s="37"/>
      <c r="O46" s="37"/>
      <c r="P46" s="6"/>
      <c r="Q46" s="7">
        <f>21349+5426+1767</f>
        <v>28542</v>
      </c>
      <c r="R46" s="6"/>
      <c r="S46" s="339">
        <f t="shared" si="5"/>
        <v>7.2157572601257491E-2</v>
      </c>
      <c r="U46">
        <f t="shared" si="1"/>
        <v>36</v>
      </c>
      <c r="AH46" s="139"/>
      <c r="AI46" s="139"/>
      <c r="AJ46" s="139"/>
      <c r="AK46" s="139"/>
      <c r="AL46" s="139"/>
    </row>
    <row r="47" spans="3:38" x14ac:dyDescent="0.3">
      <c r="C47" s="214">
        <f t="shared" si="2"/>
        <v>43946</v>
      </c>
      <c r="E47" s="337">
        <v>282143</v>
      </c>
      <c r="F47" s="7"/>
      <c r="G47" s="7">
        <f>105498</f>
        <v>105498</v>
      </c>
      <c r="H47" s="7"/>
      <c r="I47" s="7">
        <v>24583</v>
      </c>
      <c r="J47" s="340"/>
      <c r="K47" s="7">
        <f t="shared" si="6"/>
        <v>412224</v>
      </c>
      <c r="L47" s="6"/>
      <c r="M47" s="37">
        <f t="shared" si="7"/>
        <v>4.2151328147318548E-2</v>
      </c>
      <c r="N47" s="37"/>
      <c r="O47" s="37"/>
      <c r="P47" s="6"/>
      <c r="Q47" s="7">
        <f>22009+5914+1865</f>
        <v>29788</v>
      </c>
      <c r="R47" s="6"/>
      <c r="S47" s="339">
        <f t="shared" si="5"/>
        <v>7.2261682968483149E-2</v>
      </c>
      <c r="U47">
        <f t="shared" si="1"/>
        <v>37</v>
      </c>
    </row>
    <row r="48" spans="3:38" x14ac:dyDescent="0.3">
      <c r="C48" s="214">
        <f t="shared" si="2"/>
        <v>43947</v>
      </c>
      <c r="E48" s="337">
        <v>288045</v>
      </c>
      <c r="F48" s="7"/>
      <c r="G48" s="7">
        <f>109038</f>
        <v>109038</v>
      </c>
      <c r="H48" s="7"/>
      <c r="I48" s="7">
        <v>25269</v>
      </c>
      <c r="J48" s="340"/>
      <c r="K48" s="7">
        <f t="shared" si="6"/>
        <v>422352</v>
      </c>
      <c r="L48" s="6"/>
      <c r="M48" s="37">
        <f t="shared" si="7"/>
        <v>2.456916627852818E-2</v>
      </c>
      <c r="N48" s="37"/>
      <c r="O48" s="37"/>
      <c r="P48" s="6"/>
      <c r="Q48" s="7">
        <f>22269+5938+1924</f>
        <v>30131</v>
      </c>
      <c r="R48" s="6"/>
      <c r="S48" s="339">
        <f t="shared" si="5"/>
        <v>7.134096677652764E-2</v>
      </c>
      <c r="U48">
        <f t="shared" si="1"/>
        <v>38</v>
      </c>
      <c r="AD48" s="78"/>
    </row>
    <row r="49" spans="3:30" x14ac:dyDescent="0.3">
      <c r="C49" s="214">
        <f t="shared" si="2"/>
        <v>43948</v>
      </c>
      <c r="E49" s="337">
        <v>291996</v>
      </c>
      <c r="F49" s="7"/>
      <c r="G49" s="7">
        <f>111188</f>
        <v>111188</v>
      </c>
      <c r="H49" s="7"/>
      <c r="I49" s="7">
        <v>25269</v>
      </c>
      <c r="J49" s="340"/>
      <c r="K49" s="7">
        <f t="shared" si="6"/>
        <v>428453</v>
      </c>
      <c r="L49" s="6"/>
      <c r="M49" s="37">
        <f t="shared" si="7"/>
        <v>1.4445296814031897E-2</v>
      </c>
      <c r="N49" s="37"/>
      <c r="O49" s="37"/>
      <c r="P49" s="6"/>
      <c r="Q49" s="7">
        <f>22668+6044+1924</f>
        <v>30636</v>
      </c>
      <c r="R49" s="6"/>
      <c r="S49" s="339">
        <f t="shared" si="5"/>
        <v>7.1503758872034973E-2</v>
      </c>
      <c r="U49">
        <f t="shared" si="1"/>
        <v>39</v>
      </c>
    </row>
    <row r="50" spans="3:30" x14ac:dyDescent="0.3">
      <c r="C50" s="214">
        <f t="shared" si="2"/>
        <v>43949</v>
      </c>
      <c r="E50" s="337">
        <v>295106</v>
      </c>
      <c r="F50" s="7"/>
      <c r="G50" s="7">
        <f>113856</f>
        <v>113856</v>
      </c>
      <c r="H50" s="7"/>
      <c r="I50" s="7">
        <v>26312</v>
      </c>
      <c r="J50" s="340"/>
      <c r="K50" s="7">
        <f t="shared" si="6"/>
        <v>435274</v>
      </c>
      <c r="L50" s="6"/>
      <c r="M50" s="37">
        <f t="shared" si="7"/>
        <v>1.5920065911546891E-2</v>
      </c>
      <c r="N50" s="37"/>
      <c r="O50" s="37"/>
      <c r="P50" s="6"/>
      <c r="Q50" s="7">
        <f>22912+6442+2087</f>
        <v>31441</v>
      </c>
      <c r="R50" s="6"/>
      <c r="S50" s="339">
        <f t="shared" si="5"/>
        <v>7.223266264467898E-2</v>
      </c>
      <c r="U50">
        <f t="shared" si="1"/>
        <v>40</v>
      </c>
      <c r="AD50" s="324"/>
    </row>
    <row r="51" spans="3:30" x14ac:dyDescent="0.3">
      <c r="C51" s="214">
        <f t="shared" si="2"/>
        <v>43950</v>
      </c>
      <c r="E51" s="337">
        <v>299691</v>
      </c>
      <c r="F51" s="7"/>
      <c r="G51" s="7">
        <f>116365</f>
        <v>116365</v>
      </c>
      <c r="H51" s="7"/>
      <c r="I51" s="7">
        <v>26751</v>
      </c>
      <c r="J51" s="340"/>
      <c r="K51" s="7">
        <f t="shared" si="6"/>
        <v>442807</v>
      </c>
      <c r="L51" s="6"/>
      <c r="M51" s="37">
        <f t="shared" si="7"/>
        <v>1.7306340374109181E-2</v>
      </c>
      <c r="N51" s="37"/>
      <c r="O51" s="37"/>
      <c r="P51" s="6"/>
      <c r="Q51" s="7">
        <f>23477+6711+2169</f>
        <v>32357</v>
      </c>
      <c r="R51" s="6"/>
      <c r="S51" s="339">
        <f t="shared" si="5"/>
        <v>7.3072467237419461E-2</v>
      </c>
      <c r="U51">
        <f t="shared" si="1"/>
        <v>41</v>
      </c>
    </row>
    <row r="52" spans="3:30" x14ac:dyDescent="0.3">
      <c r="C52" s="214">
        <f t="shared" si="2"/>
        <v>43951</v>
      </c>
      <c r="E52" s="337">
        <v>304372</v>
      </c>
      <c r="F52" s="7"/>
      <c r="G52" s="7">
        <v>118652</v>
      </c>
      <c r="H52" s="7"/>
      <c r="I52" s="7">
        <v>27700</v>
      </c>
      <c r="J52" s="340"/>
      <c r="K52" s="7">
        <f t="shared" si="6"/>
        <v>450724</v>
      </c>
      <c r="L52" s="6"/>
      <c r="M52" s="37">
        <f t="shared" si="7"/>
        <v>1.7879121152104643E-2</v>
      </c>
      <c r="N52" s="37"/>
      <c r="O52" s="37"/>
      <c r="P52" s="6"/>
      <c r="Q52" s="7">
        <f>23545+7228+2257</f>
        <v>33030</v>
      </c>
      <c r="R52" s="6"/>
      <c r="S52" s="339">
        <f t="shared" si="5"/>
        <v>7.3282097247983249E-2</v>
      </c>
      <c r="U52">
        <f t="shared" si="1"/>
        <v>42</v>
      </c>
    </row>
    <row r="53" spans="3:30" x14ac:dyDescent="0.3">
      <c r="C53" s="214">
        <f t="shared" si="2"/>
        <v>43952</v>
      </c>
      <c r="E53" s="337">
        <v>308314</v>
      </c>
      <c r="F53" s="7"/>
      <c r="G53" s="7">
        <v>121190</v>
      </c>
      <c r="H53" s="7"/>
      <c r="I53" s="7">
        <v>28855</v>
      </c>
      <c r="J53" s="340"/>
      <c r="K53" s="7">
        <f t="shared" ref="K53" si="8">SUM(E53:I53)</f>
        <v>458359</v>
      </c>
      <c r="L53" s="6"/>
      <c r="M53" s="37">
        <f t="shared" ref="M53" si="9">+(K53-K52)/K52</f>
        <v>1.6939413033253164E-2</v>
      </c>
      <c r="N53" s="37"/>
      <c r="O53" s="37"/>
      <c r="P53" s="6"/>
      <c r="Q53" s="7">
        <f>23981+7538+2341</f>
        <v>33860</v>
      </c>
      <c r="R53" s="6"/>
      <c r="S53" s="339">
        <f t="shared" ref="S53" si="10">+Q53/K53</f>
        <v>7.3872226791663304E-2</v>
      </c>
      <c r="U53">
        <f t="shared" si="1"/>
        <v>43</v>
      </c>
    </row>
    <row r="54" spans="3:30" x14ac:dyDescent="0.3">
      <c r="C54" s="214">
        <f t="shared" si="2"/>
        <v>43953</v>
      </c>
      <c r="E54" s="337">
        <v>312977</v>
      </c>
      <c r="F54" s="7"/>
      <c r="G54" s="7">
        <v>123717</v>
      </c>
      <c r="H54" s="7"/>
      <c r="I54" s="7">
        <v>29346</v>
      </c>
      <c r="J54" s="340"/>
      <c r="K54" s="7">
        <f t="shared" ref="K54" si="11">SUM(E54:I54)</f>
        <v>466040</v>
      </c>
      <c r="L54" s="6"/>
      <c r="M54" s="37">
        <f t="shared" ref="M54" si="12">+(K54-K53)/K53</f>
        <v>1.6757607028551856E-2</v>
      </c>
      <c r="N54" s="37"/>
      <c r="O54" s="37"/>
      <c r="P54" s="6"/>
      <c r="Q54" s="7">
        <f>24198+7742+2437</f>
        <v>34377</v>
      </c>
      <c r="R54" s="6"/>
      <c r="S54" s="339">
        <f t="shared" ref="S54" si="13">+Q54/K54</f>
        <v>7.3764054587589042E-2</v>
      </c>
      <c r="U54">
        <f t="shared" si="1"/>
        <v>44</v>
      </c>
    </row>
    <row r="55" spans="3:30" x14ac:dyDescent="0.3">
      <c r="C55" s="214">
        <f t="shared" si="2"/>
        <v>43954</v>
      </c>
      <c r="E55" s="337">
        <v>316415</v>
      </c>
      <c r="F55" s="7"/>
      <c r="G55" s="7">
        <v>126744</v>
      </c>
      <c r="H55" s="7"/>
      <c r="I55" s="7">
        <v>29087</v>
      </c>
      <c r="J55" s="340"/>
      <c r="K55" s="7">
        <f t="shared" ref="K55" si="14">SUM(E55:I55)</f>
        <v>472246</v>
      </c>
      <c r="L55" s="6"/>
      <c r="M55" s="37">
        <f t="shared" ref="M55" si="15">+(K55-K54)/K54</f>
        <v>1.3316453523302721E-2</v>
      </c>
      <c r="N55" s="37"/>
      <c r="O55" s="37"/>
      <c r="P55" s="6"/>
      <c r="Q55" s="7">
        <f>24708+7871+2436</f>
        <v>35015</v>
      </c>
      <c r="R55" s="6"/>
      <c r="S55" s="339">
        <f t="shared" ref="S55" si="16">+Q55/K55</f>
        <v>7.4145678311727359E-2</v>
      </c>
      <c r="U55">
        <f t="shared" si="1"/>
        <v>45</v>
      </c>
    </row>
    <row r="56" spans="3:30" x14ac:dyDescent="0.3">
      <c r="C56" s="214">
        <f t="shared" si="2"/>
        <v>43955</v>
      </c>
      <c r="E56" s="337">
        <v>318953</v>
      </c>
      <c r="F56" s="7"/>
      <c r="G56" s="7">
        <v>128269</v>
      </c>
      <c r="H56" s="7"/>
      <c r="I56" s="7">
        <v>29973</v>
      </c>
      <c r="J56" s="340"/>
      <c r="K56" s="7">
        <f t="shared" ref="K56" si="17">SUM(E56:I56)</f>
        <v>477195</v>
      </c>
      <c r="L56" s="6"/>
      <c r="M56" s="37">
        <f t="shared" ref="M56" si="18">+(K56-K55)/K55</f>
        <v>1.0479707610016813E-2</v>
      </c>
      <c r="N56" s="37"/>
      <c r="O56" s="37"/>
      <c r="P56" s="6"/>
      <c r="Q56" s="7">
        <f>24999+7910+2556</f>
        <v>35465</v>
      </c>
      <c r="R56" s="6"/>
      <c r="S56" s="339">
        <f t="shared" ref="S56" si="19">+Q56/K56</f>
        <v>7.4319722545290706E-2</v>
      </c>
      <c r="U56">
        <f t="shared" si="1"/>
        <v>46</v>
      </c>
    </row>
    <row r="57" spans="3:30" x14ac:dyDescent="0.3">
      <c r="C57" s="214">
        <f t="shared" si="2"/>
        <v>43956</v>
      </c>
      <c r="E57" s="337">
        <v>321192</v>
      </c>
      <c r="F57" s="7"/>
      <c r="G57" s="7">
        <v>130593</v>
      </c>
      <c r="H57" s="7"/>
      <c r="I57" s="7">
        <v>30621</v>
      </c>
      <c r="J57" s="340"/>
      <c r="K57" s="7">
        <f t="shared" ref="K57" si="20">SUM(E57:I57)</f>
        <v>482406</v>
      </c>
      <c r="L57" s="6"/>
      <c r="M57" s="37">
        <f t="shared" ref="M57" si="21">+(K57-K56)/K56</f>
        <v>1.0920064124728884E-2</v>
      </c>
      <c r="N57" s="37"/>
      <c r="O57" s="37"/>
      <c r="P57" s="6"/>
      <c r="Q57" s="7">
        <f>25124+8244+2633</f>
        <v>36001</v>
      </c>
      <c r="R57" s="6"/>
      <c r="S57" s="339">
        <f t="shared" ref="S57" si="22">+Q57/K57</f>
        <v>7.4628010431047706E-2</v>
      </c>
      <c r="U57">
        <f t="shared" si="1"/>
        <v>47</v>
      </c>
    </row>
    <row r="58" spans="3:30" x14ac:dyDescent="0.3">
      <c r="C58" s="214">
        <f t="shared" si="2"/>
        <v>43957</v>
      </c>
      <c r="E58" s="337">
        <v>323978</v>
      </c>
      <c r="F58" s="7"/>
      <c r="G58" s="7">
        <v>131890</v>
      </c>
      <c r="H58" s="7"/>
      <c r="I58" s="7">
        <v>30995</v>
      </c>
      <c r="J58" s="340"/>
      <c r="K58" s="7">
        <f t="shared" ref="K58" si="23">SUM(E58:I58)</f>
        <v>486863</v>
      </c>
      <c r="L58" s="6"/>
      <c r="M58" s="37">
        <f t="shared" ref="M58" si="24">+(K58-K57)/K57</f>
        <v>9.2391056495980568E-3</v>
      </c>
      <c r="N58" s="37"/>
      <c r="O58" s="37"/>
      <c r="P58" s="6"/>
      <c r="Q58" s="7">
        <f>25346+8549+2718</f>
        <v>36613</v>
      </c>
      <c r="R58" s="6"/>
      <c r="S58" s="339">
        <f t="shared" ref="S58" si="25">+Q58/K58</f>
        <v>7.5201853498828214E-2</v>
      </c>
      <c r="U58">
        <f t="shared" si="1"/>
        <v>48</v>
      </c>
    </row>
    <row r="59" spans="3:30" x14ac:dyDescent="0.3">
      <c r="C59" s="214">
        <f t="shared" si="2"/>
        <v>43958</v>
      </c>
      <c r="E59" s="337">
        <v>327469</v>
      </c>
      <c r="F59" s="7"/>
      <c r="G59" s="7">
        <v>133991</v>
      </c>
      <c r="H59" s="7"/>
      <c r="I59" s="7">
        <v>31784</v>
      </c>
      <c r="J59" s="340"/>
      <c r="K59" s="7">
        <f t="shared" ref="K59" si="26">SUM(E59:I59)</f>
        <v>493244</v>
      </c>
      <c r="L59" s="6"/>
      <c r="M59" s="37">
        <f t="shared" ref="M59" si="27">+(K59-K58)/K58</f>
        <v>1.310635640827091E-2</v>
      </c>
      <c r="N59" s="37"/>
      <c r="O59" s="37"/>
      <c r="P59" s="6"/>
      <c r="Q59" s="7">
        <v>444</v>
      </c>
      <c r="R59" s="6"/>
      <c r="S59" s="339">
        <f t="shared" ref="S59" si="28">+Q59/K59</f>
        <v>9.0016300248964005E-4</v>
      </c>
      <c r="U59">
        <f t="shared" si="1"/>
        <v>49</v>
      </c>
    </row>
    <row r="60" spans="3:30" x14ac:dyDescent="0.3">
      <c r="C60" s="214">
        <f t="shared" si="2"/>
        <v>43959</v>
      </c>
      <c r="E60" s="337"/>
      <c r="F60" s="7"/>
      <c r="G60" s="7"/>
      <c r="H60" s="7"/>
      <c r="I60" s="7"/>
      <c r="J60" s="340"/>
      <c r="K60" s="7"/>
      <c r="L60" s="6"/>
      <c r="M60" s="37"/>
      <c r="N60" s="37"/>
      <c r="O60" s="37"/>
      <c r="P60" s="6"/>
      <c r="Q60" s="7"/>
      <c r="R60" s="6"/>
      <c r="S60" s="339"/>
      <c r="U60">
        <f t="shared" si="1"/>
        <v>50</v>
      </c>
    </row>
    <row r="61" spans="3:30" ht="15" thickBot="1" x14ac:dyDescent="0.35">
      <c r="C61" s="214">
        <f t="shared" si="2"/>
        <v>43960</v>
      </c>
      <c r="E61" s="343"/>
      <c r="F61" s="344"/>
      <c r="G61" s="344"/>
      <c r="H61" s="344"/>
      <c r="I61" s="344"/>
      <c r="J61" s="344"/>
      <c r="K61" s="344"/>
      <c r="L61" s="345"/>
      <c r="M61" s="346"/>
      <c r="N61" s="346"/>
      <c r="O61" s="346"/>
      <c r="P61" s="345"/>
      <c r="Q61" s="345"/>
      <c r="R61" s="345"/>
      <c r="S61" s="347"/>
      <c r="U61">
        <f t="shared" si="1"/>
        <v>51</v>
      </c>
    </row>
    <row r="62" spans="3:30" x14ac:dyDescent="0.3">
      <c r="E62" s="78"/>
      <c r="F62" s="1"/>
      <c r="G62" s="78"/>
      <c r="H62" s="78"/>
      <c r="I62" s="78"/>
      <c r="J62" s="1"/>
      <c r="K62" s="78"/>
      <c r="Q62" s="78"/>
    </row>
    <row r="63" spans="3:30" x14ac:dyDescent="0.3">
      <c r="C63" s="224" t="s">
        <v>84</v>
      </c>
      <c r="E63" s="78">
        <f>+E59</f>
        <v>327469</v>
      </c>
      <c r="F63" s="78">
        <f t="shared" ref="F63" si="29">+F52</f>
        <v>0</v>
      </c>
      <c r="G63" s="78">
        <f t="shared" ref="G63:Q63" si="30">+G59</f>
        <v>133991</v>
      </c>
      <c r="H63" s="78">
        <f t="shared" si="30"/>
        <v>0</v>
      </c>
      <c r="I63" s="78">
        <f t="shared" si="30"/>
        <v>31784</v>
      </c>
      <c r="J63" s="78">
        <f t="shared" si="30"/>
        <v>0</v>
      </c>
      <c r="K63" s="78">
        <f t="shared" si="30"/>
        <v>493244</v>
      </c>
      <c r="L63" s="78">
        <f t="shared" si="30"/>
        <v>0</v>
      </c>
      <c r="M63" s="81">
        <f t="shared" si="30"/>
        <v>1.310635640827091E-2</v>
      </c>
      <c r="N63" s="78">
        <f t="shared" si="30"/>
        <v>0</v>
      </c>
      <c r="O63" s="78"/>
      <c r="P63" s="78">
        <f t="shared" si="30"/>
        <v>0</v>
      </c>
      <c r="Q63" s="78">
        <f t="shared" si="30"/>
        <v>444</v>
      </c>
    </row>
    <row r="64" spans="3:30" x14ac:dyDescent="0.3">
      <c r="E64" s="78"/>
    </row>
    <row r="65" spans="3:39" x14ac:dyDescent="0.3">
      <c r="E65" s="81"/>
      <c r="K65" s="1"/>
    </row>
    <row r="66" spans="3:39" x14ac:dyDescent="0.3">
      <c r="C66" s="154" t="s">
        <v>41</v>
      </c>
      <c r="D66" s="155"/>
      <c r="E66" s="155" t="s">
        <v>43</v>
      </c>
      <c r="F66" s="14"/>
      <c r="G66" s="14"/>
      <c r="H66" s="14"/>
      <c r="I66" s="83"/>
      <c r="J66" s="14"/>
      <c r="K66" s="14"/>
      <c r="L66" s="14"/>
      <c r="M66" s="14"/>
      <c r="N66" s="14"/>
      <c r="O66" s="14"/>
      <c r="P66" s="14"/>
      <c r="Q66" s="14"/>
    </row>
    <row r="71" spans="3:39" x14ac:dyDescent="0.3">
      <c r="AM71" s="1">
        <v>3797000</v>
      </c>
    </row>
    <row r="72" spans="3:39" x14ac:dyDescent="0.3">
      <c r="C72" s="1">
        <f>300*100</f>
        <v>30000</v>
      </c>
    </row>
    <row r="73" spans="3:39" x14ac:dyDescent="0.3">
      <c r="C73" s="1">
        <v>3797000</v>
      </c>
      <c r="AM73" s="1">
        <v>30000</v>
      </c>
    </row>
    <row r="74" spans="3:39" x14ac:dyDescent="0.3">
      <c r="C74" s="81">
        <f>+C72/C73</f>
        <v>7.900974453515933E-3</v>
      </c>
    </row>
    <row r="75" spans="3:39" x14ac:dyDescent="0.3">
      <c r="AM75" s="328">
        <f>+AM73/AM71</f>
        <v>7.900974453515933E-3</v>
      </c>
    </row>
  </sheetData>
  <mergeCells count="9">
    <mergeCell ref="E9:M9"/>
    <mergeCell ref="E7:F7"/>
    <mergeCell ref="E8:S8"/>
    <mergeCell ref="G7:S7"/>
    <mergeCell ref="Y36:AG36"/>
    <mergeCell ref="AF14:AF15"/>
    <mergeCell ref="AB14:AD14"/>
    <mergeCell ref="Y25:AI25"/>
    <mergeCell ref="Q9:S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58"/>
  <sheetViews>
    <sheetView topLeftCell="A4" workbookViewId="0">
      <selection activeCell="W33" sqref="W3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309" t="s">
        <v>5</v>
      </c>
      <c r="C1" s="309"/>
      <c r="D1" s="309"/>
    </row>
    <row r="2" spans="2:28" ht="16.2" thickBot="1" x14ac:dyDescent="0.35">
      <c r="B2" s="309" t="s">
        <v>6</v>
      </c>
      <c r="C2" s="309"/>
      <c r="D2" s="309"/>
    </row>
    <row r="3" spans="2:28" ht="16.2" thickBot="1" x14ac:dyDescent="0.35">
      <c r="B3" s="307" t="s">
        <v>14</v>
      </c>
      <c r="C3" s="307"/>
      <c r="D3" s="210"/>
      <c r="R3" s="471" t="s">
        <v>119</v>
      </c>
      <c r="S3" s="472"/>
      <c r="T3" s="472"/>
      <c r="U3" s="472"/>
      <c r="V3" s="472"/>
      <c r="W3" s="472"/>
      <c r="X3" s="472"/>
      <c r="Y3" s="472"/>
      <c r="Z3" s="472"/>
      <c r="AA3" s="472"/>
      <c r="AB3" s="473"/>
    </row>
    <row r="4" spans="2:28" ht="15.6" x14ac:dyDescent="0.3">
      <c r="B4" s="307"/>
      <c r="C4" s="307"/>
      <c r="D4" s="210"/>
      <c r="R4" s="348"/>
      <c r="S4" s="4" t="s">
        <v>81</v>
      </c>
      <c r="T4" s="6"/>
      <c r="U4" s="4" t="s">
        <v>110</v>
      </c>
      <c r="V4" s="5"/>
      <c r="W4" s="4" t="s">
        <v>111</v>
      </c>
      <c r="X4" s="5"/>
      <c r="Y4" s="4" t="s">
        <v>76</v>
      </c>
      <c r="Z4" s="6"/>
      <c r="AA4" s="349" t="s">
        <v>16</v>
      </c>
      <c r="AB4" s="350"/>
    </row>
    <row r="5" spans="2:28" ht="15.6" x14ac:dyDescent="0.3">
      <c r="B5" s="307"/>
      <c r="C5" t="s">
        <v>95</v>
      </c>
      <c r="D5" s="210"/>
      <c r="E5" t="s">
        <v>96</v>
      </c>
      <c r="R5" s="348"/>
      <c r="S5" s="6"/>
      <c r="T5" s="6"/>
      <c r="U5" s="6"/>
      <c r="V5" s="6"/>
      <c r="W5" s="6"/>
      <c r="X5" s="6"/>
      <c r="Y5" s="6"/>
      <c r="Z5" s="6"/>
      <c r="AA5" s="6"/>
      <c r="AB5" s="350"/>
    </row>
    <row r="6" spans="2:28" ht="15.6" x14ac:dyDescent="0.3">
      <c r="B6" s="307"/>
      <c r="C6" s="307"/>
      <c r="D6" s="213"/>
      <c r="E6" t="s">
        <v>97</v>
      </c>
      <c r="F6" t="s">
        <v>116</v>
      </c>
      <c r="R6" s="348"/>
      <c r="S6" s="351">
        <v>43951</v>
      </c>
      <c r="T6" s="359"/>
      <c r="U6" s="360">
        <v>427734</v>
      </c>
      <c r="V6" s="359"/>
      <c r="W6" s="361">
        <v>0.39100000000000001</v>
      </c>
      <c r="X6" s="359"/>
      <c r="Y6" s="359"/>
      <c r="Z6" s="359"/>
      <c r="AA6" s="359"/>
      <c r="AB6" s="350"/>
    </row>
    <row r="7" spans="2:28" ht="15.6" x14ac:dyDescent="0.3">
      <c r="B7" s="307"/>
      <c r="C7" s="307"/>
      <c r="D7" s="213"/>
      <c r="E7" t="s">
        <v>98</v>
      </c>
      <c r="F7" t="s">
        <v>100</v>
      </c>
      <c r="R7" s="348"/>
      <c r="S7" s="358">
        <f>+S6+1</f>
        <v>43952</v>
      </c>
      <c r="T7" s="359"/>
      <c r="U7" s="360">
        <v>432831</v>
      </c>
      <c r="V7" s="359"/>
      <c r="W7" s="361">
        <v>0.38300000000000001</v>
      </c>
      <c r="X7" s="359"/>
      <c r="Y7" s="353">
        <f>+U6-U7</f>
        <v>-5097</v>
      </c>
      <c r="Z7" s="359"/>
      <c r="AA7" s="359"/>
      <c r="AB7" s="350"/>
    </row>
    <row r="8" spans="2:28" ht="15.6" x14ac:dyDescent="0.3">
      <c r="B8" s="307"/>
      <c r="C8" s="307"/>
      <c r="D8" s="213"/>
      <c r="E8" t="s">
        <v>99</v>
      </c>
      <c r="F8" t="s">
        <v>117</v>
      </c>
      <c r="R8" s="348"/>
      <c r="S8" s="358">
        <f t="shared" ref="S8:S13" si="0">+S7+1</f>
        <v>43953</v>
      </c>
      <c r="T8" s="6"/>
      <c r="U8" s="7">
        <v>433512</v>
      </c>
      <c r="V8" s="6"/>
      <c r="W8" s="57">
        <v>0.373</v>
      </c>
      <c r="X8" s="6"/>
      <c r="Y8" s="353">
        <f t="shared" ref="Y8:Y12" si="1">+U7-U8</f>
        <v>-681</v>
      </c>
      <c r="Z8" s="6"/>
      <c r="AA8" s="6"/>
      <c r="AB8" s="350"/>
    </row>
    <row r="9" spans="2:28" ht="15.6" x14ac:dyDescent="0.3">
      <c r="B9" s="307"/>
      <c r="C9" s="307"/>
      <c r="D9" s="213"/>
      <c r="R9" s="348"/>
      <c r="S9" s="358">
        <f t="shared" si="0"/>
        <v>43954</v>
      </c>
      <c r="T9" s="6"/>
      <c r="U9" s="7">
        <v>434345</v>
      </c>
      <c r="V9" s="6"/>
      <c r="W9" s="57">
        <v>0.36599999999999999</v>
      </c>
      <c r="X9" s="6"/>
      <c r="Y9" s="353">
        <f t="shared" si="1"/>
        <v>-833</v>
      </c>
      <c r="Z9" s="6"/>
      <c r="AA9" s="6"/>
      <c r="AB9" s="350"/>
    </row>
    <row r="10" spans="2:28" ht="15.6" x14ac:dyDescent="0.3">
      <c r="B10" s="307"/>
      <c r="C10" s="329" t="s">
        <v>101</v>
      </c>
      <c r="D10" s="213"/>
      <c r="E10" t="s">
        <v>104</v>
      </c>
      <c r="R10" s="348"/>
      <c r="S10" s="358">
        <f t="shared" si="0"/>
        <v>43955</v>
      </c>
      <c r="T10" s="6"/>
      <c r="U10" s="7">
        <v>458962</v>
      </c>
      <c r="V10" s="6"/>
      <c r="W10" s="57">
        <v>0.378</v>
      </c>
      <c r="X10" s="6"/>
      <c r="Y10" s="353">
        <f t="shared" si="1"/>
        <v>-24617</v>
      </c>
      <c r="Z10" s="6"/>
      <c r="AA10" s="6"/>
      <c r="AB10" s="350"/>
    </row>
    <row r="11" spans="2:28" ht="15.6" x14ac:dyDescent="0.3">
      <c r="B11" s="307"/>
      <c r="C11" s="307"/>
      <c r="D11" s="213"/>
      <c r="E11" t="s">
        <v>97</v>
      </c>
      <c r="F11" t="s">
        <v>102</v>
      </c>
      <c r="R11" s="348"/>
      <c r="S11" s="358">
        <f t="shared" si="0"/>
        <v>43956</v>
      </c>
      <c r="T11" s="6"/>
      <c r="U11" s="352">
        <v>455743</v>
      </c>
      <c r="V11" s="6"/>
      <c r="W11" s="57">
        <v>0.36799999999999999</v>
      </c>
      <c r="X11" s="6"/>
      <c r="Y11" s="353">
        <f t="shared" si="1"/>
        <v>3219</v>
      </c>
      <c r="Z11" s="6"/>
      <c r="AA11" s="357"/>
      <c r="AB11" s="350"/>
    </row>
    <row r="12" spans="2:28" ht="15.6" x14ac:dyDescent="0.3">
      <c r="B12" s="307"/>
      <c r="C12" s="307"/>
      <c r="D12" s="213"/>
      <c r="E12" t="s">
        <v>98</v>
      </c>
      <c r="F12" t="s">
        <v>103</v>
      </c>
      <c r="R12" s="348"/>
      <c r="S12" s="358">
        <f t="shared" si="0"/>
        <v>43957</v>
      </c>
      <c r="T12" s="6"/>
      <c r="U12" s="352">
        <v>454697</v>
      </c>
      <c r="V12" s="6"/>
      <c r="W12" s="57">
        <f>+L36</f>
        <v>0.35198267783197407</v>
      </c>
      <c r="X12" s="6"/>
      <c r="Y12" s="353">
        <f t="shared" si="1"/>
        <v>1046</v>
      </c>
      <c r="Z12" s="6"/>
      <c r="AA12" s="357"/>
      <c r="AB12" s="350"/>
    </row>
    <row r="13" spans="2:28" ht="15.6" x14ac:dyDescent="0.3">
      <c r="B13" s="307"/>
      <c r="C13" s="307"/>
      <c r="D13" s="213"/>
      <c r="R13" s="348"/>
      <c r="S13" s="358">
        <f t="shared" si="0"/>
        <v>43958</v>
      </c>
      <c r="T13" s="6"/>
      <c r="U13" s="352">
        <f>+I36</f>
        <v>454838</v>
      </c>
      <c r="V13" s="6"/>
      <c r="W13" s="57">
        <f>+L37</f>
        <v>0</v>
      </c>
      <c r="X13" s="6"/>
      <c r="Y13" s="353">
        <f t="shared" ref="Y13" si="2">+U12-U13</f>
        <v>-141</v>
      </c>
      <c r="Z13" s="6"/>
      <c r="AA13" s="357"/>
      <c r="AB13" s="350"/>
    </row>
    <row r="14" spans="2:28" ht="15.6" x14ac:dyDescent="0.3">
      <c r="B14" s="307"/>
      <c r="C14" s="329" t="s">
        <v>105</v>
      </c>
      <c r="D14" s="213"/>
      <c r="E14" t="s">
        <v>106</v>
      </c>
      <c r="R14" s="348"/>
      <c r="S14" s="6"/>
      <c r="T14" s="6"/>
      <c r="U14" s="6"/>
      <c r="V14" s="6"/>
      <c r="W14" s="57"/>
      <c r="X14" s="6"/>
      <c r="Y14" s="6"/>
      <c r="Z14" s="6"/>
      <c r="AA14" s="6"/>
      <c r="AB14" s="350"/>
    </row>
    <row r="15" spans="2:28" x14ac:dyDescent="0.3">
      <c r="B15" s="307"/>
      <c r="E15" s="474" t="s">
        <v>107</v>
      </c>
      <c r="F15" s="474"/>
      <c r="G15" s="474"/>
      <c r="H15" s="474"/>
      <c r="I15" s="474"/>
      <c r="R15" s="348"/>
      <c r="S15" s="6"/>
      <c r="T15" s="6"/>
      <c r="U15" s="6"/>
      <c r="V15" s="6"/>
      <c r="W15" s="57"/>
      <c r="X15" s="6"/>
      <c r="Y15" s="6"/>
      <c r="Z15" s="6"/>
      <c r="AA15" s="6"/>
      <c r="AB15" s="350"/>
    </row>
    <row r="16" spans="2:28" x14ac:dyDescent="0.3">
      <c r="R16" s="348"/>
      <c r="S16" s="6"/>
      <c r="T16" s="6"/>
      <c r="U16" s="6"/>
      <c r="V16" s="6"/>
      <c r="W16" s="57"/>
      <c r="X16" s="6"/>
      <c r="Y16" s="6"/>
      <c r="Z16" s="6"/>
      <c r="AA16" s="6"/>
      <c r="AB16" s="350"/>
    </row>
    <row r="17" spans="3:28" ht="15" thickBot="1" x14ac:dyDescent="0.35">
      <c r="C17" s="1"/>
      <c r="D17" s="1"/>
      <c r="E17" s="1"/>
      <c r="F17" s="1"/>
      <c r="G17" s="1"/>
      <c r="H17" s="1"/>
      <c r="I17" s="118"/>
      <c r="J17" s="114"/>
      <c r="K17" s="114"/>
      <c r="L17" s="114"/>
      <c r="M17" s="114"/>
      <c r="N17" s="117"/>
      <c r="O17" s="114"/>
      <c r="P17" s="114"/>
      <c r="Q17" s="114"/>
      <c r="R17" s="348"/>
      <c r="S17" s="6"/>
      <c r="T17" s="6"/>
      <c r="U17" s="6"/>
      <c r="V17" s="6"/>
      <c r="W17" s="57"/>
      <c r="X17" s="6"/>
      <c r="Y17" s="6"/>
      <c r="Z17" s="6"/>
      <c r="AA17" s="6"/>
      <c r="AB17" s="350"/>
    </row>
    <row r="18" spans="3:28" ht="15" thickBot="1" x14ac:dyDescent="0.35">
      <c r="C18" s="1"/>
      <c r="D18" s="451" t="s">
        <v>47</v>
      </c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3"/>
      <c r="P18" s="114"/>
      <c r="Q18" s="114"/>
      <c r="R18" s="348"/>
      <c r="S18" s="6"/>
      <c r="T18" s="6"/>
      <c r="U18" s="6"/>
      <c r="V18" s="6"/>
      <c r="W18" s="57"/>
      <c r="X18" s="6"/>
      <c r="Y18" s="6"/>
      <c r="Z18" s="6"/>
      <c r="AA18" s="6"/>
      <c r="AB18" s="350"/>
    </row>
    <row r="19" spans="3:28" ht="15" thickBot="1" x14ac:dyDescent="0.35">
      <c r="C19" s="1"/>
      <c r="D19" s="186"/>
      <c r="E19" s="454" t="s">
        <v>78</v>
      </c>
      <c r="F19" s="454"/>
      <c r="G19" s="454"/>
      <c r="H19" s="454"/>
      <c r="I19" s="187" t="s">
        <v>77</v>
      </c>
      <c r="J19" s="188"/>
      <c r="K19" s="459" t="s">
        <v>75</v>
      </c>
      <c r="L19" s="459"/>
      <c r="M19" s="181"/>
      <c r="N19" s="185" t="s">
        <v>76</v>
      </c>
      <c r="O19" s="182"/>
      <c r="P19" s="143"/>
      <c r="Q19" s="143"/>
      <c r="R19" s="348"/>
      <c r="S19" s="6"/>
      <c r="T19" s="6"/>
      <c r="U19" s="6"/>
      <c r="V19" s="6"/>
      <c r="W19" s="57"/>
      <c r="X19" s="6"/>
      <c r="Y19" s="6"/>
      <c r="Z19" s="6"/>
      <c r="AA19" s="6"/>
      <c r="AB19" s="350"/>
    </row>
    <row r="20" spans="3:28" ht="15" thickBot="1" x14ac:dyDescent="0.35">
      <c r="C20" s="1"/>
      <c r="D20" s="158"/>
      <c r="E20" s="159" t="s">
        <v>44</v>
      </c>
      <c r="F20" s="160"/>
      <c r="G20" s="159"/>
      <c r="H20" s="159"/>
      <c r="I20" s="117">
        <f>+'Main Table'!H43</f>
        <v>854374</v>
      </c>
      <c r="J20" s="161"/>
      <c r="K20" s="180"/>
      <c r="L20" s="180"/>
      <c r="M20" s="180"/>
      <c r="N20" s="180"/>
      <c r="O20" s="168"/>
      <c r="P20" s="114"/>
      <c r="Q20" s="114"/>
      <c r="R20" s="354"/>
      <c r="S20" s="345"/>
      <c r="T20" s="345"/>
      <c r="U20" s="345"/>
      <c r="V20" s="345"/>
      <c r="W20" s="355"/>
      <c r="X20" s="345"/>
      <c r="Y20" s="345"/>
      <c r="Z20" s="345"/>
      <c r="AA20" s="345"/>
      <c r="AB20" s="356"/>
    </row>
    <row r="21" spans="3:28" x14ac:dyDescent="0.3">
      <c r="C21" s="1"/>
      <c r="D21" s="158"/>
      <c r="E21" s="159" t="s">
        <v>45</v>
      </c>
      <c r="F21" s="159" t="s">
        <v>4</v>
      </c>
      <c r="G21" s="159"/>
      <c r="H21" s="159"/>
      <c r="I21" s="162">
        <f>+'Main Table'!R65</f>
        <v>76919</v>
      </c>
      <c r="J21" s="161"/>
      <c r="K21" s="180"/>
      <c r="L21" s="180"/>
      <c r="M21" s="180"/>
      <c r="N21" s="180"/>
      <c r="O21" s="168"/>
      <c r="P21" s="114"/>
      <c r="Q21" s="114"/>
      <c r="W21" s="81"/>
    </row>
    <row r="22" spans="3:28" x14ac:dyDescent="0.3">
      <c r="C22" s="1"/>
      <c r="D22" s="158"/>
      <c r="E22" s="159"/>
      <c r="F22" s="159" t="s">
        <v>46</v>
      </c>
      <c r="G22" s="159"/>
      <c r="H22" s="159"/>
      <c r="I22" s="199">
        <v>16995</v>
      </c>
      <c r="J22" s="161"/>
      <c r="K22" s="180"/>
      <c r="L22" s="334">
        <v>16175</v>
      </c>
      <c r="M22" s="180"/>
      <c r="N22" s="200">
        <f>+(I22-L22)/I22</f>
        <v>4.8249485142689029E-2</v>
      </c>
      <c r="O22" s="168"/>
      <c r="P22" s="114"/>
      <c r="Q22" s="114"/>
      <c r="W22" s="81"/>
    </row>
    <row r="23" spans="3:28" x14ac:dyDescent="0.3">
      <c r="C23" s="1"/>
      <c r="D23" s="158"/>
      <c r="E23" s="159"/>
      <c r="F23" s="169" t="s">
        <v>73</v>
      </c>
      <c r="G23" s="169"/>
      <c r="H23" s="169"/>
      <c r="I23" s="162">
        <f>+I20-I21-I22</f>
        <v>760460</v>
      </c>
      <c r="J23" s="161"/>
      <c r="K23" s="180"/>
      <c r="L23" s="180"/>
      <c r="M23" s="180"/>
      <c r="N23" s="180"/>
      <c r="O23" s="168"/>
      <c r="P23" s="142"/>
      <c r="Q23" s="142"/>
      <c r="W23" s="81"/>
    </row>
    <row r="24" spans="3:28" x14ac:dyDescent="0.3">
      <c r="C24" s="1"/>
      <c r="D24" s="158"/>
      <c r="E24" s="159" t="s">
        <v>80</v>
      </c>
      <c r="F24" s="161"/>
      <c r="G24" s="161"/>
      <c r="H24" s="161"/>
      <c r="I24" s="163">
        <f>+'Main Table'!AB65</f>
        <v>217250</v>
      </c>
      <c r="J24" s="161"/>
      <c r="K24" s="180"/>
      <c r="L24" s="180"/>
      <c r="M24" s="180"/>
      <c r="N24" s="180"/>
      <c r="O24" s="168"/>
      <c r="P24" s="142"/>
      <c r="Q24" s="142"/>
      <c r="W24" s="81"/>
    </row>
    <row r="25" spans="3:28" x14ac:dyDescent="0.3">
      <c r="C25" s="1"/>
      <c r="D25" s="455" t="s">
        <v>50</v>
      </c>
      <c r="E25" s="456"/>
      <c r="F25" s="456"/>
      <c r="G25" s="456"/>
      <c r="H25" s="456"/>
      <c r="I25" s="164">
        <f>+I23-I24</f>
        <v>543210</v>
      </c>
      <c r="J25" s="161"/>
      <c r="K25" s="180"/>
      <c r="L25" s="180"/>
      <c r="M25" s="180"/>
      <c r="N25" s="180"/>
      <c r="O25" s="168"/>
      <c r="P25" s="142"/>
      <c r="Q25" s="142"/>
      <c r="W25" s="81"/>
    </row>
    <row r="26" spans="3:28" x14ac:dyDescent="0.3">
      <c r="C26" s="1"/>
      <c r="D26" s="158"/>
      <c r="E26" s="159" t="s">
        <v>74</v>
      </c>
      <c r="F26" s="161"/>
      <c r="G26" s="161"/>
      <c r="H26" s="161"/>
      <c r="I26" s="163">
        <f>+I24</f>
        <v>217250</v>
      </c>
      <c r="J26" s="161"/>
      <c r="K26" s="180"/>
      <c r="L26" s="180"/>
      <c r="M26" s="180"/>
      <c r="N26" s="180"/>
      <c r="O26" s="168"/>
      <c r="P26" s="114"/>
      <c r="Q26" s="114"/>
      <c r="W26" s="81"/>
    </row>
    <row r="27" spans="3:28" ht="15" thickBot="1" x14ac:dyDescent="0.35">
      <c r="C27" s="1"/>
      <c r="D27" s="455" t="s">
        <v>47</v>
      </c>
      <c r="E27" s="456"/>
      <c r="F27" s="456"/>
      <c r="G27" s="456"/>
      <c r="H27" s="456"/>
      <c r="I27" s="189">
        <f>+I25+I26</f>
        <v>760460</v>
      </c>
      <c r="J27" s="161"/>
      <c r="K27" s="460">
        <v>733199</v>
      </c>
      <c r="L27" s="460"/>
      <c r="M27" s="180"/>
      <c r="N27" s="190">
        <f>+I27-K27</f>
        <v>27261</v>
      </c>
      <c r="O27" s="168"/>
      <c r="P27" s="114"/>
      <c r="Q27" s="114"/>
      <c r="W27" s="81"/>
    </row>
    <row r="28" spans="3:28" ht="15.6" thickTop="1" thickBot="1" x14ac:dyDescent="0.35">
      <c r="C28" s="14"/>
      <c r="D28" s="167"/>
      <c r="E28" s="457" t="s">
        <v>72</v>
      </c>
      <c r="F28" s="457"/>
      <c r="G28" s="457"/>
      <c r="H28" s="169"/>
      <c r="I28" s="325">
        <f>+I27/I32</f>
        <v>0.58849249003843784</v>
      </c>
      <c r="J28" s="180"/>
      <c r="K28" s="180"/>
      <c r="L28" s="180"/>
      <c r="M28" s="139"/>
      <c r="N28" s="202">
        <f>+N27/K27</f>
        <v>3.7180901774279559E-2</v>
      </c>
      <c r="O28" s="168"/>
      <c r="P28" s="1"/>
      <c r="Q28" s="1"/>
      <c r="W28" s="81"/>
    </row>
    <row r="29" spans="3:28" ht="15.6" thickTop="1" thickBot="1" x14ac:dyDescent="0.35">
      <c r="C29" s="14"/>
      <c r="D29" s="165"/>
      <c r="E29" s="170"/>
      <c r="F29" s="170"/>
      <c r="G29" s="170"/>
      <c r="H29" s="170"/>
      <c r="I29" s="171"/>
      <c r="J29" s="166"/>
      <c r="K29" s="183"/>
      <c r="L29" s="183"/>
      <c r="M29" s="183"/>
      <c r="N29" s="183"/>
      <c r="O29" s="184"/>
      <c r="P29" s="1"/>
      <c r="Q29" s="1"/>
      <c r="W29" s="81"/>
    </row>
    <row r="30" spans="3:28" ht="15" thickBot="1" x14ac:dyDescent="0.35">
      <c r="C30" s="14"/>
      <c r="D30" s="114"/>
      <c r="E30" s="139"/>
      <c r="F30" s="139"/>
      <c r="G30" s="139"/>
      <c r="H30" s="139"/>
      <c r="I30" s="139"/>
      <c r="J30" s="114"/>
      <c r="P30" s="114"/>
      <c r="Q30" s="114"/>
      <c r="W30" s="81"/>
    </row>
    <row r="31" spans="3:28" ht="16.2" thickBot="1" x14ac:dyDescent="0.35">
      <c r="C31" s="114"/>
      <c r="D31" s="323"/>
      <c r="E31" s="466" t="s">
        <v>119</v>
      </c>
      <c r="F31" s="467"/>
      <c r="G31" s="467"/>
      <c r="H31" s="467"/>
      <c r="I31" s="467"/>
      <c r="J31" s="468"/>
      <c r="K31" s="322"/>
      <c r="L31" s="321" t="s">
        <v>10</v>
      </c>
      <c r="M31" s="320"/>
      <c r="N31" s="319"/>
      <c r="O31" s="139"/>
      <c r="P31" s="114"/>
      <c r="Q31" s="114"/>
      <c r="W31" s="81"/>
    </row>
    <row r="32" spans="3:28" x14ac:dyDescent="0.3">
      <c r="C32" s="14"/>
      <c r="D32" s="310"/>
      <c r="E32" s="311" t="s">
        <v>91</v>
      </c>
      <c r="F32" s="30"/>
      <c r="G32" s="30"/>
      <c r="H32" s="30"/>
      <c r="I32" s="461">
        <f>+'Main Table'!H65</f>
        <v>1292217</v>
      </c>
      <c r="J32" s="461"/>
      <c r="K32" s="30"/>
      <c r="L32" s="31">
        <f>+I32/$I$32</f>
        <v>1</v>
      </c>
      <c r="M32" s="312"/>
      <c r="N32" s="114"/>
      <c r="O32" s="114"/>
      <c r="P32" s="114"/>
      <c r="Q32" s="114"/>
      <c r="W32" s="81"/>
    </row>
    <row r="33" spans="3:23" x14ac:dyDescent="0.3">
      <c r="C33" s="14"/>
      <c r="D33" s="310"/>
      <c r="E33" s="311"/>
      <c r="F33" s="30"/>
      <c r="G33" s="30"/>
      <c r="H33" s="30"/>
      <c r="I33" s="30"/>
      <c r="J33" s="30"/>
      <c r="K33" s="30"/>
      <c r="L33" s="30"/>
      <c r="M33" s="312"/>
      <c r="N33" s="114"/>
      <c r="O33" s="114"/>
      <c r="P33" s="114"/>
      <c r="Q33" s="114"/>
      <c r="W33" s="81"/>
    </row>
    <row r="34" spans="3:23" x14ac:dyDescent="0.3">
      <c r="D34" s="313"/>
      <c r="E34" s="27"/>
      <c r="F34" s="314" t="s">
        <v>118</v>
      </c>
      <c r="G34" s="314"/>
      <c r="H34" s="27"/>
      <c r="I34" s="462">
        <f>+I27</f>
        <v>760460</v>
      </c>
      <c r="J34" s="463"/>
      <c r="K34" s="27"/>
      <c r="L34" s="31">
        <f>+I34/$I$32</f>
        <v>0.58849249003843784</v>
      </c>
      <c r="M34" s="315"/>
      <c r="P34" s="283"/>
      <c r="Q34" s="283"/>
      <c r="W34" s="81"/>
    </row>
    <row r="35" spans="3:23" x14ac:dyDescent="0.3">
      <c r="D35" s="313"/>
      <c r="E35" s="27"/>
      <c r="F35" s="27" t="s">
        <v>92</v>
      </c>
      <c r="G35" s="27"/>
      <c r="H35" s="27"/>
      <c r="I35" s="469">
        <f>+I21</f>
        <v>76919</v>
      </c>
      <c r="J35" s="470"/>
      <c r="K35" s="27"/>
      <c r="L35" s="31">
        <f>+I35/$I$32</f>
        <v>5.9524832129588139E-2</v>
      </c>
      <c r="M35" s="315"/>
      <c r="P35" s="324"/>
      <c r="Q35" s="324"/>
      <c r="W35" s="81"/>
    </row>
    <row r="36" spans="3:23" ht="15" thickBot="1" x14ac:dyDescent="0.35">
      <c r="D36" s="313"/>
      <c r="E36" s="458" t="s">
        <v>119</v>
      </c>
      <c r="F36" s="458"/>
      <c r="G36" s="458"/>
      <c r="H36" s="326"/>
      <c r="I36" s="464">
        <f>+I32-I34-I35</f>
        <v>454838</v>
      </c>
      <c r="J36" s="465"/>
      <c r="K36" s="362"/>
      <c r="L36" s="327">
        <f>+I36/$I$32</f>
        <v>0.35198267783197407</v>
      </c>
      <c r="M36" s="315"/>
    </row>
    <row r="37" spans="3:23" ht="15.6" thickTop="1" thickBot="1" x14ac:dyDescent="0.35">
      <c r="D37" s="316"/>
      <c r="E37" s="317"/>
      <c r="F37" s="317"/>
      <c r="G37" s="317"/>
      <c r="H37" s="317"/>
      <c r="I37" s="317"/>
      <c r="J37" s="317"/>
      <c r="K37" s="317"/>
      <c r="L37" s="317"/>
      <c r="M37" s="318"/>
    </row>
    <row r="39" spans="3:23" ht="15" thickBot="1" x14ac:dyDescent="0.35"/>
    <row r="40" spans="3:23" ht="15" thickBot="1" x14ac:dyDescent="0.35">
      <c r="D40" s="475" t="s">
        <v>115</v>
      </c>
      <c r="E40" s="476"/>
      <c r="F40" s="476"/>
      <c r="G40" s="476"/>
      <c r="H40" s="476"/>
      <c r="I40" s="476"/>
      <c r="J40" s="476"/>
      <c r="K40" s="476"/>
      <c r="L40" s="476"/>
      <c r="M40" s="476"/>
      <c r="N40" s="476"/>
      <c r="O40" s="477"/>
    </row>
    <row r="41" spans="3:23" ht="15" thickBot="1" x14ac:dyDescent="0.35">
      <c r="D41" s="392"/>
      <c r="E41" s="449" t="s">
        <v>78</v>
      </c>
      <c r="F41" s="449"/>
      <c r="G41" s="449"/>
      <c r="H41" s="449"/>
      <c r="I41" s="363" t="s">
        <v>77</v>
      </c>
      <c r="J41" s="364"/>
      <c r="K41" s="450" t="s">
        <v>38</v>
      </c>
      <c r="L41" s="450"/>
      <c r="M41" s="365"/>
      <c r="N41" s="366" t="s">
        <v>76</v>
      </c>
      <c r="O41" s="393"/>
    </row>
    <row r="42" spans="3:23" x14ac:dyDescent="0.3">
      <c r="D42" s="394"/>
      <c r="E42" s="367" t="s">
        <v>44</v>
      </c>
      <c r="F42" s="368"/>
      <c r="G42" s="367"/>
      <c r="H42" s="367"/>
      <c r="I42" s="369">
        <v>16003</v>
      </c>
      <c r="J42" s="370"/>
      <c r="K42" s="371"/>
      <c r="L42" s="371"/>
      <c r="M42" s="371"/>
      <c r="N42" s="371"/>
      <c r="O42" s="386"/>
    </row>
    <row r="43" spans="3:23" x14ac:dyDescent="0.3">
      <c r="D43" s="394"/>
      <c r="E43" s="367" t="s">
        <v>45</v>
      </c>
      <c r="F43" s="367" t="s">
        <v>4</v>
      </c>
      <c r="G43" s="367"/>
      <c r="H43" s="367"/>
      <c r="I43" s="369">
        <v>1135</v>
      </c>
      <c r="J43" s="370"/>
      <c r="K43" s="371"/>
      <c r="L43" s="371"/>
      <c r="M43" s="371"/>
      <c r="N43" s="371"/>
      <c r="O43" s="386"/>
    </row>
    <row r="44" spans="3:23" x14ac:dyDescent="0.3">
      <c r="D44" s="394"/>
      <c r="E44" s="367"/>
      <c r="F44" s="367" t="s">
        <v>46</v>
      </c>
      <c r="G44" s="367"/>
      <c r="H44" s="367"/>
      <c r="I44" s="372"/>
      <c r="J44" s="370"/>
      <c r="K44" s="371"/>
      <c r="L44" s="369"/>
      <c r="M44" s="371"/>
      <c r="N44" s="373"/>
      <c r="O44" s="386"/>
    </row>
    <row r="45" spans="3:23" x14ac:dyDescent="0.3">
      <c r="D45" s="394"/>
      <c r="E45" s="367"/>
      <c r="F45" s="374" t="s">
        <v>73</v>
      </c>
      <c r="G45" s="374"/>
      <c r="H45" s="374"/>
      <c r="I45" s="369">
        <f>+I42-I43-I44</f>
        <v>14868</v>
      </c>
      <c r="J45" s="370"/>
      <c r="K45" s="371"/>
      <c r="L45" s="371"/>
      <c r="M45" s="371"/>
      <c r="N45" s="371"/>
      <c r="O45" s="386"/>
    </row>
    <row r="46" spans="3:23" x14ac:dyDescent="0.3">
      <c r="D46" s="394"/>
      <c r="E46" s="367" t="s">
        <v>80</v>
      </c>
      <c r="F46" s="370"/>
      <c r="G46" s="370"/>
      <c r="H46" s="370"/>
      <c r="I46" s="372">
        <f>+'Main Table'!AB87</f>
        <v>0</v>
      </c>
      <c r="J46" s="370"/>
      <c r="K46" s="371"/>
      <c r="L46" s="371"/>
      <c r="M46" s="371"/>
      <c r="N46" s="371"/>
      <c r="O46" s="386"/>
    </row>
    <row r="47" spans="3:23" x14ac:dyDescent="0.3">
      <c r="D47" s="445" t="s">
        <v>50</v>
      </c>
      <c r="E47" s="446"/>
      <c r="F47" s="446"/>
      <c r="G47" s="446"/>
      <c r="H47" s="446"/>
      <c r="I47" s="375">
        <f>+I45-I46</f>
        <v>14868</v>
      </c>
      <c r="J47" s="370"/>
      <c r="K47" s="371"/>
      <c r="L47" s="371"/>
      <c r="M47" s="371"/>
      <c r="N47" s="371"/>
      <c r="O47" s="386"/>
    </row>
    <row r="48" spans="3:23" x14ac:dyDescent="0.3">
      <c r="D48" s="394"/>
      <c r="E48" s="367" t="s">
        <v>74</v>
      </c>
      <c r="F48" s="370"/>
      <c r="G48" s="370"/>
      <c r="H48" s="370"/>
      <c r="I48" s="372">
        <f>+I46</f>
        <v>0</v>
      </c>
      <c r="J48" s="370"/>
      <c r="K48" s="371"/>
      <c r="L48" s="371"/>
      <c r="M48" s="371"/>
      <c r="N48" s="371"/>
      <c r="O48" s="386"/>
    </row>
    <row r="49" spans="4:15" ht="15" thickBot="1" x14ac:dyDescent="0.35">
      <c r="D49" s="445" t="s">
        <v>47</v>
      </c>
      <c r="E49" s="446"/>
      <c r="F49" s="446"/>
      <c r="G49" s="446"/>
      <c r="H49" s="446"/>
      <c r="I49" s="376">
        <f>+I47+I48</f>
        <v>14868</v>
      </c>
      <c r="J49" s="370"/>
      <c r="K49" s="447">
        <v>20969</v>
      </c>
      <c r="L49" s="447"/>
      <c r="M49" s="371"/>
      <c r="N49" s="377">
        <f>+K49-I49</f>
        <v>6101</v>
      </c>
      <c r="O49" s="386"/>
    </row>
    <row r="50" spans="4:15" ht="15.6" thickTop="1" thickBot="1" x14ac:dyDescent="0.35">
      <c r="D50" s="385"/>
      <c r="E50" s="448" t="s">
        <v>72</v>
      </c>
      <c r="F50" s="448"/>
      <c r="G50" s="448"/>
      <c r="H50" s="374"/>
      <c r="I50" s="378">
        <f>+I49/K49</f>
        <v>0.70904668796795267</v>
      </c>
      <c r="J50" s="371"/>
      <c r="K50" s="371"/>
      <c r="L50" s="371"/>
      <c r="M50" s="371"/>
      <c r="N50" s="379">
        <f>+N49/K49</f>
        <v>0.29095331203204733</v>
      </c>
      <c r="O50" s="386"/>
    </row>
    <row r="51" spans="4:15" ht="15" thickTop="1" x14ac:dyDescent="0.3">
      <c r="D51" s="385"/>
      <c r="E51" s="374"/>
      <c r="F51" s="446" t="s">
        <v>112</v>
      </c>
      <c r="G51" s="446"/>
      <c r="H51" s="446"/>
      <c r="I51" s="380"/>
      <c r="J51" s="371"/>
      <c r="K51" s="371"/>
      <c r="L51" s="381">
        <v>179</v>
      </c>
      <c r="M51" s="381"/>
      <c r="N51" s="381">
        <f>+N50*L51</f>
        <v>52.080642853736471</v>
      </c>
      <c r="O51" s="386"/>
    </row>
    <row r="52" spans="4:15" x14ac:dyDescent="0.3">
      <c r="D52" s="385"/>
      <c r="E52" s="374"/>
      <c r="F52" s="374"/>
      <c r="G52" s="374"/>
      <c r="H52" s="374"/>
      <c r="I52" s="380"/>
      <c r="J52" s="371"/>
      <c r="K52" s="371"/>
      <c r="L52" s="371"/>
      <c r="M52" s="371"/>
      <c r="N52" s="380"/>
      <c r="O52" s="386"/>
    </row>
    <row r="53" spans="4:15" ht="15" thickBot="1" x14ac:dyDescent="0.35">
      <c r="D53" s="395"/>
      <c r="E53" s="396"/>
      <c r="F53" s="396"/>
      <c r="G53" s="396"/>
      <c r="H53" s="396"/>
      <c r="I53" s="397"/>
      <c r="J53" s="398"/>
      <c r="K53" s="388"/>
      <c r="L53" s="388"/>
      <c r="M53" s="388"/>
      <c r="N53" s="388"/>
      <c r="O53" s="389"/>
    </row>
    <row r="54" spans="4:15" ht="15" thickBot="1" x14ac:dyDescent="0.35"/>
    <row r="55" spans="4:15" x14ac:dyDescent="0.3">
      <c r="E55" s="382"/>
      <c r="F55" s="383"/>
      <c r="G55" s="383"/>
      <c r="H55" s="383"/>
      <c r="I55" s="383"/>
      <c r="J55" s="383"/>
      <c r="K55" s="383"/>
      <c r="L55" s="383"/>
      <c r="M55" s="384"/>
    </row>
    <row r="56" spans="4:15" x14ac:dyDescent="0.3">
      <c r="E56" s="385"/>
      <c r="F56" s="390" t="s">
        <v>113</v>
      </c>
      <c r="G56" s="390"/>
      <c r="H56" s="390"/>
      <c r="I56" s="444">
        <v>11690000</v>
      </c>
      <c r="J56" s="444"/>
      <c r="K56" s="444"/>
      <c r="L56" s="444"/>
      <c r="M56" s="386"/>
    </row>
    <row r="57" spans="4:15" x14ac:dyDescent="0.3">
      <c r="E57" s="385"/>
      <c r="F57" s="390" t="s">
        <v>114</v>
      </c>
      <c r="G57" s="390"/>
      <c r="H57" s="390"/>
      <c r="I57" s="390"/>
      <c r="J57" s="390"/>
      <c r="K57" s="390"/>
      <c r="L57" s="391">
        <f>+N49/I56</f>
        <v>5.2189905902480754E-4</v>
      </c>
      <c r="M57" s="386"/>
    </row>
    <row r="58" spans="4:15" ht="15" thickBot="1" x14ac:dyDescent="0.35">
      <c r="E58" s="387"/>
      <c r="F58" s="388"/>
      <c r="G58" s="388"/>
      <c r="H58" s="388"/>
      <c r="I58" s="388"/>
      <c r="J58" s="388"/>
      <c r="K58" s="388"/>
      <c r="L58" s="388"/>
      <c r="M58" s="389"/>
    </row>
  </sheetData>
  <mergeCells count="24"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56:L56"/>
    <mergeCell ref="D47:H47"/>
    <mergeCell ref="D49:H49"/>
    <mergeCell ref="K49:L49"/>
    <mergeCell ref="E50:G50"/>
    <mergeCell ref="F51:H5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workbookViewId="0">
      <selection activeCell="W29" sqref="W29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2.7773437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01" t="s">
        <v>5</v>
      </c>
      <c r="C1" s="401"/>
      <c r="D1" s="401"/>
    </row>
    <row r="2" spans="2:31" ht="15.6" x14ac:dyDescent="0.3">
      <c r="B2" s="401" t="s">
        <v>6</v>
      </c>
      <c r="C2" s="401"/>
      <c r="D2" s="401"/>
    </row>
    <row r="3" spans="2:31" ht="15.6" x14ac:dyDescent="0.3">
      <c r="B3" s="307" t="s">
        <v>14</v>
      </c>
      <c r="C3" s="307"/>
      <c r="D3" s="210"/>
    </row>
    <row r="4" spans="2:31" ht="15.6" x14ac:dyDescent="0.3">
      <c r="B4" s="211"/>
      <c r="C4" s="211"/>
      <c r="D4" s="210"/>
    </row>
    <row r="5" spans="2:31" ht="15.6" x14ac:dyDescent="0.3">
      <c r="B5" s="211"/>
      <c r="C5" s="211"/>
      <c r="D5" s="210" t="s">
        <v>86</v>
      </c>
      <c r="F5" s="308" t="s">
        <v>87</v>
      </c>
    </row>
    <row r="6" spans="2:31" ht="15.6" x14ac:dyDescent="0.3">
      <c r="B6" s="211"/>
      <c r="C6" s="211"/>
      <c r="D6" s="210"/>
      <c r="F6" t="s">
        <v>90</v>
      </c>
    </row>
    <row r="7" spans="2:31" ht="15.6" x14ac:dyDescent="0.3">
      <c r="B7" s="211"/>
      <c r="C7" s="211"/>
      <c r="D7" s="210"/>
      <c r="F7" s="308" t="s">
        <v>89</v>
      </c>
    </row>
    <row r="8" spans="2:31" ht="15.6" x14ac:dyDescent="0.3">
      <c r="B8" s="211"/>
      <c r="C8" s="211"/>
      <c r="D8" s="210"/>
      <c r="F8" s="308" t="s">
        <v>88</v>
      </c>
    </row>
    <row r="9" spans="2:31" ht="15.6" x14ac:dyDescent="0.3">
      <c r="B9" s="211"/>
      <c r="C9" s="211"/>
      <c r="D9" s="210"/>
      <c r="F9" s="308"/>
    </row>
    <row r="11" spans="2:31" ht="15" thickBot="1" x14ac:dyDescent="0.35">
      <c r="D11" s="111"/>
      <c r="F11" s="1"/>
      <c r="G11" s="1"/>
      <c r="H11" s="1"/>
      <c r="I11" s="1"/>
      <c r="J11" s="1"/>
      <c r="K11" s="1"/>
      <c r="L11" s="81"/>
      <c r="M11" s="1"/>
      <c r="N11" s="1"/>
      <c r="O11" s="1"/>
      <c r="P11" s="1"/>
      <c r="Q11" s="1"/>
      <c r="R11" s="1"/>
      <c r="S11" s="1"/>
      <c r="T11" s="1"/>
      <c r="U11" s="1"/>
      <c r="V11" s="81"/>
    </row>
    <row r="12" spans="2:31" ht="15" thickBot="1" x14ac:dyDescent="0.35">
      <c r="D12" s="479" t="s">
        <v>24</v>
      </c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1"/>
      <c r="V12" s="81"/>
    </row>
    <row r="13" spans="2:31" ht="15" thickBot="1" x14ac:dyDescent="0.35">
      <c r="D13" s="277" t="s">
        <v>20</v>
      </c>
      <c r="E13" s="100"/>
      <c r="F13" s="278" t="s">
        <v>21</v>
      </c>
      <c r="G13" s="101"/>
      <c r="H13" s="101"/>
      <c r="I13" s="101"/>
      <c r="J13" s="279" t="s">
        <v>22</v>
      </c>
      <c r="K13" s="101"/>
      <c r="L13" s="278" t="s">
        <v>19</v>
      </c>
      <c r="M13" s="102"/>
      <c r="N13" s="102"/>
      <c r="O13" s="102"/>
      <c r="P13" s="278" t="s">
        <v>21</v>
      </c>
      <c r="Q13" s="102"/>
      <c r="R13" s="102"/>
      <c r="S13" s="102"/>
      <c r="T13" s="278" t="s">
        <v>23</v>
      </c>
      <c r="U13" s="280"/>
      <c r="V13" s="1"/>
      <c r="X13" s="114"/>
      <c r="Y13" s="114"/>
      <c r="Z13" s="114"/>
      <c r="AA13" s="114"/>
      <c r="AB13" s="114"/>
      <c r="AC13" s="114"/>
      <c r="AD13" s="1"/>
      <c r="AE13" s="1"/>
    </row>
    <row r="14" spans="2:31" ht="15" thickBot="1" x14ac:dyDescent="0.35">
      <c r="D14" s="103">
        <v>43916</v>
      </c>
      <c r="E14" s="104"/>
      <c r="F14" s="105">
        <f>+'Main Table'!H16</f>
        <v>85435</v>
      </c>
      <c r="G14" s="105"/>
      <c r="H14" s="105"/>
      <c r="I14" s="105"/>
      <c r="J14" s="282">
        <f>+'Main Table'!J16</f>
        <v>0.25251059213323362</v>
      </c>
      <c r="K14" s="105"/>
      <c r="L14" s="105">
        <v>0</v>
      </c>
      <c r="M14" s="105"/>
      <c r="N14" s="105"/>
      <c r="O14" s="105"/>
      <c r="P14" s="105">
        <f>+F14</f>
        <v>85435</v>
      </c>
      <c r="Q14" s="105"/>
      <c r="R14" s="105"/>
      <c r="S14" s="105"/>
      <c r="T14" s="282">
        <f>+'Main Table'!J65</f>
        <v>2.3387445493178827E-2</v>
      </c>
      <c r="U14" s="280"/>
      <c r="V14" s="1"/>
      <c r="X14" s="284"/>
      <c r="Y14" s="478" t="s">
        <v>64</v>
      </c>
      <c r="Z14" s="478"/>
      <c r="AA14" s="478"/>
      <c r="AB14" s="478"/>
      <c r="AC14" s="478"/>
      <c r="AD14" s="285"/>
      <c r="AE14" s="1"/>
    </row>
    <row r="15" spans="2:31" x14ac:dyDescent="0.3">
      <c r="D15" s="103">
        <f t="shared" ref="D15:D60" si="0">1+D14</f>
        <v>43917</v>
      </c>
      <c r="E15" s="104"/>
      <c r="F15" s="105">
        <f t="shared" ref="F15:F49" si="1">+F14*(1+J14)</f>
        <v>107008.24243890282</v>
      </c>
      <c r="G15" s="105"/>
      <c r="H15" s="105"/>
      <c r="I15" s="105"/>
      <c r="J15" s="106">
        <f t="shared" ref="J15:J54" si="2">+J14</f>
        <v>0.25251059213323362</v>
      </c>
      <c r="K15" s="105"/>
      <c r="L15" s="105">
        <f t="shared" ref="L15:L54" si="3">+L14+1</f>
        <v>1</v>
      </c>
      <c r="M15" s="105"/>
      <c r="N15" s="105"/>
      <c r="O15" s="105"/>
      <c r="P15" s="105">
        <f t="shared" ref="P15:P49" si="4">+P14*(1+T14)</f>
        <v>87433.106405709739</v>
      </c>
      <c r="Q15" s="105"/>
      <c r="R15" s="105"/>
      <c r="S15" s="105"/>
      <c r="T15" s="106">
        <f t="shared" ref="T15:T54" si="5">+T14</f>
        <v>2.3387445493178827E-2</v>
      </c>
      <c r="U15" s="280"/>
      <c r="V15" s="1"/>
      <c r="X15" s="286"/>
      <c r="Y15" s="287" t="s">
        <v>65</v>
      </c>
      <c r="Z15" s="288"/>
      <c r="AA15" s="287" t="s">
        <v>66</v>
      </c>
      <c r="AB15" s="289"/>
      <c r="AC15" s="290" t="s">
        <v>10</v>
      </c>
      <c r="AD15" s="291"/>
      <c r="AE15" s="1"/>
    </row>
    <row r="16" spans="2:31" x14ac:dyDescent="0.3">
      <c r="D16" s="103">
        <f t="shared" si="0"/>
        <v>43918</v>
      </c>
      <c r="E16" s="104"/>
      <c r="F16" s="105">
        <f t="shared" si="1"/>
        <v>134028.95710028679</v>
      </c>
      <c r="G16" s="105"/>
      <c r="H16" s="105"/>
      <c r="I16" s="105"/>
      <c r="J16" s="106">
        <f t="shared" si="2"/>
        <v>0.25251059213323362</v>
      </c>
      <c r="K16" s="105"/>
      <c r="L16" s="105">
        <f t="shared" si="3"/>
        <v>2</v>
      </c>
      <c r="M16" s="105"/>
      <c r="N16" s="105"/>
      <c r="O16" s="105"/>
      <c r="P16" s="105">
        <f t="shared" si="4"/>
        <v>89477.94341607258</v>
      </c>
      <c r="Q16" s="105"/>
      <c r="R16" s="105"/>
      <c r="S16" s="105"/>
      <c r="T16" s="106">
        <f t="shared" si="5"/>
        <v>2.3387445493178827E-2</v>
      </c>
      <c r="U16" s="280"/>
      <c r="V16" s="1"/>
      <c r="X16" s="286"/>
      <c r="Y16" s="292" t="s">
        <v>61</v>
      </c>
      <c r="Z16" s="292"/>
      <c r="AA16" s="293">
        <v>330</v>
      </c>
      <c r="AB16" s="292"/>
      <c r="AC16" s="294">
        <f>+AA16/AA16</f>
        <v>1</v>
      </c>
      <c r="AD16" s="291"/>
      <c r="AE16" s="1"/>
    </row>
    <row r="17" spans="4:33" x14ac:dyDescent="0.3">
      <c r="D17" s="103">
        <f t="shared" si="0"/>
        <v>43919</v>
      </c>
      <c r="E17" s="104"/>
      <c r="F17" s="105">
        <f t="shared" si="1"/>
        <v>167872.68842067997</v>
      </c>
      <c r="G17" s="105"/>
      <c r="H17" s="105"/>
      <c r="I17" s="105"/>
      <c r="J17" s="106">
        <f t="shared" si="2"/>
        <v>0.25251059213323362</v>
      </c>
      <c r="K17" s="105"/>
      <c r="L17" s="105">
        <f t="shared" si="3"/>
        <v>3</v>
      </c>
      <c r="M17" s="105"/>
      <c r="N17" s="105"/>
      <c r="O17" s="105"/>
      <c r="P17" s="105">
        <f t="shared" si="4"/>
        <v>91570.603940557718</v>
      </c>
      <c r="Q17" s="105"/>
      <c r="R17" s="105"/>
      <c r="S17" s="105"/>
      <c r="T17" s="106">
        <f t="shared" si="5"/>
        <v>2.3387445493178827E-2</v>
      </c>
      <c r="U17" s="280"/>
      <c r="V17" s="1"/>
      <c r="X17" s="286"/>
      <c r="Y17" s="295" t="s">
        <v>63</v>
      </c>
      <c r="Z17" s="292"/>
      <c r="AA17" s="296">
        <v>53.42</v>
      </c>
      <c r="AB17" s="292"/>
      <c r="AC17" s="294">
        <f>+AA17/AA16</f>
        <v>0.16187878787878787</v>
      </c>
      <c r="AD17" s="291"/>
      <c r="AE17" s="1"/>
    </row>
    <row r="18" spans="4:33" x14ac:dyDescent="0.3">
      <c r="D18" s="103">
        <f t="shared" si="0"/>
        <v>43920</v>
      </c>
      <c r="E18" s="104"/>
      <c r="F18" s="105">
        <f t="shared" si="1"/>
        <v>210262.3203767837</v>
      </c>
      <c r="G18" s="105"/>
      <c r="H18" s="105"/>
      <c r="I18" s="105"/>
      <c r="J18" s="106">
        <f t="shared" si="2"/>
        <v>0.25251059213323362</v>
      </c>
      <c r="K18" s="105"/>
      <c r="L18" s="105">
        <f t="shared" si="3"/>
        <v>4</v>
      </c>
      <c r="M18" s="105"/>
      <c r="N18" s="105"/>
      <c r="O18" s="105"/>
      <c r="P18" s="105">
        <f t="shared" si="4"/>
        <v>93712.206448994984</v>
      </c>
      <c r="Q18" s="105"/>
      <c r="R18" s="105"/>
      <c r="S18" s="105"/>
      <c r="T18" s="106">
        <f t="shared" si="5"/>
        <v>2.3387445493178827E-2</v>
      </c>
      <c r="U18" s="280"/>
      <c r="V18" s="1"/>
      <c r="X18" s="286"/>
      <c r="Y18" s="297" t="s">
        <v>67</v>
      </c>
      <c r="Z18" s="297"/>
      <c r="AA18" s="293">
        <f>+AC18*AA17</f>
        <v>11.37846</v>
      </c>
      <c r="AB18" s="292"/>
      <c r="AC18" s="294">
        <v>0.21299999999999999</v>
      </c>
      <c r="AD18" s="291"/>
      <c r="AE18" s="1"/>
    </row>
    <row r="19" spans="4:33" ht="15" thickBot="1" x14ac:dyDescent="0.35">
      <c r="D19" s="103">
        <f t="shared" si="0"/>
        <v>43921</v>
      </c>
      <c r="E19" s="104"/>
      <c r="F19" s="105">
        <f t="shared" si="1"/>
        <v>263355.78339843301</v>
      </c>
      <c r="G19" s="105"/>
      <c r="H19" s="105"/>
      <c r="I19" s="105"/>
      <c r="J19" s="106">
        <f t="shared" si="2"/>
        <v>0.25251059213323362</v>
      </c>
      <c r="K19" s="105"/>
      <c r="L19" s="105">
        <f t="shared" si="3"/>
        <v>5</v>
      </c>
      <c r="M19" s="105"/>
      <c r="N19" s="105"/>
      <c r="O19" s="105"/>
      <c r="P19" s="105">
        <f t="shared" si="4"/>
        <v>95903.895569366374</v>
      </c>
      <c r="Q19" s="105"/>
      <c r="R19" s="105"/>
      <c r="S19" s="105"/>
      <c r="T19" s="106">
        <f t="shared" si="5"/>
        <v>2.3387445493178827E-2</v>
      </c>
      <c r="U19" s="280"/>
      <c r="V19" s="1"/>
      <c r="X19" s="298"/>
      <c r="Y19" s="299" t="s">
        <v>68</v>
      </c>
      <c r="Z19" s="299"/>
      <c r="AA19" s="300"/>
      <c r="AB19" s="301"/>
      <c r="AC19" s="300">
        <f>+AA18/AA16</f>
        <v>3.448018181818182E-2</v>
      </c>
      <c r="AD19" s="302"/>
      <c r="AE19" s="1"/>
    </row>
    <row r="20" spans="4:33" x14ac:dyDescent="0.3">
      <c r="D20" s="103">
        <f t="shared" si="0"/>
        <v>43922</v>
      </c>
      <c r="E20" s="104"/>
      <c r="F20" s="105">
        <f t="shared" si="1"/>
        <v>329855.90820608294</v>
      </c>
      <c r="G20" s="105"/>
      <c r="H20" s="105"/>
      <c r="I20" s="105"/>
      <c r="J20" s="106">
        <f t="shared" si="2"/>
        <v>0.25251059213323362</v>
      </c>
      <c r="K20" s="105"/>
      <c r="L20" s="105">
        <f t="shared" si="3"/>
        <v>6</v>
      </c>
      <c r="M20" s="105"/>
      <c r="N20" s="105"/>
      <c r="O20" s="105"/>
      <c r="P20" s="105">
        <f t="shared" si="4"/>
        <v>98146.842699578439</v>
      </c>
      <c r="Q20" s="105"/>
      <c r="R20" s="105"/>
      <c r="S20" s="105"/>
      <c r="T20" s="106">
        <f t="shared" si="5"/>
        <v>2.3387445493178827E-2</v>
      </c>
      <c r="U20" s="280"/>
      <c r="V20" s="1"/>
      <c r="X20" s="114"/>
      <c r="Y20" s="114"/>
      <c r="Z20" s="114"/>
      <c r="AA20" s="114"/>
      <c r="AB20" s="114"/>
      <c r="AC20" s="114"/>
      <c r="AD20" s="1"/>
      <c r="AE20" s="1"/>
    </row>
    <row r="21" spans="4:33" x14ac:dyDescent="0.3">
      <c r="D21" s="103">
        <f t="shared" si="0"/>
        <v>43923</v>
      </c>
      <c r="E21" s="104"/>
      <c r="F21" s="105">
        <f t="shared" si="1"/>
        <v>413148.01890584646</v>
      </c>
      <c r="G21" s="105"/>
      <c r="H21" s="105"/>
      <c r="I21" s="105"/>
      <c r="J21" s="106">
        <f t="shared" si="2"/>
        <v>0.25251059213323362</v>
      </c>
      <c r="K21" s="105"/>
      <c r="L21" s="105">
        <f t="shared" si="3"/>
        <v>7</v>
      </c>
      <c r="M21" s="105"/>
      <c r="N21" s="105"/>
      <c r="O21" s="105"/>
      <c r="P21" s="105">
        <f t="shared" si="4"/>
        <v>100442.24663354243</v>
      </c>
      <c r="Q21" s="105"/>
      <c r="R21" s="105"/>
      <c r="S21" s="105"/>
      <c r="T21" s="106">
        <f t="shared" si="5"/>
        <v>2.3387445493178827E-2</v>
      </c>
      <c r="U21" s="280"/>
      <c r="V21" s="1"/>
      <c r="X21" s="114"/>
      <c r="Y21" s="114"/>
      <c r="Z21" s="114"/>
      <c r="AA21" s="114"/>
      <c r="AB21" s="114"/>
      <c r="AC21" s="114"/>
      <c r="AD21" s="1"/>
      <c r="AE21" s="1"/>
    </row>
    <row r="22" spans="4:33" x14ac:dyDescent="0.3">
      <c r="D22" s="103">
        <f t="shared" si="0"/>
        <v>43924</v>
      </c>
      <c r="E22" s="104"/>
      <c r="F22" s="105">
        <f t="shared" si="1"/>
        <v>517472.26979843411</v>
      </c>
      <c r="G22" s="105"/>
      <c r="H22" s="105"/>
      <c r="I22" s="105"/>
      <c r="J22" s="106">
        <f t="shared" si="2"/>
        <v>0.25251059213323362</v>
      </c>
      <c r="K22" s="105"/>
      <c r="L22" s="105">
        <f t="shared" si="3"/>
        <v>8</v>
      </c>
      <c r="M22" s="105"/>
      <c r="N22" s="105"/>
      <c r="O22" s="105"/>
      <c r="P22" s="105">
        <f t="shared" si="4"/>
        <v>102791.33420189683</v>
      </c>
      <c r="Q22" s="105"/>
      <c r="R22" s="105"/>
      <c r="S22" s="105"/>
      <c r="T22" s="106">
        <f t="shared" si="5"/>
        <v>2.3387445493178827E-2</v>
      </c>
      <c r="U22" s="280"/>
      <c r="V22" s="1"/>
    </row>
    <row r="23" spans="4:33" x14ac:dyDescent="0.3">
      <c r="D23" s="103">
        <f t="shared" si="0"/>
        <v>43925</v>
      </c>
      <c r="E23" s="104"/>
      <c r="F23" s="105">
        <f t="shared" si="1"/>
        <v>648139.49905776512</v>
      </c>
      <c r="G23" s="105"/>
      <c r="H23" s="105"/>
      <c r="I23" s="105"/>
      <c r="J23" s="106">
        <f t="shared" si="2"/>
        <v>0.25251059213323362</v>
      </c>
      <c r="K23" s="105"/>
      <c r="L23" s="105">
        <f t="shared" si="3"/>
        <v>9</v>
      </c>
      <c r="M23" s="105"/>
      <c r="N23" s="105"/>
      <c r="O23" s="105"/>
      <c r="P23" s="105">
        <f t="shared" si="4"/>
        <v>105195.36092771482</v>
      </c>
      <c r="Q23" s="105"/>
      <c r="R23" s="105"/>
      <c r="S23" s="105"/>
      <c r="T23" s="106">
        <f t="shared" si="5"/>
        <v>2.3387445493178827E-2</v>
      </c>
      <c r="U23" s="280"/>
      <c r="V23" s="1"/>
      <c r="X23" s="139"/>
      <c r="Y23" s="114"/>
      <c r="Z23" s="114"/>
      <c r="AA23" s="114"/>
      <c r="AB23" s="114"/>
      <c r="AC23" s="114"/>
      <c r="AD23" s="114"/>
      <c r="AE23" s="114"/>
      <c r="AF23" s="114"/>
      <c r="AG23" s="139"/>
    </row>
    <row r="24" spans="4:33" x14ac:dyDescent="0.3">
      <c r="D24" s="103">
        <f t="shared" si="0"/>
        <v>43926</v>
      </c>
      <c r="E24" s="104"/>
      <c r="F24" s="105">
        <f t="shared" si="1"/>
        <v>811801.58774977876</v>
      </c>
      <c r="G24" s="105"/>
      <c r="H24" s="105"/>
      <c r="I24" s="105"/>
      <c r="J24" s="106">
        <f t="shared" si="2"/>
        <v>0.25251059213323362</v>
      </c>
      <c r="K24" s="105"/>
      <c r="L24" s="105">
        <f t="shared" si="3"/>
        <v>10</v>
      </c>
      <c r="M24" s="105"/>
      <c r="N24" s="105"/>
      <c r="O24" s="105"/>
      <c r="P24" s="105">
        <f t="shared" si="4"/>
        <v>107655.61169754702</v>
      </c>
      <c r="Q24" s="105"/>
      <c r="R24" s="105"/>
      <c r="S24" s="105"/>
      <c r="T24" s="106">
        <f t="shared" si="5"/>
        <v>2.3387445493178827E-2</v>
      </c>
      <c r="U24" s="280"/>
      <c r="V24" s="1"/>
      <c r="X24" s="139"/>
      <c r="Y24" s="143"/>
      <c r="Z24" s="306"/>
      <c r="AA24" s="306"/>
      <c r="AB24" s="306"/>
      <c r="AC24" s="306"/>
      <c r="AD24" s="306"/>
      <c r="AE24" s="114"/>
      <c r="AF24" s="114"/>
      <c r="AG24" s="139"/>
    </row>
    <row r="25" spans="4:33" x14ac:dyDescent="0.3">
      <c r="D25" s="103">
        <f t="shared" si="0"/>
        <v>43927</v>
      </c>
      <c r="E25" s="104"/>
      <c r="F25" s="105">
        <f t="shared" si="1"/>
        <v>1016790.0873671746</v>
      </c>
      <c r="G25" s="105"/>
      <c r="H25" s="105"/>
      <c r="I25" s="105"/>
      <c r="J25" s="106">
        <f t="shared" si="2"/>
        <v>0.25251059213323362</v>
      </c>
      <c r="K25" s="105"/>
      <c r="L25" s="105">
        <f t="shared" si="3"/>
        <v>11</v>
      </c>
      <c r="M25" s="105"/>
      <c r="N25" s="105"/>
      <c r="O25" s="105"/>
      <c r="P25" s="105">
        <f t="shared" si="4"/>
        <v>110173.40144815823</v>
      </c>
      <c r="Q25" s="105"/>
      <c r="R25" s="105"/>
      <c r="S25" s="105"/>
      <c r="T25" s="106">
        <f t="shared" si="5"/>
        <v>2.3387445493178827E-2</v>
      </c>
      <c r="U25" s="280"/>
      <c r="V25" s="1"/>
      <c r="X25" s="139"/>
      <c r="Y25" s="305"/>
      <c r="Z25" s="305"/>
      <c r="AA25" s="305"/>
      <c r="AB25" s="139"/>
      <c r="AC25" s="136"/>
      <c r="AD25" s="139"/>
      <c r="AE25" s="119"/>
      <c r="AF25" s="114"/>
      <c r="AG25" s="139"/>
    </row>
    <row r="26" spans="4:33" x14ac:dyDescent="0.3">
      <c r="D26" s="103">
        <f t="shared" si="0"/>
        <v>43928</v>
      </c>
      <c r="E26" s="104"/>
      <c r="F26" s="105">
        <f t="shared" si="1"/>
        <v>1273540.354403462</v>
      </c>
      <c r="G26" s="105"/>
      <c r="H26" s="105"/>
      <c r="I26" s="105"/>
      <c r="J26" s="106">
        <f t="shared" si="2"/>
        <v>0.25251059213323362</v>
      </c>
      <c r="K26" s="105"/>
      <c r="L26" s="105">
        <f t="shared" si="3"/>
        <v>12</v>
      </c>
      <c r="M26" s="105"/>
      <c r="N26" s="105"/>
      <c r="O26" s="105"/>
      <c r="P26" s="105">
        <f t="shared" si="4"/>
        <v>112750.07586932514</v>
      </c>
      <c r="Q26" s="105"/>
      <c r="R26" s="105"/>
      <c r="S26" s="105"/>
      <c r="T26" s="106">
        <f t="shared" si="5"/>
        <v>2.3387445493178827E-2</v>
      </c>
      <c r="U26" s="280"/>
      <c r="V26" s="1"/>
      <c r="X26" s="139"/>
      <c r="Y26" s="143"/>
      <c r="Z26" s="143"/>
      <c r="AA26" s="143"/>
      <c r="AB26" s="139"/>
      <c r="AC26" s="303"/>
      <c r="AD26" s="139"/>
      <c r="AE26" s="304"/>
      <c r="AF26" s="114"/>
      <c r="AG26" s="139"/>
    </row>
    <row r="27" spans="4:33" x14ac:dyDescent="0.3">
      <c r="D27" s="103">
        <f t="shared" si="0"/>
        <v>43929</v>
      </c>
      <c r="E27" s="104"/>
      <c r="F27" s="105">
        <f t="shared" si="1"/>
        <v>1595122.7833994483</v>
      </c>
      <c r="G27" s="105"/>
      <c r="H27" s="105"/>
      <c r="I27" s="105"/>
      <c r="J27" s="106">
        <f t="shared" si="2"/>
        <v>0.25251059213323362</v>
      </c>
      <c r="K27" s="105"/>
      <c r="L27" s="105">
        <f t="shared" si="3"/>
        <v>13</v>
      </c>
      <c r="M27" s="105"/>
      <c r="N27" s="105"/>
      <c r="O27" s="105"/>
      <c r="P27" s="105">
        <f t="shared" si="4"/>
        <v>115387.01212307076</v>
      </c>
      <c r="Q27" s="105"/>
      <c r="R27" s="105"/>
      <c r="S27" s="105"/>
      <c r="T27" s="106">
        <f t="shared" si="5"/>
        <v>2.3387445493178827E-2</v>
      </c>
      <c r="U27" s="280"/>
      <c r="V27" s="1"/>
      <c r="X27" s="139"/>
      <c r="Y27" s="143"/>
      <c r="Z27" s="143"/>
      <c r="AA27" s="143"/>
      <c r="AB27" s="139"/>
      <c r="AC27" s="303"/>
      <c r="AD27" s="139"/>
      <c r="AE27" s="304"/>
      <c r="AF27" s="114"/>
      <c r="AG27" s="139"/>
    </row>
    <row r="28" spans="4:33" x14ac:dyDescent="0.3">
      <c r="D28" s="103">
        <f t="shared" si="0"/>
        <v>43930</v>
      </c>
      <c r="E28" s="104"/>
      <c r="F28" s="105">
        <f t="shared" si="1"/>
        <v>1997908.1819608547</v>
      </c>
      <c r="G28" s="105"/>
      <c r="H28" s="105"/>
      <c r="I28" s="105"/>
      <c r="J28" s="106">
        <f t="shared" si="2"/>
        <v>0.25251059213323362</v>
      </c>
      <c r="K28" s="105"/>
      <c r="L28" s="105">
        <f t="shared" si="3"/>
        <v>14</v>
      </c>
      <c r="M28" s="105"/>
      <c r="N28" s="105"/>
      <c r="O28" s="105"/>
      <c r="P28" s="105">
        <f t="shared" si="4"/>
        <v>118085.61957971985</v>
      </c>
      <c r="Q28" s="105"/>
      <c r="R28" s="105"/>
      <c r="S28" s="105"/>
      <c r="T28" s="106">
        <f t="shared" si="5"/>
        <v>2.3387445493178827E-2</v>
      </c>
      <c r="U28" s="280"/>
      <c r="V28" s="1"/>
      <c r="X28" s="139"/>
      <c r="Y28" s="306"/>
      <c r="Z28" s="306"/>
      <c r="AA28" s="306"/>
      <c r="AB28" s="139"/>
      <c r="AC28" s="303"/>
      <c r="AD28" s="139"/>
      <c r="AE28" s="304"/>
      <c r="AF28" s="114"/>
      <c r="AG28" s="139"/>
    </row>
    <row r="29" spans="4:33" x14ac:dyDescent="0.3">
      <c r="D29" s="103">
        <f t="shared" si="0"/>
        <v>43931</v>
      </c>
      <c r="E29" s="104"/>
      <c r="F29" s="105">
        <f t="shared" si="1"/>
        <v>2502401.1600156222</v>
      </c>
      <c r="G29" s="105"/>
      <c r="H29" s="105"/>
      <c r="I29" s="105"/>
      <c r="J29" s="106">
        <f t="shared" si="2"/>
        <v>0.25251059213323362</v>
      </c>
      <c r="K29" s="105"/>
      <c r="L29" s="105">
        <f t="shared" si="3"/>
        <v>15</v>
      </c>
      <c r="M29" s="105"/>
      <c r="N29" s="105"/>
      <c r="O29" s="105"/>
      <c r="P29" s="105">
        <f t="shared" si="4"/>
        <v>120847.3405711688</v>
      </c>
      <c r="Q29" s="105"/>
      <c r="R29" s="105"/>
      <c r="S29" s="105"/>
      <c r="T29" s="106">
        <f t="shared" si="5"/>
        <v>2.3387445493178827E-2</v>
      </c>
      <c r="U29" s="280"/>
      <c r="V29" s="112"/>
      <c r="X29" s="139"/>
      <c r="Y29" s="306"/>
      <c r="Z29" s="306"/>
      <c r="AA29" s="306"/>
      <c r="AB29" s="139"/>
      <c r="AC29" s="304"/>
      <c r="AD29" s="139"/>
      <c r="AE29" s="304"/>
      <c r="AF29" s="114"/>
      <c r="AG29" s="139"/>
    </row>
    <row r="30" spans="4:33" x14ac:dyDescent="0.3">
      <c r="D30" s="103">
        <f t="shared" si="0"/>
        <v>43932</v>
      </c>
      <c r="E30" s="104"/>
      <c r="F30" s="105">
        <f t="shared" si="1"/>
        <v>3134283.9586860575</v>
      </c>
      <c r="G30" s="105"/>
      <c r="H30" s="105"/>
      <c r="I30" s="105"/>
      <c r="J30" s="106">
        <f t="shared" si="2"/>
        <v>0.25251059213323362</v>
      </c>
      <c r="K30" s="105"/>
      <c r="L30" s="105">
        <f t="shared" si="3"/>
        <v>16</v>
      </c>
      <c r="M30" s="105"/>
      <c r="N30" s="105"/>
      <c r="O30" s="105"/>
      <c r="P30" s="105">
        <f t="shared" si="4"/>
        <v>123673.65116177262</v>
      </c>
      <c r="Q30" s="105"/>
      <c r="R30" s="105"/>
      <c r="S30" s="105"/>
      <c r="T30" s="106">
        <f t="shared" si="5"/>
        <v>2.3387445493178827E-2</v>
      </c>
      <c r="U30" s="280"/>
      <c r="V30" s="1"/>
      <c r="X30" s="139"/>
      <c r="Y30" s="114"/>
      <c r="Z30" s="114"/>
      <c r="AA30" s="114"/>
      <c r="AB30" s="114"/>
      <c r="AC30" s="114"/>
      <c r="AD30" s="114"/>
      <c r="AE30" s="114"/>
      <c r="AF30" s="114"/>
      <c r="AG30" s="139"/>
    </row>
    <row r="31" spans="4:33" x14ac:dyDescent="0.3">
      <c r="D31" s="103">
        <f t="shared" si="0"/>
        <v>43933</v>
      </c>
      <c r="E31" s="104"/>
      <c r="F31" s="105">
        <f t="shared" si="1"/>
        <v>3925723.8570075692</v>
      </c>
      <c r="G31" s="105"/>
      <c r="H31" s="105"/>
      <c r="I31" s="105"/>
      <c r="J31" s="106">
        <f t="shared" si="2"/>
        <v>0.25251059213323362</v>
      </c>
      <c r="K31" s="105"/>
      <c r="L31" s="105">
        <f t="shared" si="3"/>
        <v>17</v>
      </c>
      <c r="M31" s="105"/>
      <c r="N31" s="105"/>
      <c r="O31" s="105"/>
      <c r="P31" s="105">
        <f t="shared" si="4"/>
        <v>126566.06193726099</v>
      </c>
      <c r="Q31" s="105"/>
      <c r="R31" s="105"/>
      <c r="S31" s="105"/>
      <c r="T31" s="106">
        <f t="shared" si="5"/>
        <v>2.3387445493178827E-2</v>
      </c>
      <c r="U31" s="280"/>
      <c r="V31" s="1"/>
      <c r="Y31" s="114"/>
      <c r="Z31" s="114"/>
      <c r="AA31" s="114"/>
      <c r="AB31" s="114"/>
      <c r="AC31" s="114"/>
      <c r="AD31" s="114"/>
      <c r="AE31" s="1"/>
      <c r="AF31" s="1"/>
    </row>
    <row r="32" spans="4:33" x14ac:dyDescent="0.3">
      <c r="D32" s="103">
        <f t="shared" si="0"/>
        <v>43934</v>
      </c>
      <c r="E32" s="104"/>
      <c r="F32" s="105">
        <f t="shared" si="1"/>
        <v>4917010.7126921117</v>
      </c>
      <c r="G32" s="105"/>
      <c r="H32" s="105"/>
      <c r="I32" s="105"/>
      <c r="J32" s="106">
        <f t="shared" si="2"/>
        <v>0.25251059213323362</v>
      </c>
      <c r="K32" s="105"/>
      <c r="L32" s="105">
        <f t="shared" si="3"/>
        <v>18</v>
      </c>
      <c r="M32" s="105"/>
      <c r="N32" s="105"/>
      <c r="O32" s="105"/>
      <c r="P32" s="105">
        <f t="shared" si="4"/>
        <v>129526.11881210498</v>
      </c>
      <c r="Q32" s="105"/>
      <c r="R32" s="105"/>
      <c r="S32" s="105"/>
      <c r="T32" s="106">
        <f t="shared" si="5"/>
        <v>2.3387445493178827E-2</v>
      </c>
      <c r="U32" s="280"/>
      <c r="V32" s="1"/>
    </row>
    <row r="33" spans="4:22" x14ac:dyDescent="0.3">
      <c r="D33" s="103">
        <f t="shared" si="0"/>
        <v>43935</v>
      </c>
      <c r="E33" s="104"/>
      <c r="F33" s="105">
        <f t="shared" si="1"/>
        <v>6158607.9992794497</v>
      </c>
      <c r="G33" s="105"/>
      <c r="H33" s="105"/>
      <c r="I33" s="105"/>
      <c r="J33" s="106">
        <f t="shared" si="2"/>
        <v>0.25251059213323362</v>
      </c>
      <c r="K33" s="105"/>
      <c r="L33" s="105">
        <f t="shared" si="3"/>
        <v>19</v>
      </c>
      <c r="M33" s="105"/>
      <c r="N33" s="105"/>
      <c r="O33" s="105"/>
      <c r="P33" s="105">
        <f t="shared" si="4"/>
        <v>132555.40385576608</v>
      </c>
      <c r="Q33" s="105"/>
      <c r="R33" s="105"/>
      <c r="S33" s="105"/>
      <c r="T33" s="106">
        <f t="shared" si="5"/>
        <v>2.3387445493178827E-2</v>
      </c>
      <c r="U33" s="280"/>
      <c r="V33" s="1"/>
    </row>
    <row r="34" spans="4:22" x14ac:dyDescent="0.3">
      <c r="D34" s="103">
        <f t="shared" si="0"/>
        <v>43936</v>
      </c>
      <c r="E34" s="104"/>
      <c r="F34" s="105">
        <f t="shared" si="1"/>
        <v>7713721.751893972</v>
      </c>
      <c r="G34" s="105"/>
      <c r="H34" s="105"/>
      <c r="I34" s="105"/>
      <c r="J34" s="106">
        <f t="shared" si="2"/>
        <v>0.25251059213323362</v>
      </c>
      <c r="K34" s="105"/>
      <c r="L34" s="105">
        <f t="shared" si="3"/>
        <v>20</v>
      </c>
      <c r="M34" s="105"/>
      <c r="N34" s="105"/>
      <c r="O34" s="105"/>
      <c r="P34" s="105">
        <f t="shared" si="4"/>
        <v>135655.53613826912</v>
      </c>
      <c r="Q34" s="105"/>
      <c r="R34" s="105"/>
      <c r="S34" s="105"/>
      <c r="T34" s="106">
        <f t="shared" si="5"/>
        <v>2.3387445493178827E-2</v>
      </c>
      <c r="U34" s="280"/>
      <c r="V34" s="1"/>
    </row>
    <row r="35" spans="4:22" x14ac:dyDescent="0.3">
      <c r="D35" s="103">
        <f t="shared" si="0"/>
        <v>43937</v>
      </c>
      <c r="E35" s="104"/>
      <c r="F35" s="105">
        <f t="shared" si="1"/>
        <v>9661518.1990157235</v>
      </c>
      <c r="G35" s="105"/>
      <c r="H35" s="105"/>
      <c r="I35" s="105"/>
      <c r="J35" s="106">
        <f t="shared" si="2"/>
        <v>0.25251059213323362</v>
      </c>
      <c r="K35" s="105"/>
      <c r="L35" s="105">
        <f t="shared" si="3"/>
        <v>21</v>
      </c>
      <c r="M35" s="105"/>
      <c r="N35" s="105"/>
      <c r="O35" s="105"/>
      <c r="P35" s="105">
        <f t="shared" si="4"/>
        <v>138828.17259555083</v>
      </c>
      <c r="Q35" s="105"/>
      <c r="R35" s="105"/>
      <c r="S35" s="105"/>
      <c r="T35" s="106">
        <f t="shared" si="5"/>
        <v>2.3387445493178827E-2</v>
      </c>
      <c r="U35" s="280"/>
      <c r="V35" s="1"/>
    </row>
    <row r="36" spans="4:22" x14ac:dyDescent="0.3">
      <c r="D36" s="103">
        <f t="shared" si="0"/>
        <v>43938</v>
      </c>
      <c r="E36" s="104"/>
      <c r="F36" s="105">
        <f t="shared" si="1"/>
        <v>12101153.880355196</v>
      </c>
      <c r="G36" s="105"/>
      <c r="H36" s="105"/>
      <c r="I36" s="105"/>
      <c r="J36" s="106">
        <f t="shared" si="2"/>
        <v>0.25251059213323362</v>
      </c>
      <c r="K36" s="105"/>
      <c r="L36" s="105">
        <f t="shared" si="3"/>
        <v>22</v>
      </c>
      <c r="M36" s="105"/>
      <c r="N36" s="105"/>
      <c r="O36" s="105"/>
      <c r="P36" s="105">
        <f t="shared" si="4"/>
        <v>142075.0089150469</v>
      </c>
      <c r="Q36" s="105"/>
      <c r="R36" s="105"/>
      <c r="S36" s="105"/>
      <c r="T36" s="106">
        <f t="shared" si="5"/>
        <v>2.3387445493178827E-2</v>
      </c>
      <c r="U36" s="280"/>
      <c r="V36" s="14"/>
    </row>
    <row r="37" spans="4:22" x14ac:dyDescent="0.3">
      <c r="D37" s="103">
        <f t="shared" si="0"/>
        <v>43939</v>
      </c>
      <c r="E37" s="104"/>
      <c r="F37" s="105">
        <f t="shared" si="1"/>
        <v>15156823.412179064</v>
      </c>
      <c r="G37" s="105"/>
      <c r="H37" s="105"/>
      <c r="I37" s="105"/>
      <c r="J37" s="106">
        <f t="shared" si="2"/>
        <v>0.25251059213323362</v>
      </c>
      <c r="K37" s="105"/>
      <c r="L37" s="105">
        <f t="shared" si="3"/>
        <v>23</v>
      </c>
      <c r="M37" s="105"/>
      <c r="N37" s="105"/>
      <c r="O37" s="105"/>
      <c r="P37" s="105">
        <f t="shared" si="4"/>
        <v>145397.78044199044</v>
      </c>
      <c r="Q37" s="105"/>
      <c r="R37" s="105"/>
      <c r="S37" s="105"/>
      <c r="T37" s="106">
        <f t="shared" si="5"/>
        <v>2.3387445493178827E-2</v>
      </c>
      <c r="U37" s="280"/>
      <c r="V37" s="14"/>
    </row>
    <row r="38" spans="4:22" x14ac:dyDescent="0.3">
      <c r="D38" s="103">
        <f t="shared" si="0"/>
        <v>43940</v>
      </c>
      <c r="E38" s="104"/>
      <c r="F38" s="105">
        <f t="shared" si="1"/>
        <v>18984081.866847258</v>
      </c>
      <c r="G38" s="105"/>
      <c r="H38" s="105"/>
      <c r="I38" s="105"/>
      <c r="J38" s="106">
        <f t="shared" si="2"/>
        <v>0.25251059213323362</v>
      </c>
      <c r="K38" s="105"/>
      <c r="L38" s="105">
        <f t="shared" si="3"/>
        <v>24</v>
      </c>
      <c r="M38" s="105"/>
      <c r="N38" s="105"/>
      <c r="O38" s="105"/>
      <c r="P38" s="105">
        <f t="shared" si="4"/>
        <v>148798.26310690667</v>
      </c>
      <c r="Q38" s="105"/>
      <c r="R38" s="105"/>
      <c r="S38" s="105"/>
      <c r="T38" s="106">
        <f t="shared" si="5"/>
        <v>2.3387445493178827E-2</v>
      </c>
      <c r="U38" s="280"/>
      <c r="V38" s="14"/>
    </row>
    <row r="39" spans="4:22" x14ac:dyDescent="0.3">
      <c r="D39" s="103">
        <f t="shared" si="0"/>
        <v>43941</v>
      </c>
      <c r="E39" s="104"/>
      <c r="F39" s="105">
        <f t="shared" si="1"/>
        <v>23777763.620150641</v>
      </c>
      <c r="G39" s="105"/>
      <c r="H39" s="105"/>
      <c r="I39" s="105"/>
      <c r="J39" s="106">
        <f t="shared" si="2"/>
        <v>0.25251059213323362</v>
      </c>
      <c r="K39" s="105"/>
      <c r="L39" s="105">
        <f t="shared" si="3"/>
        <v>25</v>
      </c>
      <c r="M39" s="105"/>
      <c r="N39" s="105"/>
      <c r="O39" s="105"/>
      <c r="P39" s="105">
        <f t="shared" si="4"/>
        <v>152278.27437479913</v>
      </c>
      <c r="Q39" s="105"/>
      <c r="R39" s="105"/>
      <c r="S39" s="105"/>
      <c r="T39" s="106">
        <f t="shared" si="5"/>
        <v>2.3387445493178827E-2</v>
      </c>
      <c r="U39" s="280"/>
      <c r="V39" s="14"/>
    </row>
    <row r="40" spans="4:22" x14ac:dyDescent="0.3">
      <c r="D40" s="103">
        <f t="shared" si="0"/>
        <v>43942</v>
      </c>
      <c r="E40" s="104"/>
      <c r="F40" s="105">
        <f t="shared" si="1"/>
        <v>29781900.791478939</v>
      </c>
      <c r="G40" s="105"/>
      <c r="H40" s="105"/>
      <c r="I40" s="105"/>
      <c r="J40" s="106">
        <f t="shared" si="2"/>
        <v>0.25251059213323362</v>
      </c>
      <c r="K40" s="105"/>
      <c r="L40" s="105">
        <f t="shared" si="3"/>
        <v>26</v>
      </c>
      <c r="M40" s="105"/>
      <c r="N40" s="105"/>
      <c r="O40" s="105"/>
      <c r="P40" s="105">
        <f t="shared" si="4"/>
        <v>155839.67421653509</v>
      </c>
      <c r="Q40" s="105"/>
      <c r="R40" s="105"/>
      <c r="S40" s="105"/>
      <c r="T40" s="106">
        <f t="shared" si="5"/>
        <v>2.3387445493178827E-2</v>
      </c>
      <c r="U40" s="280"/>
      <c r="V40" s="14"/>
    </row>
    <row r="41" spans="4:22" x14ac:dyDescent="0.3">
      <c r="D41" s="103">
        <f t="shared" si="0"/>
        <v>43943</v>
      </c>
      <c r="E41" s="104"/>
      <c r="F41" s="105">
        <f t="shared" si="1"/>
        <v>37302146.195188507</v>
      </c>
      <c r="G41" s="105"/>
      <c r="H41" s="105"/>
      <c r="I41" s="105"/>
      <c r="J41" s="106">
        <f t="shared" si="2"/>
        <v>0.25251059213323362</v>
      </c>
      <c r="K41" s="105"/>
      <c r="L41" s="105">
        <f t="shared" si="3"/>
        <v>27</v>
      </c>
      <c r="M41" s="105"/>
      <c r="N41" s="105"/>
      <c r="O41" s="105"/>
      <c r="P41" s="105">
        <f t="shared" si="4"/>
        <v>159484.36610294905</v>
      </c>
      <c r="Q41" s="105"/>
      <c r="R41" s="105"/>
      <c r="S41" s="105"/>
      <c r="T41" s="106">
        <f t="shared" si="5"/>
        <v>2.3387445493178827E-2</v>
      </c>
      <c r="U41" s="280"/>
      <c r="V41" s="14"/>
    </row>
    <row r="42" spans="4:22" x14ac:dyDescent="0.3">
      <c r="D42" s="103">
        <f t="shared" si="0"/>
        <v>43944</v>
      </c>
      <c r="E42" s="104"/>
      <c r="F42" s="105">
        <f t="shared" si="1"/>
        <v>46721333.218776003</v>
      </c>
      <c r="G42" s="105"/>
      <c r="H42" s="105"/>
      <c r="I42" s="105"/>
      <c r="J42" s="106">
        <f t="shared" si="2"/>
        <v>0.25251059213323362</v>
      </c>
      <c r="K42" s="105"/>
      <c r="L42" s="105">
        <f t="shared" si="3"/>
        <v>28</v>
      </c>
      <c r="M42" s="105"/>
      <c r="N42" s="105"/>
      <c r="O42" s="105"/>
      <c r="P42" s="105">
        <f t="shared" si="4"/>
        <v>163214.29802219596</v>
      </c>
      <c r="Q42" s="105"/>
      <c r="R42" s="105"/>
      <c r="S42" s="105"/>
      <c r="T42" s="106">
        <f t="shared" si="5"/>
        <v>2.3387445493178827E-2</v>
      </c>
      <c r="U42" s="280"/>
      <c r="V42" s="14"/>
    </row>
    <row r="43" spans="4:22" x14ac:dyDescent="0.3">
      <c r="D43" s="103">
        <f t="shared" si="0"/>
        <v>43945</v>
      </c>
      <c r="E43" s="104"/>
      <c r="F43" s="105">
        <f t="shared" si="1"/>
        <v>58518964.73510325</v>
      </c>
      <c r="G43" s="105"/>
      <c r="H43" s="105"/>
      <c r="I43" s="105"/>
      <c r="J43" s="106">
        <f t="shared" si="2"/>
        <v>0.25251059213323362</v>
      </c>
      <c r="K43" s="105"/>
      <c r="L43" s="105">
        <f t="shared" si="3"/>
        <v>29</v>
      </c>
      <c r="M43" s="105"/>
      <c r="N43" s="105"/>
      <c r="O43" s="105"/>
      <c r="P43" s="105">
        <f t="shared" si="4"/>
        <v>167031.46352089752</v>
      </c>
      <c r="Q43" s="105"/>
      <c r="R43" s="105"/>
      <c r="S43" s="105"/>
      <c r="T43" s="106">
        <f t="shared" si="5"/>
        <v>2.3387445493178827E-2</v>
      </c>
      <c r="U43" s="280"/>
      <c r="V43" s="14"/>
    </row>
    <row r="44" spans="4:22" x14ac:dyDescent="0.3">
      <c r="D44" s="103">
        <f t="shared" si="0"/>
        <v>43946</v>
      </c>
      <c r="E44" s="104"/>
      <c r="F44" s="105">
        <f t="shared" si="1"/>
        <v>73295623.171387985</v>
      </c>
      <c r="G44" s="105"/>
      <c r="H44" s="105"/>
      <c r="I44" s="105"/>
      <c r="J44" s="106">
        <f t="shared" si="2"/>
        <v>0.25251059213323362</v>
      </c>
      <c r="K44" s="105"/>
      <c r="L44" s="105">
        <f t="shared" si="3"/>
        <v>30</v>
      </c>
      <c r="M44" s="105"/>
      <c r="N44" s="105"/>
      <c r="O44" s="105"/>
      <c r="P44" s="105">
        <f t="shared" si="4"/>
        <v>170937.9027696384</v>
      </c>
      <c r="Q44" s="105"/>
      <c r="R44" s="105"/>
      <c r="S44" s="105"/>
      <c r="T44" s="106">
        <f t="shared" si="5"/>
        <v>2.3387445493178827E-2</v>
      </c>
      <c r="U44" s="280"/>
      <c r="V44" s="14"/>
    </row>
    <row r="45" spans="4:22" x14ac:dyDescent="0.3">
      <c r="D45" s="103">
        <f t="shared" si="0"/>
        <v>43947</v>
      </c>
      <c r="E45" s="104"/>
      <c r="F45" s="105">
        <f t="shared" si="1"/>
        <v>91803544.379169524</v>
      </c>
      <c r="G45" s="105"/>
      <c r="H45" s="105"/>
      <c r="I45" s="105"/>
      <c r="J45" s="106">
        <f t="shared" si="2"/>
        <v>0.25251059213323362</v>
      </c>
      <c r="K45" s="105"/>
      <c r="L45" s="105">
        <f t="shared" si="3"/>
        <v>31</v>
      </c>
      <c r="M45" s="105"/>
      <c r="N45" s="105"/>
      <c r="O45" s="105"/>
      <c r="P45" s="105">
        <f t="shared" si="4"/>
        <v>174935.70365338161</v>
      </c>
      <c r="Q45" s="105"/>
      <c r="R45" s="105"/>
      <c r="S45" s="105"/>
      <c r="T45" s="106">
        <f t="shared" si="5"/>
        <v>2.3387445493178827E-2</v>
      </c>
      <c r="U45" s="280"/>
      <c r="V45" s="14"/>
    </row>
    <row r="46" spans="4:22" x14ac:dyDescent="0.3">
      <c r="D46" s="103">
        <f t="shared" si="0"/>
        <v>43948</v>
      </c>
      <c r="E46" s="104"/>
      <c r="F46" s="105">
        <f t="shared" si="1"/>
        <v>114984911.7302832</v>
      </c>
      <c r="G46" s="105"/>
      <c r="H46" s="105"/>
      <c r="I46" s="105"/>
      <c r="J46" s="106">
        <f t="shared" si="2"/>
        <v>0.25251059213323362</v>
      </c>
      <c r="K46" s="105"/>
      <c r="L46" s="105">
        <f t="shared" si="3"/>
        <v>32</v>
      </c>
      <c r="M46" s="105"/>
      <c r="N46" s="105"/>
      <c r="O46" s="105"/>
      <c r="P46" s="105">
        <f t="shared" si="4"/>
        <v>179027.00288738596</v>
      </c>
      <c r="Q46" s="105"/>
      <c r="R46" s="105"/>
      <c r="S46" s="105"/>
      <c r="T46" s="106">
        <f t="shared" si="5"/>
        <v>2.3387445493178827E-2</v>
      </c>
      <c r="U46" s="280"/>
      <c r="V46" s="14"/>
    </row>
    <row r="47" spans="4:22" x14ac:dyDescent="0.3">
      <c r="D47" s="103">
        <f t="shared" si="0"/>
        <v>43949</v>
      </c>
      <c r="E47" s="104"/>
      <c r="F47" s="105">
        <f t="shared" si="1"/>
        <v>144019819.87768459</v>
      </c>
      <c r="G47" s="105"/>
      <c r="H47" s="105"/>
      <c r="I47" s="105"/>
      <c r="J47" s="106">
        <f t="shared" si="2"/>
        <v>0.25251059213323362</v>
      </c>
      <c r="K47" s="105"/>
      <c r="L47" s="105">
        <f t="shared" si="3"/>
        <v>33</v>
      </c>
      <c r="M47" s="105"/>
      <c r="N47" s="105"/>
      <c r="O47" s="105"/>
      <c r="P47" s="105">
        <f t="shared" si="4"/>
        <v>183213.98715922187</v>
      </c>
      <c r="Q47" s="105"/>
      <c r="R47" s="105"/>
      <c r="S47" s="105"/>
      <c r="T47" s="106">
        <f t="shared" si="5"/>
        <v>2.3387445493178827E-2</v>
      </c>
      <c r="U47" s="280"/>
      <c r="V47" s="14"/>
    </row>
    <row r="48" spans="4:22" x14ac:dyDescent="0.3">
      <c r="D48" s="103">
        <f t="shared" si="0"/>
        <v>43950</v>
      </c>
      <c r="E48" s="104"/>
      <c r="F48" s="105">
        <f t="shared" si="1"/>
        <v>180386349.87392038</v>
      </c>
      <c r="G48" s="105"/>
      <c r="H48" s="105"/>
      <c r="I48" s="105"/>
      <c r="J48" s="106">
        <f t="shared" si="2"/>
        <v>0.25251059213323362</v>
      </c>
      <c r="K48" s="105"/>
      <c r="L48" s="105">
        <f t="shared" si="3"/>
        <v>34</v>
      </c>
      <c r="M48" s="105"/>
      <c r="N48" s="105"/>
      <c r="O48" s="105"/>
      <c r="P48" s="105">
        <f t="shared" si="4"/>
        <v>187498.89429749612</v>
      </c>
      <c r="Q48" s="105"/>
      <c r="R48" s="105"/>
      <c r="S48" s="105"/>
      <c r="T48" s="106">
        <f t="shared" si="5"/>
        <v>2.3387445493178827E-2</v>
      </c>
      <c r="U48" s="280"/>
      <c r="V48" s="14"/>
    </row>
    <row r="49" spans="4:22" x14ac:dyDescent="0.3">
      <c r="D49" s="103">
        <f t="shared" si="0"/>
        <v>43951</v>
      </c>
      <c r="E49" s="104"/>
      <c r="F49" s="105">
        <f t="shared" si="1"/>
        <v>225935813.89333665</v>
      </c>
      <c r="G49" s="105"/>
      <c r="H49" s="105"/>
      <c r="I49" s="105"/>
      <c r="J49" s="106">
        <f t="shared" si="2"/>
        <v>0.25251059213323362</v>
      </c>
      <c r="K49" s="105"/>
      <c r="L49" s="105">
        <f t="shared" si="3"/>
        <v>35</v>
      </c>
      <c r="M49" s="105"/>
      <c r="N49" s="105"/>
      <c r="O49" s="105"/>
      <c r="P49" s="105">
        <f t="shared" si="4"/>
        <v>191884.01446791011</v>
      </c>
      <c r="Q49" s="105"/>
      <c r="R49" s="105"/>
      <c r="S49" s="105"/>
      <c r="T49" s="106">
        <f t="shared" si="5"/>
        <v>2.3387445493178827E-2</v>
      </c>
      <c r="U49" s="280"/>
      <c r="V49" s="14"/>
    </row>
    <row r="50" spans="4:22" x14ac:dyDescent="0.3">
      <c r="D50" s="103">
        <f t="shared" si="0"/>
        <v>43952</v>
      </c>
      <c r="E50" s="104"/>
      <c r="F50" s="105">
        <f t="shared" ref="F50" si="6">+F49*(1+J49)</f>
        <v>282987000.04364717</v>
      </c>
      <c r="G50" s="105"/>
      <c r="H50" s="105"/>
      <c r="I50" s="105"/>
      <c r="J50" s="106">
        <f t="shared" si="2"/>
        <v>0.25251059213323362</v>
      </c>
      <c r="K50" s="105"/>
      <c r="L50" s="105">
        <f t="shared" si="3"/>
        <v>36</v>
      </c>
      <c r="M50" s="105"/>
      <c r="N50" s="105"/>
      <c r="O50" s="105"/>
      <c r="P50" s="105">
        <f t="shared" ref="P50" si="7">+P49*(1+T49)</f>
        <v>196371.69139729071</v>
      </c>
      <c r="Q50" s="105"/>
      <c r="R50" s="105"/>
      <c r="S50" s="105"/>
      <c r="T50" s="106">
        <f t="shared" si="5"/>
        <v>2.3387445493178827E-2</v>
      </c>
      <c r="U50" s="280"/>
      <c r="V50" s="14"/>
    </row>
    <row r="51" spans="4:22" x14ac:dyDescent="0.3">
      <c r="D51" s="103">
        <f t="shared" si="0"/>
        <v>43953</v>
      </c>
      <c r="E51" s="104"/>
      <c r="F51" s="105">
        <f t="shared" ref="F51" si="8">+F50*(1+J50)</f>
        <v>354444214.99067593</v>
      </c>
      <c r="G51" s="105"/>
      <c r="H51" s="105"/>
      <c r="I51" s="105"/>
      <c r="J51" s="106">
        <f t="shared" si="2"/>
        <v>0.25251059213323362</v>
      </c>
      <c r="K51" s="105"/>
      <c r="L51" s="105">
        <f t="shared" si="3"/>
        <v>37</v>
      </c>
      <c r="M51" s="105"/>
      <c r="N51" s="105"/>
      <c r="O51" s="105"/>
      <c r="P51" s="105">
        <f t="shared" ref="P51" si="9">+P50*(1+T50)</f>
        <v>200964.32362624817</v>
      </c>
      <c r="Q51" s="105"/>
      <c r="R51" s="105"/>
      <c r="S51" s="105"/>
      <c r="T51" s="106">
        <f t="shared" si="5"/>
        <v>2.3387445493178827E-2</v>
      </c>
      <c r="U51" s="280"/>
      <c r="V51" s="14"/>
    </row>
    <row r="52" spans="4:22" x14ac:dyDescent="0.3">
      <c r="D52" s="103">
        <f t="shared" si="0"/>
        <v>43954</v>
      </c>
      <c r="E52" s="104"/>
      <c r="F52" s="105">
        <f t="shared" ref="F52" si="10">+F51*(1+J51)</f>
        <v>443945133.59617066</v>
      </c>
      <c r="G52" s="105"/>
      <c r="H52" s="105"/>
      <c r="I52" s="105"/>
      <c r="J52" s="106">
        <f t="shared" si="2"/>
        <v>0.25251059213323362</v>
      </c>
      <c r="K52" s="105"/>
      <c r="L52" s="105">
        <f t="shared" si="3"/>
        <v>38</v>
      </c>
      <c r="M52" s="105"/>
      <c r="N52" s="105"/>
      <c r="O52" s="105"/>
      <c r="P52" s="105">
        <f t="shared" ref="P52" si="11">+P51*(1+T51)</f>
        <v>205664.36579113061</v>
      </c>
      <c r="Q52" s="105"/>
      <c r="R52" s="105"/>
      <c r="S52" s="105"/>
      <c r="T52" s="106">
        <f t="shared" si="5"/>
        <v>2.3387445493178827E-2</v>
      </c>
      <c r="U52" s="280"/>
      <c r="V52" s="14"/>
    </row>
    <row r="53" spans="4:22" x14ac:dyDescent="0.3">
      <c r="D53" s="103">
        <f t="shared" si="0"/>
        <v>43955</v>
      </c>
      <c r="E53" s="104"/>
      <c r="F53" s="105">
        <f t="shared" ref="F53" si="12">+F52*(1+J52)</f>
        <v>556045982.15520716</v>
      </c>
      <c r="G53" s="105"/>
      <c r="H53" s="105"/>
      <c r="I53" s="105"/>
      <c r="J53" s="106">
        <f t="shared" si="2"/>
        <v>0.25251059213323362</v>
      </c>
      <c r="K53" s="105"/>
      <c r="L53" s="105">
        <f t="shared" si="3"/>
        <v>39</v>
      </c>
      <c r="M53" s="105"/>
      <c r="N53" s="105"/>
      <c r="O53" s="105"/>
      <c r="P53" s="105">
        <f t="shared" ref="P53" si="13">+P52*(1+T52)</f>
        <v>210474.32993595986</v>
      </c>
      <c r="Q53" s="105"/>
      <c r="R53" s="105"/>
      <c r="S53" s="105"/>
      <c r="T53" s="106">
        <f t="shared" si="5"/>
        <v>2.3387445493178827E-2</v>
      </c>
      <c r="U53" s="280"/>
      <c r="V53" s="14"/>
    </row>
    <row r="54" spans="4:22" x14ac:dyDescent="0.3">
      <c r="D54" s="103">
        <f t="shared" si="0"/>
        <v>43956</v>
      </c>
      <c r="E54" s="104"/>
      <c r="F54" s="105">
        <f t="shared" ref="F54" si="14">+F53*(1+J53)</f>
        <v>696453482.36252391</v>
      </c>
      <c r="G54" s="105"/>
      <c r="H54" s="105"/>
      <c r="I54" s="105"/>
      <c r="J54" s="106">
        <f t="shared" si="2"/>
        <v>0.25251059213323362</v>
      </c>
      <c r="K54" s="105"/>
      <c r="L54" s="105">
        <f t="shared" si="3"/>
        <v>40</v>
      </c>
      <c r="M54" s="105"/>
      <c r="N54" s="105"/>
      <c r="O54" s="105"/>
      <c r="P54" s="105">
        <f t="shared" ref="P54" si="15">+P53*(1+T53)</f>
        <v>215396.78685505045</v>
      </c>
      <c r="Q54" s="105"/>
      <c r="R54" s="105"/>
      <c r="S54" s="105"/>
      <c r="T54" s="106">
        <f t="shared" si="5"/>
        <v>2.3387445493178827E-2</v>
      </c>
      <c r="U54" s="280"/>
      <c r="V54" s="14"/>
    </row>
    <row r="55" spans="4:22" x14ac:dyDescent="0.3">
      <c r="D55" s="103">
        <f t="shared" si="0"/>
        <v>43957</v>
      </c>
      <c r="E55" s="104"/>
      <c r="F55" s="105"/>
      <c r="G55" s="105"/>
      <c r="H55" s="105"/>
      <c r="I55" s="105"/>
      <c r="J55" s="106"/>
      <c r="K55" s="105"/>
      <c r="L55" s="105"/>
      <c r="M55" s="105"/>
      <c r="N55" s="105"/>
      <c r="O55" s="105"/>
      <c r="P55" s="105"/>
      <c r="Q55" s="105"/>
      <c r="R55" s="105"/>
      <c r="S55" s="105"/>
      <c r="T55" s="106"/>
      <c r="U55" s="280"/>
      <c r="V55" s="14"/>
    </row>
    <row r="56" spans="4:22" x14ac:dyDescent="0.3">
      <c r="D56" s="103">
        <f t="shared" si="0"/>
        <v>43958</v>
      </c>
      <c r="E56" s="104"/>
      <c r="F56" s="105"/>
      <c r="G56" s="105"/>
      <c r="H56" s="105"/>
      <c r="I56" s="105"/>
      <c r="J56" s="106"/>
      <c r="K56" s="105"/>
      <c r="L56" s="105"/>
      <c r="M56" s="105"/>
      <c r="N56" s="105"/>
      <c r="O56" s="105"/>
      <c r="P56" s="105"/>
      <c r="Q56" s="105"/>
      <c r="R56" s="105"/>
      <c r="S56" s="105"/>
      <c r="T56" s="106"/>
      <c r="U56" s="280"/>
      <c r="V56" s="14"/>
    </row>
    <row r="57" spans="4:22" x14ac:dyDescent="0.3">
      <c r="D57" s="103">
        <f t="shared" si="0"/>
        <v>43959</v>
      </c>
      <c r="E57" s="104"/>
      <c r="F57" s="105"/>
      <c r="G57" s="105"/>
      <c r="H57" s="105"/>
      <c r="I57" s="105"/>
      <c r="J57" s="106"/>
      <c r="K57" s="105"/>
      <c r="L57" s="105"/>
      <c r="M57" s="105"/>
      <c r="N57" s="105"/>
      <c r="O57" s="105"/>
      <c r="P57" s="105"/>
      <c r="Q57" s="105"/>
      <c r="R57" s="105"/>
      <c r="S57" s="105"/>
      <c r="T57" s="106"/>
      <c r="U57" s="280"/>
      <c r="V57" s="14"/>
    </row>
    <row r="58" spans="4:22" x14ac:dyDescent="0.3">
      <c r="D58" s="103">
        <f t="shared" si="0"/>
        <v>43960</v>
      </c>
      <c r="E58" s="104"/>
      <c r="F58" s="105"/>
      <c r="G58" s="105"/>
      <c r="H58" s="105"/>
      <c r="I58" s="105"/>
      <c r="J58" s="106"/>
      <c r="K58" s="105"/>
      <c r="L58" s="105"/>
      <c r="M58" s="105"/>
      <c r="N58" s="105"/>
      <c r="O58" s="105"/>
      <c r="P58" s="105"/>
      <c r="Q58" s="105"/>
      <c r="R58" s="105"/>
      <c r="S58" s="105"/>
      <c r="T58" s="106"/>
      <c r="U58" s="280"/>
      <c r="V58" s="14"/>
    </row>
    <row r="59" spans="4:22" x14ac:dyDescent="0.3">
      <c r="D59" s="103">
        <f t="shared" si="0"/>
        <v>43961</v>
      </c>
      <c r="E59" s="104"/>
      <c r="F59" s="105"/>
      <c r="G59" s="105"/>
      <c r="H59" s="105"/>
      <c r="I59" s="105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6"/>
      <c r="U59" s="280"/>
      <c r="V59" s="14"/>
    </row>
    <row r="60" spans="4:22" ht="15" thickBot="1" x14ac:dyDescent="0.35">
      <c r="D60" s="330">
        <f t="shared" si="0"/>
        <v>43962</v>
      </c>
      <c r="E60" s="107"/>
      <c r="F60" s="108"/>
      <c r="G60" s="108"/>
      <c r="H60" s="108"/>
      <c r="I60" s="108"/>
      <c r="J60" s="109"/>
      <c r="K60" s="108"/>
      <c r="L60" s="108"/>
      <c r="M60" s="108"/>
      <c r="N60" s="108"/>
      <c r="O60" s="108"/>
      <c r="P60" s="108"/>
      <c r="Q60" s="108"/>
      <c r="R60" s="108"/>
      <c r="S60" s="108"/>
      <c r="T60" s="109"/>
      <c r="U60" s="281"/>
      <c r="V60" s="14"/>
    </row>
    <row r="61" spans="4:22" x14ac:dyDescent="0.3">
      <c r="D61" s="111"/>
      <c r="F61" s="7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4"/>
      <c r="U61" s="14"/>
      <c r="V61" s="14"/>
    </row>
    <row r="62" spans="4:22" x14ac:dyDescent="0.3">
      <c r="D62" s="1"/>
      <c r="F62" s="77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32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2020-05-08T01:08:45Z</dcterms:modified>
</cp:coreProperties>
</file>