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DA290735-188C-442B-9063-09DA611B4D4D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1" i="2" l="1"/>
  <c r="W15" i="3" l="1"/>
  <c r="K49" i="3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S68" i="2"/>
  <c r="R68" i="2"/>
  <c r="L68" i="2"/>
  <c r="J68" i="2"/>
  <c r="I68" i="2"/>
  <c r="H68" i="2"/>
  <c r="G68" i="2"/>
  <c r="S67" i="2"/>
  <c r="R67" i="2"/>
  <c r="L67" i="2"/>
  <c r="K67" i="2"/>
  <c r="J67" i="2"/>
  <c r="I67" i="2"/>
  <c r="H67" i="2"/>
  <c r="G67" i="2"/>
  <c r="E68" i="2"/>
  <c r="K61" i="2"/>
  <c r="M61" i="2" s="1"/>
  <c r="AS66" i="1"/>
  <c r="AG66" i="1"/>
  <c r="AC66" i="1"/>
  <c r="X66" i="1"/>
  <c r="M66" i="1"/>
  <c r="I66" i="1"/>
  <c r="AS65" i="1"/>
  <c r="AR65" i="1"/>
  <c r="AR66" i="1" s="1"/>
  <c r="AM65" i="1"/>
  <c r="AM66" i="1" s="1"/>
  <c r="AG65" i="1"/>
  <c r="AF65" i="1"/>
  <c r="AF66" i="1" s="1"/>
  <c r="AE65" i="1"/>
  <c r="AE66" i="1" s="1"/>
  <c r="AD65" i="1"/>
  <c r="AD66" i="1" s="1"/>
  <c r="AC65" i="1"/>
  <c r="Z65" i="1"/>
  <c r="Z66" i="1" s="1"/>
  <c r="X65" i="1"/>
  <c r="V65" i="1"/>
  <c r="V66" i="1" s="1"/>
  <c r="T65" i="1"/>
  <c r="T66" i="1" s="1"/>
  <c r="S65" i="1"/>
  <c r="S66" i="1" s="1"/>
  <c r="R65" i="1"/>
  <c r="R66" i="1" s="1"/>
  <c r="Q65" i="1"/>
  <c r="Q66" i="1" s="1"/>
  <c r="O65" i="1"/>
  <c r="O66" i="1" s="1"/>
  <c r="M65" i="1"/>
  <c r="L65" i="1"/>
  <c r="L66" i="1" s="1"/>
  <c r="K65" i="1"/>
  <c r="K66" i="1" s="1"/>
  <c r="I65" i="1"/>
  <c r="D65" i="1"/>
  <c r="D66" i="1"/>
  <c r="P63" i="3"/>
  <c r="I20" i="3"/>
  <c r="Q61" i="2" l="1"/>
  <c r="K68" i="2"/>
  <c r="U61" i="2"/>
  <c r="BA60" i="1"/>
  <c r="AU60" i="1"/>
  <c r="BC60" i="1" s="1"/>
  <c r="BE60" i="1" s="1"/>
  <c r="AQ60" i="1"/>
  <c r="AQ65" i="1" s="1"/>
  <c r="AQ66" i="1" s="1"/>
  <c r="AO60" i="1"/>
  <c r="AN60" i="1"/>
  <c r="AN65" i="1" s="1"/>
  <c r="AN66" i="1" s="1"/>
  <c r="AB60" i="1"/>
  <c r="U60" i="1"/>
  <c r="J60" i="1"/>
  <c r="J65" i="1" s="1"/>
  <c r="J66" i="1" s="1"/>
  <c r="H60" i="1"/>
  <c r="H65" i="1" s="1"/>
  <c r="H66" i="1" s="1"/>
  <c r="I57" i="3"/>
  <c r="I54" i="3"/>
  <c r="P62" i="3" s="1"/>
  <c r="L54" i="3" l="1"/>
  <c r="L57" i="3"/>
  <c r="AH60" i="1"/>
  <c r="AB65" i="1"/>
  <c r="AB66" i="1" s="1"/>
  <c r="Y60" i="1"/>
  <c r="Y65" i="1" s="1"/>
  <c r="Y66" i="1" s="1"/>
  <c r="U65" i="1"/>
  <c r="U66" i="1" s="1"/>
  <c r="W60" i="1"/>
  <c r="AW60" i="1"/>
  <c r="AL60" i="1"/>
  <c r="N60" i="1"/>
  <c r="N65" i="1" s="1"/>
  <c r="N66" i="1" s="1"/>
  <c r="S60" i="2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AO59" i="1"/>
  <c r="T67" i="2"/>
  <c r="E67" i="2"/>
  <c r="S59" i="2"/>
  <c r="K60" i="2"/>
  <c r="W60" i="2"/>
  <c r="W61" i="2" s="1"/>
  <c r="W62" i="2" s="1"/>
  <c r="W63" i="2" s="1"/>
  <c r="W64" i="2" s="1"/>
  <c r="W65" i="2" s="1"/>
  <c r="C60" i="2"/>
  <c r="C61" i="2" s="1"/>
  <c r="C62" i="2" s="1"/>
  <c r="C63" i="2" s="1"/>
  <c r="C64" i="2" s="1"/>
  <c r="C65" i="2" s="1"/>
  <c r="AU59" i="1"/>
  <c r="AQ59" i="1"/>
  <c r="AB59" i="1"/>
  <c r="AH59" i="1" s="1"/>
  <c r="W14" i="3"/>
  <c r="U60" i="2" l="1"/>
  <c r="M60" i="2"/>
  <c r="AW59" i="1"/>
  <c r="D55" i="7"/>
  <c r="D56" i="7" s="1"/>
  <c r="D57" i="7" s="1"/>
  <c r="D58" i="7" s="1"/>
  <c r="D59" i="7" s="1"/>
  <c r="D60" i="7" s="1"/>
  <c r="K59" i="2"/>
  <c r="M59" i="2" s="1"/>
  <c r="W13" i="3"/>
  <c r="AU58" i="1"/>
  <c r="AQ58" i="1"/>
  <c r="AB58" i="1"/>
  <c r="AH58" i="1" s="1"/>
  <c r="U59" i="2" l="1"/>
  <c r="AW58" i="1"/>
  <c r="S58" i="2"/>
  <c r="Y11" i="3" l="1"/>
  <c r="Y10" i="3"/>
  <c r="Y9" i="3"/>
  <c r="Y8" i="3"/>
  <c r="Y7" i="3"/>
  <c r="K58" i="2" l="1"/>
  <c r="AU57" i="1"/>
  <c r="AQ57" i="1"/>
  <c r="AB57" i="1"/>
  <c r="AH57" i="1" s="1"/>
  <c r="M58" i="2" l="1"/>
  <c r="U58" i="2"/>
  <c r="AW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AU56" i="1"/>
  <c r="AQ56" i="1"/>
  <c r="AB56" i="1"/>
  <c r="AH56" i="1" s="1"/>
  <c r="I58" i="3" l="1"/>
  <c r="L65" i="3" s="1"/>
  <c r="L56" i="3"/>
  <c r="N49" i="3"/>
  <c r="I50" i="3"/>
  <c r="U57" i="2"/>
  <c r="AW56" i="1"/>
  <c r="S56" i="2"/>
  <c r="L53" i="7"/>
  <c r="K56" i="2"/>
  <c r="M56" i="2" s="1"/>
  <c r="AU55" i="1"/>
  <c r="AQ55" i="1"/>
  <c r="AB55" i="1"/>
  <c r="AH55" i="1" s="1"/>
  <c r="C78" i="2"/>
  <c r="C76" i="2"/>
  <c r="L64" i="3" l="1"/>
  <c r="L58" i="3"/>
  <c r="N50" i="3"/>
  <c r="U56" i="2"/>
  <c r="AW55" i="1"/>
  <c r="Q48" i="1"/>
  <c r="S55" i="2"/>
  <c r="L52" i="7"/>
  <c r="K55" i="2"/>
  <c r="U55" i="2" s="1"/>
  <c r="AU54" i="1"/>
  <c r="AQ54" i="1"/>
  <c r="AB54" i="1"/>
  <c r="AH54" i="1" s="1"/>
  <c r="M55" i="2" l="1"/>
  <c r="AW54" i="1"/>
  <c r="S54" i="2"/>
  <c r="L51" i="7" l="1"/>
  <c r="K54" i="2"/>
  <c r="M54" i="2" s="1"/>
  <c r="AU53" i="1"/>
  <c r="AQ53" i="1"/>
  <c r="AB53" i="1"/>
  <c r="AH53" i="1" s="1"/>
  <c r="F73" i="7"/>
  <c r="F71" i="7"/>
  <c r="S53" i="2"/>
  <c r="L50" i="7"/>
  <c r="U54" i="2" l="1"/>
  <c r="AW53" i="1"/>
  <c r="K53" i="2"/>
  <c r="M53" i="2" s="1"/>
  <c r="AU52" i="1"/>
  <c r="AQ52" i="1"/>
  <c r="AB52" i="1"/>
  <c r="AH52" i="1" s="1"/>
  <c r="U53" i="2" l="1"/>
  <c r="AW52" i="1"/>
  <c r="G46" i="2"/>
  <c r="AO79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65" i="1"/>
  <c r="F65" i="1"/>
  <c r="E65" i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67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BJ13" i="1" l="1"/>
  <c r="AN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AU51" i="1"/>
  <c r="AQ51" i="1"/>
  <c r="AB51" i="1"/>
  <c r="AH51" i="1" s="1"/>
  <c r="BJ14" i="1" l="1"/>
  <c r="AN13" i="1"/>
  <c r="AH29" i="2"/>
  <c r="AJ29" i="2" s="1"/>
  <c r="AH28" i="2"/>
  <c r="AJ28" i="2" s="1"/>
  <c r="AH27" i="2"/>
  <c r="AW51" i="1"/>
  <c r="AU50" i="1"/>
  <c r="AQ50" i="1"/>
  <c r="AB50" i="1"/>
  <c r="AH50" i="1" s="1"/>
  <c r="BJ15" i="1" l="1"/>
  <c r="AN14" i="1"/>
  <c r="AJ27" i="2"/>
  <c r="AH31" i="2"/>
  <c r="AW50" i="1"/>
  <c r="BJ16" i="1" l="1"/>
  <c r="AN15" i="1"/>
  <c r="AJ31" i="2"/>
  <c r="AH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19" i="1"/>
  <c r="B122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AN39" i="1"/>
  <c r="AU28" i="1"/>
  <c r="AQ28" i="1"/>
  <c r="AB28" i="1"/>
  <c r="AH28" i="1" s="1"/>
  <c r="BJ41" i="1" l="1"/>
  <c r="AN40" i="1"/>
  <c r="AU27" i="1"/>
  <c r="AB27" i="1"/>
  <c r="AH27" i="1" s="1"/>
  <c r="Q25" i="1"/>
  <c r="AU26" i="1"/>
  <c r="AB26" i="1"/>
  <c r="AH26" i="1" s="1"/>
  <c r="BJ42" i="1" l="1"/>
  <c r="AN41" i="1"/>
  <c r="Q24" i="1"/>
  <c r="Q23" i="1"/>
  <c r="Q22" i="1"/>
  <c r="Q21" i="1"/>
  <c r="Q20" i="1"/>
  <c r="Q17" i="1"/>
  <c r="Q13" i="1"/>
  <c r="Q12" i="1"/>
  <c r="Q10" i="1"/>
  <c r="BJ43" i="1" l="1"/>
  <c r="AN42" i="1"/>
  <c r="AU24" i="1"/>
  <c r="AS24" i="1"/>
  <c r="BJ44" i="1" l="1"/>
  <c r="AN43" i="1"/>
  <c r="BC24" i="1"/>
  <c r="AB25" i="1"/>
  <c r="AH25" i="1" s="1"/>
  <c r="AU25" i="1"/>
  <c r="AS25" i="1"/>
  <c r="AS26" i="1" s="1"/>
  <c r="AQ27" i="1" s="1"/>
  <c r="BJ45" i="1" l="1"/>
  <c r="AN44" i="1"/>
  <c r="BC25" i="1"/>
  <c r="BE24" i="1"/>
  <c r="AB24" i="1"/>
  <c r="AH24" i="1" s="1"/>
  <c r="D23" i="1"/>
  <c r="AB23" i="1"/>
  <c r="AH23" i="1" s="1"/>
  <c r="BJ46" i="1" l="1"/>
  <c r="AN45" i="1"/>
  <c r="BE25" i="1"/>
  <c r="BC26" i="1"/>
  <c r="BJ47" i="1" l="1"/>
  <c r="AN46" i="1"/>
  <c r="BE26" i="1"/>
  <c r="BC27" i="1"/>
  <c r="AB22" i="1"/>
  <c r="AH22" i="1" s="1"/>
  <c r="BJ48" i="1" l="1"/>
  <c r="AN47" i="1"/>
  <c r="BE27" i="1"/>
  <c r="BC28" i="1"/>
  <c r="BJ49" i="1" l="1"/>
  <c r="AN48" i="1"/>
  <c r="BE28" i="1"/>
  <c r="BC29" i="1"/>
  <c r="AB21" i="1"/>
  <c r="AH21" i="1" s="1"/>
  <c r="BJ50" i="1" l="1"/>
  <c r="AN49" i="1"/>
  <c r="BE29" i="1"/>
  <c r="BC30" i="1"/>
  <c r="AB20" i="1"/>
  <c r="AH20" i="1" s="1"/>
  <c r="AB19" i="1"/>
  <c r="AH19" i="1" s="1"/>
  <c r="AB18" i="1"/>
  <c r="AH18" i="1" s="1"/>
  <c r="BJ51" i="1" l="1"/>
  <c r="AN50" i="1"/>
  <c r="BE30" i="1"/>
  <c r="BC31" i="1"/>
  <c r="AB17" i="1"/>
  <c r="BJ52" i="1" l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AN52" i="1"/>
  <c r="BE32" i="1"/>
  <c r="BC33" i="1"/>
  <c r="H10" i="1"/>
  <c r="J10" i="1"/>
  <c r="U11" i="1"/>
  <c r="Y11" i="1" s="1"/>
  <c r="BJ54" i="1" l="1"/>
  <c r="AN53" i="1"/>
  <c r="J11" i="1"/>
  <c r="N10" i="1"/>
  <c r="BE33" i="1"/>
  <c r="BC34" i="1"/>
  <c r="H11" i="1"/>
  <c r="W10" i="1"/>
  <c r="U12" i="1"/>
  <c r="Y12" i="1" s="1"/>
  <c r="BJ55" i="1" l="1"/>
  <c r="AN54" i="1"/>
  <c r="W11" i="1"/>
  <c r="N11" i="1"/>
  <c r="J12" i="1"/>
  <c r="H12" i="1"/>
  <c r="W12" i="1" s="1"/>
  <c r="BE34" i="1"/>
  <c r="BC35" i="1"/>
  <c r="U13" i="1"/>
  <c r="Y13" i="1" s="1"/>
  <c r="BJ56" i="1" l="1"/>
  <c r="AN55" i="1"/>
  <c r="AL12" i="1"/>
  <c r="N12" i="1"/>
  <c r="J13" i="1"/>
  <c r="H13" i="1"/>
  <c r="BE35" i="1"/>
  <c r="BC36" i="1"/>
  <c r="U14" i="1"/>
  <c r="Y14" i="1" s="1"/>
  <c r="BJ57" i="1" l="1"/>
  <c r="AN56" i="1"/>
  <c r="AL13" i="1"/>
  <c r="N13" i="1"/>
  <c r="J14" i="1"/>
  <c r="H14" i="1"/>
  <c r="W13" i="1"/>
  <c r="BE36" i="1"/>
  <c r="BC37" i="1"/>
  <c r="U15" i="1"/>
  <c r="Y15" i="1" s="1"/>
  <c r="BJ58" i="1" l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H16" i="1"/>
  <c r="H17" i="1" s="1"/>
  <c r="N17" i="1" s="1"/>
  <c r="W15" i="1"/>
  <c r="BE38" i="1"/>
  <c r="BC39" i="1"/>
  <c r="U17" i="1"/>
  <c r="Y17" i="1" s="1"/>
  <c r="BJ60" i="1" l="1"/>
  <c r="BJ61" i="1" s="1"/>
  <c r="BJ62" i="1" s="1"/>
  <c r="BJ63" i="1" s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F15" i="7" l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P14" i="7"/>
  <c r="BE40" i="1"/>
  <c r="BC41" i="1"/>
  <c r="U19" i="1"/>
  <c r="Y19" i="1" s="1"/>
  <c r="W18" i="1"/>
  <c r="AL18" i="1"/>
  <c r="J19" i="1"/>
  <c r="H19" i="1"/>
  <c r="N19" i="1" s="1"/>
  <c r="U20" i="1" l="1"/>
  <c r="BE41" i="1"/>
  <c r="BC42" i="1"/>
  <c r="H20" i="1"/>
  <c r="N20" i="1" s="1"/>
  <c r="J20" i="1"/>
  <c r="AL19" i="1"/>
  <c r="W19" i="1"/>
  <c r="U21" i="1" l="1"/>
  <c r="Y21" i="1" s="1"/>
  <c r="Y20" i="1"/>
  <c r="BE42" i="1"/>
  <c r="BC43" i="1"/>
  <c r="W20" i="1"/>
  <c r="U22" i="1"/>
  <c r="Y22" i="1" s="1"/>
  <c r="AL20" i="1"/>
  <c r="J21" i="1"/>
  <c r="H21" i="1"/>
  <c r="N21" i="1" s="1"/>
  <c r="W21" i="1" l="1"/>
  <c r="BE43" i="1"/>
  <c r="BC44" i="1"/>
  <c r="U23" i="1"/>
  <c r="Y23" i="1" s="1"/>
  <c r="J22" i="1"/>
  <c r="H22" i="1"/>
  <c r="N22" i="1" s="1"/>
  <c r="AL21" i="1"/>
  <c r="W22" i="1" l="1"/>
  <c r="U24" i="1"/>
  <c r="BE44" i="1"/>
  <c r="BC45" i="1"/>
  <c r="AL22" i="1"/>
  <c r="J23" i="1"/>
  <c r="H23" i="1"/>
  <c r="N23" i="1" s="1"/>
  <c r="U25" i="1" l="1"/>
  <c r="Y25" i="1" s="1"/>
  <c r="Y24" i="1"/>
  <c r="H24" i="1"/>
  <c r="N24" i="1" s="1"/>
  <c r="BE45" i="1"/>
  <c r="BC46" i="1"/>
  <c r="J24" i="1"/>
  <c r="W23" i="1"/>
  <c r="AL23" i="1"/>
  <c r="U26" i="1" l="1"/>
  <c r="U27" i="1"/>
  <c r="Y27" i="1" s="1"/>
  <c r="Y26" i="1"/>
  <c r="U28" i="1"/>
  <c r="Y28" i="1" s="1"/>
  <c r="BE46" i="1"/>
  <c r="BC47" i="1"/>
  <c r="AL24" i="1"/>
  <c r="J25" i="1"/>
  <c r="H25" i="1"/>
  <c r="N25" i="1" s="1"/>
  <c r="W24" i="1"/>
  <c r="U29" i="1" l="1"/>
  <c r="Y29" i="1" s="1"/>
  <c r="BE47" i="1"/>
  <c r="BC48" i="1"/>
  <c r="H26" i="1"/>
  <c r="N26" i="1" s="1"/>
  <c r="J26" i="1"/>
  <c r="AL25" i="1"/>
  <c r="W25" i="1"/>
  <c r="U30" i="1" l="1"/>
  <c r="Y30" i="1" s="1"/>
  <c r="BE48" i="1"/>
  <c r="BC49" i="1"/>
  <c r="H27" i="1"/>
  <c r="N27" i="1" s="1"/>
  <c r="J27" i="1"/>
  <c r="AL26" i="1"/>
  <c r="W26" i="1"/>
  <c r="U31" i="1" l="1"/>
  <c r="Y31" i="1" s="1"/>
  <c r="BE49" i="1"/>
  <c r="BC50" i="1"/>
  <c r="J28" i="1"/>
  <c r="H28" i="1"/>
  <c r="N28" i="1" s="1"/>
  <c r="AL27" i="1"/>
  <c r="W27" i="1"/>
  <c r="BE50" i="1" l="1"/>
  <c r="BC51" i="1"/>
  <c r="U32" i="1"/>
  <c r="Y32" i="1" s="1"/>
  <c r="H29" i="1"/>
  <c r="N29" i="1" s="1"/>
  <c r="J29" i="1"/>
  <c r="AL28" i="1"/>
  <c r="W28" i="1"/>
  <c r="BE51" i="1" l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BE59" i="1" s="1"/>
  <c r="U40" i="1"/>
  <c r="Y40" i="1" s="1"/>
  <c r="J38" i="1"/>
  <c r="H38" i="1"/>
  <c r="N38" i="1" s="1"/>
  <c r="AL37" i="1"/>
  <c r="W37" i="1"/>
  <c r="U41" i="1" l="1"/>
  <c r="Y41" i="1" s="1"/>
  <c r="AL38" i="1"/>
  <c r="J39" i="1"/>
  <c r="H39" i="1"/>
  <c r="N39" i="1" s="1"/>
  <c r="W38" i="1"/>
  <c r="H40" i="1" l="1"/>
  <c r="N40" i="1" s="1"/>
  <c r="U42" i="1"/>
  <c r="Y42" i="1" s="1"/>
  <c r="J40" i="1"/>
  <c r="AL39" i="1"/>
  <c r="W39" i="1"/>
  <c r="U43" i="1" l="1"/>
  <c r="Y43" i="1" s="1"/>
  <c r="J41" i="1"/>
  <c r="H41" i="1"/>
  <c r="N41" i="1" s="1"/>
  <c r="AL40" i="1"/>
  <c r="W40" i="1"/>
  <c r="U44" i="1" l="1"/>
  <c r="Y44" i="1" s="1"/>
  <c r="J42" i="1"/>
  <c r="H42" i="1"/>
  <c r="N42" i="1" s="1"/>
  <c r="AL41" i="1"/>
  <c r="W41" i="1"/>
  <c r="U45" i="1" l="1"/>
  <c r="Y45" i="1" s="1"/>
  <c r="J43" i="1"/>
  <c r="H43" i="1"/>
  <c r="N43" i="1" s="1"/>
  <c r="AL42" i="1"/>
  <c r="W42" i="1"/>
  <c r="U46" i="1" l="1"/>
  <c r="Y46" i="1" s="1"/>
  <c r="J44" i="1"/>
  <c r="H44" i="1"/>
  <c r="AL43" i="1"/>
  <c r="W43" i="1"/>
  <c r="N44" i="1" l="1"/>
  <c r="U47" i="1"/>
  <c r="Y47" i="1" s="1"/>
  <c r="AL44" i="1"/>
  <c r="J45" i="1"/>
  <c r="W44" i="1"/>
  <c r="H45" i="1"/>
  <c r="N45" i="1" s="1"/>
  <c r="H46" i="1" l="1"/>
  <c r="U48" i="1"/>
  <c r="Y48" i="1" s="1"/>
  <c r="J46" i="1"/>
  <c r="AL45" i="1"/>
  <c r="W45" i="1"/>
  <c r="J47" i="1" l="1"/>
  <c r="N46" i="1"/>
  <c r="H47" i="1"/>
  <c r="U49" i="1"/>
  <c r="Y49" i="1" s="1"/>
  <c r="AL46" i="1"/>
  <c r="W46" i="1"/>
  <c r="AL47" i="1" l="1"/>
  <c r="N47" i="1"/>
  <c r="W47" i="1"/>
  <c r="H48" i="1"/>
  <c r="J48" i="1"/>
  <c r="U50" i="1"/>
  <c r="Y50" i="1" s="1"/>
  <c r="AL48" i="1"/>
  <c r="W48" i="1"/>
  <c r="J49" i="1" l="1"/>
  <c r="N48" i="1"/>
  <c r="H49" i="1"/>
  <c r="N49" i="1" s="1"/>
  <c r="U51" i="1"/>
  <c r="J50" i="1"/>
  <c r="H50" i="1"/>
  <c r="N50" i="1" s="1"/>
  <c r="AL49" i="1"/>
  <c r="W49" i="1"/>
  <c r="U52" i="1" l="1"/>
  <c r="Y51" i="1"/>
  <c r="J51" i="1"/>
  <c r="H51" i="1"/>
  <c r="N51" i="1" s="1"/>
  <c r="AL50" i="1"/>
  <c r="W50" i="1"/>
  <c r="U53" i="1" l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N54" i="1" s="1"/>
  <c r="J54" i="1"/>
  <c r="W53" i="1"/>
  <c r="Y55" i="1" l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AL57" i="1"/>
  <c r="N57" i="1"/>
  <c r="J58" i="1"/>
  <c r="H58" i="1"/>
  <c r="W58" i="1" s="1"/>
  <c r="Y59" i="1" l="1"/>
  <c r="AL58" i="1"/>
  <c r="J59" i="1"/>
  <c r="T14" i="7" s="1"/>
  <c r="H59" i="1"/>
  <c r="N58" i="1"/>
  <c r="AL59" i="1" l="1"/>
  <c r="N59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P15" i="7"/>
  <c r="W59" i="1"/>
  <c r="AJ21" i="2"/>
  <c r="I21" i="3"/>
  <c r="Y12" i="3"/>
  <c r="Y13" i="3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I23" i="3"/>
  <c r="I25" i="3" s="1"/>
  <c r="I27" i="3" s="1"/>
  <c r="I35" i="3"/>
  <c r="AF21" i="2"/>
  <c r="I32" i="3"/>
  <c r="L35" i="3" l="1"/>
  <c r="L32" i="3"/>
  <c r="I34" i="3"/>
  <c r="L34" i="3" s="1"/>
  <c r="N27" i="3"/>
  <c r="N28" i="3" s="1"/>
  <c r="I28" i="3"/>
  <c r="I36" i="3" l="1"/>
  <c r="U15" i="3" s="1"/>
  <c r="Y15" i="3" s="1"/>
  <c r="Y14" i="3" l="1"/>
  <c r="L36" i="3"/>
  <c r="W12" i="3" s="1"/>
</calcChain>
</file>

<file path=xl/sharedStrings.xml><?xml version="1.0" encoding="utf-8"?>
<sst xmlns="http://schemas.openxmlformats.org/spreadsheetml/2006/main" count="205" uniqueCount="124">
  <si>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</si>
  <si>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</si>
  <si>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</si>
  <si>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</si>
  <si>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</si>
  <si>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</si>
  <si>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</si>
  <si>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</si>
  <si>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</si>
  <si>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</si>
  <si>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</si>
  <si>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</si>
  <si>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</si>
  <si>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</si>
  <si>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</si>
  <si>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</si>
  <si>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</si>
  <si>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</si>
  <si>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</si>
  <si>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</si>
  <si>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</si>
  <si>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</si>
  <si>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</si>
  <si>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</si>
  <si>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</si>
  <si>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</si>
  <si>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</si>
  <si>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</si>
  <si>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</si>
  <si>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</si>
  <si>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</si>
  <si>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</si>
  <si>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</si>
  <si>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</si>
  <si>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</si>
  <si>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</si>
  <si>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</si>
  <si>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</si>
  <si>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</si>
  <si>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</si>
  <si>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</si>
  <si>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</si>
  <si>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</si>
  <si>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</si>
  <si>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</si>
  <si>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</si>
  <si>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</si>
  <si>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</si>
  <si>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</si>
  <si>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</si>
  <si>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</si>
  <si>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</si>
  <si>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</si>
  <si>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</si>
  <si>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</si>
  <si>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</si>
  <si>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</si>
  <si>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</si>
  <si>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</si>
  <si>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</si>
  <si>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</si>
  <si>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</si>
  <si>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</si>
  <si>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</si>
  <si>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</si>
  <si>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</si>
  <si>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</si>
  <si>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</si>
  <si>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</si>
  <si>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</si>
  <si>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</si>
  <si>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</si>
  <si>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</si>
  <si>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</si>
  <si>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</si>
  <si>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</si>
  <si>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</si>
  <si>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</si>
  <si>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</si>
  <si>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</si>
  <si>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</si>
  <si>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</si>
  <si>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</si>
  <si>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</si>
  <si>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</si>
  <si>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</si>
  <si>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</si>
  <si>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</si>
  <si>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</si>
  <si>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</si>
  <si>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</si>
  <si>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</si>
  <si>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</si>
  <si>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</si>
  <si>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</si>
  <si>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</si>
  <si>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</si>
  <si>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</si>
  <si>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</si>
  <si>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</si>
  <si>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</si>
  <si>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</si>
  <si>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</si>
  <si>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</si>
  <si>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</si>
  <si>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</si>
  <si>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</si>
  <si>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</si>
  <si>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`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</si>
  <si>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</si>
  <si>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</si>
  <si>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</si>
  <si>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</si>
  <si>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</si>
  <si>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</si>
  <si>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</si>
  <si>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</si>
  <si>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</si>
  <si>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</si>
  <si>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</si>
  <si>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>OHIO Theoretical Recoveries (5/9/20)</t>
  </si>
  <si>
    <t>Open Net Cases (5/9/20)</t>
  </si>
  <si>
    <t xml:space="preserve"> New Cases</t>
  </si>
  <si>
    <t>Summary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</si>
</sst>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171" fontId="0" fillId="5" borderId="0" xfId="0" applyNumberFormat="1" applyFill="1"/>
    <xf numFmtId="0" fontId="0" fillId="5" borderId="0" xfId="0" applyFill="1"/>
    <xf numFmtId="164" fontId="0" fillId="5" borderId="0" xfId="1" applyNumberFormat="1" applyFont="1" applyFill="1"/>
    <xf numFmtId="165" fontId="0" fillId="5" borderId="0" xfId="2" applyNumberFormat="1" applyFont="1" applyFill="1"/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4" fontId="0" fillId="20" borderId="0" xfId="1" applyNumberFormat="1" applyFont="1" applyFill="1" applyBorder="1" applyAlignment="1">
      <alignment horizontal="center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/>
    </xf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0" fontId="13" fillId="20" borderId="0" xfId="0" applyFont="1" applyFill="1" applyBorder="1" applyAlignment="1">
      <alignment horizontal="center"/>
    </xf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1" applyNumberFormat="1" applyFont="1" applyFill="1" applyBorder="1" applyAlignment="1">
      <alignment horizontal="center"/>
    </xf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16</xdr:col>
      <xdr:colOff>0</xdr:colOff>
      <xdr:row>76</xdr:row>
      <xdr:rowOff>0</xdr:rowOff>
    </xdr:from>
    <xdr:to>
      <xdr:col>16</xdr:col>
      <xdr:colOff>160020</xdr:colOff>
      <xdr:row>76</xdr:row>
      <xdr:rowOff>167640</xdr:rowOff>
    </xdr:to>
    <xdr:sp macro="" textlink="">
      <xdr:nvSpPr>
        <xdr:cNvPr id="397" name="Minus Sign 396">
          <a:extLst>
            <a:ext uri="{FF2B5EF4-FFF2-40B4-BE49-F238E27FC236}">
              <a16:creationId xmlns:a16="http://schemas.microsoft.com/office/drawing/2014/main" id="{7AF7FACF-56CC-4461-B143-331373309FD2}"/>
            </a:ext>
          </a:extLst>
        </xdr:cNvPr>
        <xdr:cNvSpPr/>
      </xdr:nvSpPr>
      <xdr:spPr>
        <a:xfrm>
          <a:off x="4709160" y="13997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16</xdr:col>
      <xdr:colOff>60960</xdr:colOff>
      <xdr:row>78</xdr:row>
      <xdr:rowOff>76200</xdr:rowOff>
    </xdr:from>
    <xdr:to>
      <xdr:col>16</xdr:col>
      <xdr:colOff>220980</xdr:colOff>
      <xdr:row>78</xdr:row>
      <xdr:rowOff>175260</xdr:rowOff>
    </xdr:to>
    <xdr:sp macro="" textlink="">
      <xdr:nvSpPr>
        <xdr:cNvPr id="2" name="Minus Sign 1">
          <a:extLst>
            <a:ext uri="{FF2B5EF4-FFF2-40B4-BE49-F238E27FC236}">
              <a16:creationId xmlns:a16="http://schemas.microsoft.com/office/drawing/2014/main" id="{851903FB-5498-4094-B7C3-B29BDB2DB3F4}"/>
            </a:ext>
          </a:extLst>
        </xdr:cNvPr>
        <xdr:cNvSpPr/>
      </xdr:nvSpPr>
      <xdr:spPr>
        <a:xfrm>
          <a:off x="4770120" y="1443990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35</xdr:col>
      <xdr:colOff>0</xdr:colOff>
      <xdr:row>59</xdr:row>
      <xdr:rowOff>0</xdr:rowOff>
    </xdr:from>
    <xdr:to>
      <xdr:col>35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59</xdr:row>
      <xdr:rowOff>0</xdr:rowOff>
    </xdr:from>
    <xdr:to>
      <xdr:col>29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59</xdr:row>
      <xdr:rowOff>0</xdr:rowOff>
    </xdr:from>
    <xdr:to>
      <xdr:col>58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50</xdr:col>
      <xdr:colOff>0</xdr:colOff>
      <xdr:row>59</xdr:row>
      <xdr:rowOff>0</xdr:rowOff>
    </xdr:from>
    <xdr:to>
      <xdr:col>50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39"/>
  <sheetViews>
    <sheetView tabSelected="1" zoomScaleNormal="100" workbookViewId="0">
      <selection activeCell="BA67" sqref="BA67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0.109375" customWidth="1"/>
    <col min="46" max="46" width="0.6640625" customWidth="1"/>
    <col min="47" max="47" width="7.55468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383" t="s">
        <v>5</v>
      </c>
      <c r="C1" s="383"/>
      <c r="D1" s="383"/>
    </row>
    <row r="2" spans="2:77" ht="15.6" x14ac:dyDescent="0.3">
      <c r="B2" s="383" t="s">
        <v>6</v>
      </c>
      <c r="C2" s="383"/>
      <c r="D2" s="383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388" t="s">
        <v>14</v>
      </c>
      <c r="C3" s="388"/>
      <c r="D3" s="176"/>
      <c r="E3" s="176"/>
      <c r="F3" s="176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384" t="s">
        <v>11</v>
      </c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11"/>
      <c r="Y4" s="342"/>
      <c r="Z4" s="12"/>
      <c r="AB4" s="392" t="s">
        <v>15</v>
      </c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393"/>
      <c r="AX4" s="393"/>
      <c r="AY4" s="393"/>
      <c r="AZ4" s="393"/>
      <c r="BA4" s="393"/>
      <c r="BB4" s="393"/>
      <c r="BC4" s="393"/>
      <c r="BD4" s="393"/>
      <c r="BE4" s="393"/>
      <c r="BF4" s="393"/>
      <c r="BG4" s="393"/>
      <c r="BH4" s="394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351" t="s">
        <v>7</v>
      </c>
      <c r="E6" s="352"/>
      <c r="F6" s="389" t="s">
        <v>12</v>
      </c>
      <c r="G6" s="389"/>
      <c r="H6" s="389"/>
      <c r="I6" s="389"/>
      <c r="J6" s="389"/>
      <c r="K6" s="389"/>
      <c r="L6" s="389"/>
      <c r="M6" s="353"/>
      <c r="N6" s="353"/>
      <c r="O6" s="354"/>
      <c r="P6" s="3"/>
      <c r="Q6" s="8" t="s">
        <v>7</v>
      </c>
      <c r="R6" s="30"/>
      <c r="S6" s="390">
        <v>1.2500000000000001E-2</v>
      </c>
      <c r="T6" s="390"/>
      <c r="U6" s="390"/>
      <c r="V6" s="390"/>
      <c r="W6" s="390"/>
      <c r="X6" s="390"/>
      <c r="Y6" s="390"/>
      <c r="Z6" s="391"/>
      <c r="AA6" s="3"/>
      <c r="AB6" s="376" t="s">
        <v>28</v>
      </c>
      <c r="AC6" s="377"/>
      <c r="AD6" s="377"/>
      <c r="AE6" s="377"/>
      <c r="AF6" s="377"/>
      <c r="AG6" s="377"/>
      <c r="AH6" s="377"/>
      <c r="AI6" s="377"/>
      <c r="AJ6" s="377"/>
      <c r="AK6" s="377"/>
      <c r="AL6" s="377"/>
      <c r="AM6" s="377"/>
      <c r="AN6" s="377"/>
      <c r="AO6" s="378"/>
      <c r="AP6" s="3"/>
      <c r="AQ6" s="379" t="s">
        <v>7</v>
      </c>
      <c r="AR6" s="380"/>
      <c r="AS6" s="380"/>
      <c r="AT6" s="103"/>
      <c r="AU6" s="395" t="s">
        <v>27</v>
      </c>
      <c r="AV6" s="395"/>
      <c r="AW6" s="395"/>
      <c r="AX6" s="395"/>
      <c r="AY6" s="395"/>
      <c r="AZ6" s="395"/>
      <c r="BA6" s="395"/>
      <c r="BB6" s="395"/>
      <c r="BC6" s="395"/>
      <c r="BD6" s="395"/>
      <c r="BE6" s="380"/>
      <c r="BF6" s="380"/>
      <c r="BG6" s="380"/>
      <c r="BH6" s="396"/>
      <c r="BI6" s="3"/>
    </row>
    <row r="7" spans="2:77" ht="16.2" x14ac:dyDescent="0.3">
      <c r="D7" s="386" t="s">
        <v>21</v>
      </c>
      <c r="E7" s="387"/>
      <c r="F7" s="387"/>
      <c r="G7" s="387"/>
      <c r="H7" s="387"/>
      <c r="I7" s="387"/>
      <c r="J7" s="387"/>
      <c r="K7" s="345"/>
      <c r="L7" s="345"/>
      <c r="M7" s="345"/>
      <c r="N7" s="345"/>
      <c r="O7" s="355"/>
      <c r="P7" s="3"/>
      <c r="Q7" s="373" t="s">
        <v>36</v>
      </c>
      <c r="R7" s="374"/>
      <c r="S7" s="374"/>
      <c r="T7" s="374"/>
      <c r="U7" s="374"/>
      <c r="V7" s="374"/>
      <c r="W7" s="374"/>
      <c r="X7" s="374"/>
      <c r="Y7" s="374"/>
      <c r="Z7" s="375"/>
      <c r="AA7" s="3"/>
      <c r="AB7" s="397" t="s">
        <v>79</v>
      </c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9"/>
      <c r="AQ7" s="397" t="s">
        <v>26</v>
      </c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398"/>
      <c r="BE7" s="398"/>
      <c r="BF7" s="398"/>
      <c r="BG7" s="398"/>
      <c r="BH7" s="399"/>
      <c r="BJ7" s="184" t="s">
        <v>19</v>
      </c>
    </row>
    <row r="8" spans="2:77" x14ac:dyDescent="0.3">
      <c r="D8" s="56" t="s">
        <v>1</v>
      </c>
      <c r="E8" s="13"/>
      <c r="F8" s="57" t="s">
        <v>16</v>
      </c>
      <c r="G8" s="13"/>
      <c r="H8" s="77" t="s">
        <v>2</v>
      </c>
      <c r="I8" s="13"/>
      <c r="J8" s="58" t="s">
        <v>3</v>
      </c>
      <c r="K8" s="13"/>
      <c r="L8" s="57" t="s">
        <v>16</v>
      </c>
      <c r="M8" s="346"/>
      <c r="N8" s="349" t="s">
        <v>119</v>
      </c>
      <c r="O8" s="356"/>
      <c r="Q8" s="50" t="s">
        <v>1</v>
      </c>
      <c r="R8" s="31"/>
      <c r="S8" s="49" t="s">
        <v>16</v>
      </c>
      <c r="T8" s="31"/>
      <c r="U8" s="78" t="s">
        <v>2</v>
      </c>
      <c r="V8" s="31"/>
      <c r="W8" s="51" t="s">
        <v>3</v>
      </c>
      <c r="X8" s="31"/>
      <c r="Y8" s="357" t="s">
        <v>119</v>
      </c>
      <c r="Z8" s="52"/>
      <c r="AB8" s="20" t="s">
        <v>1</v>
      </c>
      <c r="AC8" s="343"/>
      <c r="AD8" s="363" t="s">
        <v>16</v>
      </c>
      <c r="AE8" s="343"/>
      <c r="AF8" s="79" t="s">
        <v>2</v>
      </c>
      <c r="AG8" s="343"/>
      <c r="AH8" s="344" t="s">
        <v>3</v>
      </c>
      <c r="AI8" s="343"/>
      <c r="AJ8" s="363" t="s">
        <v>16</v>
      </c>
      <c r="AK8" s="343"/>
      <c r="AL8" s="364" t="s">
        <v>17</v>
      </c>
      <c r="AM8" s="361"/>
      <c r="AN8" s="365" t="s">
        <v>119</v>
      </c>
      <c r="AO8" s="366"/>
      <c r="AQ8" s="381" t="s">
        <v>1</v>
      </c>
      <c r="AR8" s="382"/>
      <c r="AS8" s="382"/>
      <c r="AT8" s="68"/>
      <c r="AU8" s="382" t="s">
        <v>25</v>
      </c>
      <c r="AV8" s="382"/>
      <c r="AW8" s="382"/>
      <c r="AX8" s="382"/>
      <c r="AY8" s="382"/>
      <c r="AZ8" s="382"/>
      <c r="BA8" s="382"/>
      <c r="BB8" s="382"/>
      <c r="BC8" s="382"/>
      <c r="BD8" s="68"/>
      <c r="BE8" s="74"/>
      <c r="BF8" s="341"/>
      <c r="BG8" s="67"/>
      <c r="BH8" s="191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48"/>
      <c r="AM9" s="148"/>
      <c r="AN9" s="22"/>
      <c r="AO9" s="367"/>
      <c r="AQ9" s="340" t="s">
        <v>37</v>
      </c>
      <c r="AR9" s="68"/>
      <c r="AS9" s="104" t="s">
        <v>2</v>
      </c>
      <c r="AT9" s="69"/>
      <c r="AU9" s="341" t="s">
        <v>37</v>
      </c>
      <c r="AV9" s="68"/>
      <c r="AW9" s="67" t="s">
        <v>10</v>
      </c>
      <c r="AX9" s="164"/>
      <c r="AY9" s="67" t="s">
        <v>16</v>
      </c>
      <c r="AZ9" s="68"/>
      <c r="BA9" s="372" t="s">
        <v>119</v>
      </c>
      <c r="BB9" s="68"/>
      <c r="BC9" s="110" t="s">
        <v>2</v>
      </c>
      <c r="BD9" s="371"/>
      <c r="BE9" s="111" t="s">
        <v>23</v>
      </c>
      <c r="BF9" s="68"/>
      <c r="BG9" s="112" t="s">
        <v>16</v>
      </c>
      <c r="BH9" s="192"/>
    </row>
    <row r="10" spans="2:77" x14ac:dyDescent="0.3">
      <c r="B10" s="18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 t="shared" ref="N10:N41" si="2"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3">+U9+Q10</f>
        <v>255</v>
      </c>
      <c r="V10" s="34"/>
      <c r="W10" s="47">
        <f t="shared" ref="W10:W51" si="4">+U10/H10</f>
        <v>1.3119983535706935E-2</v>
      </c>
      <c r="X10" s="241"/>
      <c r="Y10" s="34">
        <f t="shared" ref="Y10:Y41" si="5"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48"/>
      <c r="AM10" s="148"/>
      <c r="AN10" s="22"/>
      <c r="AO10" s="367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3"/>
      <c r="BI10" s="1"/>
      <c r="BJ10">
        <v>1</v>
      </c>
    </row>
    <row r="11" spans="2:77" x14ac:dyDescent="0.3">
      <c r="B11" s="180">
        <f t="shared" ref="B11:B63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 t="shared" si="2"/>
        <v>12130</v>
      </c>
      <c r="O11" s="43"/>
      <c r="P11" s="1"/>
      <c r="Q11" s="35">
        <v>46</v>
      </c>
      <c r="R11" s="34"/>
      <c r="S11" s="34"/>
      <c r="T11" s="34"/>
      <c r="U11" s="34">
        <f t="shared" si="3"/>
        <v>301</v>
      </c>
      <c r="V11" s="34"/>
      <c r="W11" s="47">
        <f t="shared" si="4"/>
        <v>1.2407254740313274E-2</v>
      </c>
      <c r="X11" s="241"/>
      <c r="Y11" s="34">
        <f t="shared" si="5"/>
        <v>150.5</v>
      </c>
      <c r="Z11" s="53"/>
      <c r="AA11" s="1"/>
      <c r="AB11" s="23">
        <f t="shared" ref="AB11:AB51" si="7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48"/>
      <c r="AM11" s="148"/>
      <c r="AN11" s="22"/>
      <c r="AO11" s="367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3"/>
      <c r="BI11" s="1"/>
      <c r="BJ11">
        <f>+BJ10+1</f>
        <v>2</v>
      </c>
    </row>
    <row r="12" spans="2:77" x14ac:dyDescent="0.3">
      <c r="B12" s="18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 t="shared" si="2"/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3"/>
        <v>414</v>
      </c>
      <c r="V12" s="34"/>
      <c r="W12" s="47">
        <f t="shared" si="4"/>
        <v>1.2321795291526534E-2</v>
      </c>
      <c r="X12" s="241"/>
      <c r="Y12" s="34">
        <f t="shared" si="5"/>
        <v>138</v>
      </c>
      <c r="Z12" s="53"/>
      <c r="AA12" s="1"/>
      <c r="AB12" s="23">
        <f t="shared" si="7"/>
        <v>2</v>
      </c>
      <c r="AC12" s="24"/>
      <c r="AD12" s="24"/>
      <c r="AE12" s="24"/>
      <c r="AF12" s="24">
        <v>178</v>
      </c>
      <c r="AG12" s="24"/>
      <c r="AH12" s="25">
        <f t="shared" ref="AH12:AH51" si="8">+AB12/AF11</f>
        <v>1.1363636363636364E-2</v>
      </c>
      <c r="AI12" s="25"/>
      <c r="AJ12" s="25"/>
      <c r="AK12" s="24"/>
      <c r="AL12" s="360">
        <f t="shared" ref="AL12:AL59" si="9">+AF12/H12</f>
        <v>5.2977767195452243E-3</v>
      </c>
      <c r="AM12" s="360"/>
      <c r="AN12" s="24">
        <f t="shared" ref="AN12:AN59" si="10">+AF12/BJ12</f>
        <v>59.333333333333336</v>
      </c>
      <c r="AO12" s="368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3"/>
      <c r="BI12" s="1"/>
      <c r="BJ12">
        <f t="shared" ref="BJ12:BJ63" si="11">+BJ11+1</f>
        <v>3</v>
      </c>
    </row>
    <row r="13" spans="2:77" x14ac:dyDescent="0.3">
      <c r="B13" s="18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 t="shared" si="2"/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3"/>
        <v>555</v>
      </c>
      <c r="V13" s="34"/>
      <c r="W13" s="47">
        <f t="shared" si="4"/>
        <v>1.2680786894235383E-2</v>
      </c>
      <c r="X13" s="241"/>
      <c r="Y13" s="34">
        <f t="shared" si="5"/>
        <v>138.75</v>
      </c>
      <c r="Z13" s="53"/>
      <c r="AA13" s="1"/>
      <c r="AB13" s="23">
        <f t="shared" si="7"/>
        <v>117</v>
      </c>
      <c r="AC13" s="24"/>
      <c r="AD13" s="24"/>
      <c r="AE13" s="24"/>
      <c r="AF13" s="24">
        <v>295</v>
      </c>
      <c r="AG13" s="24"/>
      <c r="AH13" s="25">
        <f t="shared" si="8"/>
        <v>0.65730337078651691</v>
      </c>
      <c r="AI13" s="25"/>
      <c r="AJ13" s="25"/>
      <c r="AK13" s="24"/>
      <c r="AL13" s="360">
        <f t="shared" si="9"/>
        <v>6.740238078917906E-3</v>
      </c>
      <c r="AM13" s="360"/>
      <c r="AN13" s="24">
        <f t="shared" si="10"/>
        <v>73.75</v>
      </c>
      <c r="AO13" s="370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3"/>
      <c r="BI13" s="1"/>
      <c r="BJ13">
        <f t="shared" si="11"/>
        <v>4</v>
      </c>
    </row>
    <row r="14" spans="2:77" x14ac:dyDescent="0.3">
      <c r="B14" s="18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 t="shared" si="2"/>
        <v>10971.2</v>
      </c>
      <c r="O14" s="43"/>
      <c r="P14" s="1"/>
      <c r="Q14" s="35">
        <v>225</v>
      </c>
      <c r="R14" s="34"/>
      <c r="S14" s="34"/>
      <c r="T14" s="34"/>
      <c r="U14" s="34">
        <f t="shared" si="3"/>
        <v>780</v>
      </c>
      <c r="V14" s="34"/>
      <c r="W14" s="47">
        <f t="shared" si="4"/>
        <v>1.4219046230129795E-2</v>
      </c>
      <c r="X14" s="241"/>
      <c r="Y14" s="34">
        <f t="shared" si="5"/>
        <v>156</v>
      </c>
      <c r="Z14" s="53"/>
      <c r="AA14" s="1"/>
      <c r="AB14" s="23">
        <f t="shared" si="7"/>
        <v>83</v>
      </c>
      <c r="AC14" s="24"/>
      <c r="AD14" s="24"/>
      <c r="AE14" s="24"/>
      <c r="AF14" s="24">
        <v>378</v>
      </c>
      <c r="AG14" s="24"/>
      <c r="AH14" s="25">
        <f t="shared" si="8"/>
        <v>0.28135593220338984</v>
      </c>
      <c r="AI14" s="25"/>
      <c r="AJ14" s="25"/>
      <c r="AK14" s="24"/>
      <c r="AL14" s="360">
        <f t="shared" si="9"/>
        <v>6.8907685576782849E-3</v>
      </c>
      <c r="AM14" s="360"/>
      <c r="AN14" s="24">
        <f t="shared" si="10"/>
        <v>75.599999999999994</v>
      </c>
      <c r="AO14" s="370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3"/>
      <c r="BI14" s="1"/>
      <c r="BJ14">
        <f t="shared" si="11"/>
        <v>5</v>
      </c>
      <c r="BY14" s="60"/>
    </row>
    <row r="15" spans="2:77" x14ac:dyDescent="0.3">
      <c r="B15" s="18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 t="shared" si="2"/>
        <v>11368.5</v>
      </c>
      <c r="O15" s="43"/>
      <c r="P15" s="1"/>
      <c r="Q15" s="35">
        <v>247</v>
      </c>
      <c r="R15" s="34"/>
      <c r="S15" s="34"/>
      <c r="T15" s="34"/>
      <c r="U15" s="34">
        <f t="shared" si="3"/>
        <v>1027</v>
      </c>
      <c r="V15" s="34"/>
      <c r="W15" s="47">
        <f t="shared" si="4"/>
        <v>1.5056222603392415E-2</v>
      </c>
      <c r="X15" s="241"/>
      <c r="Y15" s="34">
        <f t="shared" si="5"/>
        <v>171.16666666666666</v>
      </c>
      <c r="Z15" s="53"/>
      <c r="AA15" s="1"/>
      <c r="AB15" s="23">
        <f t="shared" si="7"/>
        <v>16</v>
      </c>
      <c r="AC15" s="24"/>
      <c r="AD15" s="24"/>
      <c r="AE15" s="24"/>
      <c r="AF15" s="24">
        <v>394</v>
      </c>
      <c r="AG15" s="24"/>
      <c r="AH15" s="25">
        <f t="shared" si="8"/>
        <v>4.2328042328042326E-2</v>
      </c>
      <c r="AI15" s="25"/>
      <c r="AJ15" s="25"/>
      <c r="AK15" s="24"/>
      <c r="AL15" s="360">
        <f t="shared" si="9"/>
        <v>5.7761944554397381E-3</v>
      </c>
      <c r="AM15" s="360"/>
      <c r="AN15" s="24">
        <f t="shared" si="10"/>
        <v>65.666666666666671</v>
      </c>
      <c r="AO15" s="370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3"/>
      <c r="BI15" s="1"/>
      <c r="BJ15">
        <f t="shared" si="11"/>
        <v>6</v>
      </c>
      <c r="BY15" s="60"/>
    </row>
    <row r="16" spans="2:77" x14ac:dyDescent="0.3">
      <c r="B16" s="18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 t="shared" si="2"/>
        <v>12205</v>
      </c>
      <c r="O16" s="43"/>
      <c r="P16" s="1"/>
      <c r="Q16" s="35">
        <v>268</v>
      </c>
      <c r="R16" s="34"/>
      <c r="S16" s="34"/>
      <c r="T16" s="34"/>
      <c r="U16" s="34">
        <f t="shared" si="3"/>
        <v>1295</v>
      </c>
      <c r="V16" s="34"/>
      <c r="W16" s="47">
        <f t="shared" si="4"/>
        <v>1.5157722244981565E-2</v>
      </c>
      <c r="X16" s="241"/>
      <c r="Y16" s="34">
        <f t="shared" si="5"/>
        <v>185</v>
      </c>
      <c r="Z16" s="53"/>
      <c r="AA16" s="1"/>
      <c r="AB16" s="23">
        <f t="shared" si="7"/>
        <v>1474</v>
      </c>
      <c r="AC16" s="24"/>
      <c r="AD16" s="24"/>
      <c r="AE16" s="24"/>
      <c r="AF16" s="24">
        <v>1868</v>
      </c>
      <c r="AG16" s="24"/>
      <c r="AH16" s="25">
        <f t="shared" si="8"/>
        <v>3.7411167512690353</v>
      </c>
      <c r="AI16" s="25"/>
      <c r="AJ16" s="25"/>
      <c r="AK16" s="24"/>
      <c r="AL16" s="360">
        <f t="shared" si="9"/>
        <v>2.1864575408205068E-2</v>
      </c>
      <c r="AM16" s="360"/>
      <c r="AN16" s="24">
        <f t="shared" si="10"/>
        <v>266.85714285714283</v>
      </c>
      <c r="AO16" s="370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3"/>
      <c r="BI16" s="1"/>
      <c r="BJ16">
        <f t="shared" si="11"/>
        <v>7</v>
      </c>
      <c r="BY16" s="60"/>
    </row>
    <row r="17" spans="2:77" x14ac:dyDescent="0.3">
      <c r="B17" s="18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 t="shared" si="2"/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3"/>
        <v>1695</v>
      </c>
      <c r="V17" s="34"/>
      <c r="W17" s="47">
        <f t="shared" si="4"/>
        <v>1.6278355069819256E-2</v>
      </c>
      <c r="X17" s="241"/>
      <c r="Y17" s="34">
        <f t="shared" si="5"/>
        <v>211.875</v>
      </c>
      <c r="Z17" s="53"/>
      <c r="AA17" s="1"/>
      <c r="AB17" s="23">
        <f t="shared" si="7"/>
        <v>654</v>
      </c>
      <c r="AC17" s="24"/>
      <c r="AD17" s="24"/>
      <c r="AE17" s="24"/>
      <c r="AF17" s="24">
        <v>2522</v>
      </c>
      <c r="AG17" s="24"/>
      <c r="AH17" s="25">
        <f t="shared" si="8"/>
        <v>0.3501070663811563</v>
      </c>
      <c r="AI17" s="25"/>
      <c r="AJ17" s="25"/>
      <c r="AK17" s="24"/>
      <c r="AL17" s="360">
        <f t="shared" si="9"/>
        <v>2.4220655744002458E-2</v>
      </c>
      <c r="AM17" s="360"/>
      <c r="AN17" s="24">
        <f t="shared" si="10"/>
        <v>315.25</v>
      </c>
      <c r="AO17" s="370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3"/>
      <c r="BI17" s="1"/>
      <c r="BJ17">
        <f t="shared" si="11"/>
        <v>8</v>
      </c>
      <c r="BY17" s="60"/>
    </row>
    <row r="18" spans="2:77" x14ac:dyDescent="0.3">
      <c r="B18" s="1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 t="shared" si="2"/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3"/>
        <v>2220</v>
      </c>
      <c r="V18" s="34"/>
      <c r="W18" s="47">
        <f t="shared" si="4"/>
        <v>1.7964362588810307E-2</v>
      </c>
      <c r="X18" s="241"/>
      <c r="Y18" s="34">
        <f t="shared" si="5"/>
        <v>246.66666666666666</v>
      </c>
      <c r="Z18" s="53"/>
      <c r="AA18" s="1"/>
      <c r="AB18" s="23">
        <f t="shared" si="7"/>
        <v>709</v>
      </c>
      <c r="AC18" s="24"/>
      <c r="AD18" s="24"/>
      <c r="AE18" s="24"/>
      <c r="AF18" s="24">
        <v>3231</v>
      </c>
      <c r="AG18" s="24"/>
      <c r="AH18" s="25">
        <f t="shared" si="8"/>
        <v>0.28112609040444092</v>
      </c>
      <c r="AI18" s="25"/>
      <c r="AJ18" s="25"/>
      <c r="AK18" s="24"/>
      <c r="AL18" s="360">
        <f t="shared" si="9"/>
        <v>2.6145430416417162E-2</v>
      </c>
      <c r="AM18" s="360"/>
      <c r="AN18" s="24">
        <f t="shared" si="10"/>
        <v>359</v>
      </c>
      <c r="AO18" s="370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3"/>
      <c r="BI18" s="1"/>
      <c r="BJ18">
        <f t="shared" si="11"/>
        <v>9</v>
      </c>
      <c r="BY18" s="60"/>
    </row>
    <row r="19" spans="2:77" x14ac:dyDescent="0.3">
      <c r="B19" s="18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 t="shared" si="2"/>
        <v>14349.1</v>
      </c>
      <c r="O19" s="43"/>
      <c r="P19" s="1"/>
      <c r="Q19" s="35">
        <v>363</v>
      </c>
      <c r="R19" s="34"/>
      <c r="S19" s="34"/>
      <c r="T19" s="34"/>
      <c r="U19" s="34">
        <f t="shared" si="3"/>
        <v>2583</v>
      </c>
      <c r="V19" s="34"/>
      <c r="W19" s="47">
        <f t="shared" si="4"/>
        <v>1.8001128990668403E-2</v>
      </c>
      <c r="X19" s="241"/>
      <c r="Y19" s="34">
        <f t="shared" si="5"/>
        <v>258.3</v>
      </c>
      <c r="Z19" s="53"/>
      <c r="AA19" s="1"/>
      <c r="AB19" s="23">
        <f t="shared" si="7"/>
        <v>1328</v>
      </c>
      <c r="AC19" s="24"/>
      <c r="AD19" s="24"/>
      <c r="AE19" s="24"/>
      <c r="AF19" s="24">
        <v>4559</v>
      </c>
      <c r="AG19" s="24"/>
      <c r="AH19" s="25">
        <f t="shared" si="8"/>
        <v>0.41101826060043328</v>
      </c>
      <c r="AI19" s="25"/>
      <c r="AJ19" s="25"/>
      <c r="AK19" s="24"/>
      <c r="AL19" s="360">
        <f t="shared" si="9"/>
        <v>3.1772027513920734E-2</v>
      </c>
      <c r="AM19" s="360"/>
      <c r="AN19" s="24">
        <f t="shared" si="10"/>
        <v>455.9</v>
      </c>
      <c r="AO19" s="370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3"/>
      <c r="BI19" s="1"/>
      <c r="BJ19">
        <f t="shared" si="11"/>
        <v>10</v>
      </c>
      <c r="BY19" s="60"/>
    </row>
    <row r="20" spans="2:77" x14ac:dyDescent="0.3">
      <c r="B20" s="18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 t="shared" si="2"/>
        <v>14894.90909090909</v>
      </c>
      <c r="O20" s="43"/>
      <c r="P20" s="1"/>
      <c r="Q20" s="35">
        <f>573-15</f>
        <v>558</v>
      </c>
      <c r="R20" s="34"/>
      <c r="S20" s="34"/>
      <c r="T20" s="34"/>
      <c r="U20" s="34">
        <f t="shared" si="3"/>
        <v>3141</v>
      </c>
      <c r="V20" s="34"/>
      <c r="W20" s="47">
        <f t="shared" si="4"/>
        <v>1.9170674544078514E-2</v>
      </c>
      <c r="X20" s="241"/>
      <c r="Y20" s="34">
        <f t="shared" si="5"/>
        <v>285.54545454545456</v>
      </c>
      <c r="Z20" s="53"/>
      <c r="AA20" s="1"/>
      <c r="AB20" s="23">
        <f t="shared" si="7"/>
        <v>947</v>
      </c>
      <c r="AC20" s="24"/>
      <c r="AD20" s="24"/>
      <c r="AE20" s="24"/>
      <c r="AF20" s="24">
        <v>5506</v>
      </c>
      <c r="AG20" s="24"/>
      <c r="AH20" s="25">
        <f t="shared" si="8"/>
        <v>0.20772099144549244</v>
      </c>
      <c r="AI20" s="25"/>
      <c r="AJ20" s="25"/>
      <c r="AK20" s="24"/>
      <c r="AL20" s="360">
        <f t="shared" si="9"/>
        <v>3.3605136593344888E-2</v>
      </c>
      <c r="AM20" s="360"/>
      <c r="AN20" s="24">
        <f t="shared" si="10"/>
        <v>500.54545454545456</v>
      </c>
      <c r="AO20" s="370"/>
      <c r="AP20" s="1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3"/>
      <c r="BI20" s="1"/>
      <c r="BJ20">
        <f t="shared" si="11"/>
        <v>11</v>
      </c>
      <c r="BY20" s="60"/>
    </row>
    <row r="21" spans="2:77" x14ac:dyDescent="0.3">
      <c r="B21" s="18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 t="shared" si="2"/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3"/>
        <v>4053</v>
      </c>
      <c r="V21" s="34"/>
      <c r="W21" s="47">
        <f t="shared" si="4"/>
        <v>2.1491521109732431E-2</v>
      </c>
      <c r="X21" s="34"/>
      <c r="Y21" s="34">
        <f t="shared" si="5"/>
        <v>337.75</v>
      </c>
      <c r="Z21" s="54"/>
      <c r="AA21" s="1"/>
      <c r="AB21" s="23">
        <f t="shared" si="7"/>
        <v>1745</v>
      </c>
      <c r="AC21" s="24"/>
      <c r="AD21" s="24"/>
      <c r="AE21" s="24"/>
      <c r="AF21" s="24">
        <v>7251</v>
      </c>
      <c r="AG21" s="24"/>
      <c r="AH21" s="25">
        <f t="shared" si="8"/>
        <v>0.31692698873955683</v>
      </c>
      <c r="AI21" s="25"/>
      <c r="AJ21" s="25"/>
      <c r="AK21" s="24"/>
      <c r="AL21" s="360">
        <f t="shared" si="9"/>
        <v>3.8449301644872896E-2</v>
      </c>
      <c r="AM21" s="360"/>
      <c r="AN21" s="24">
        <f t="shared" si="10"/>
        <v>604.25</v>
      </c>
      <c r="AO21" s="370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3"/>
      <c r="BI21" s="1"/>
      <c r="BJ21">
        <f t="shared" si="11"/>
        <v>12</v>
      </c>
      <c r="BY21" s="60"/>
    </row>
    <row r="22" spans="2:77" x14ac:dyDescent="0.3">
      <c r="B22" s="18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 t="shared" si="2"/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3"/>
        <v>5102</v>
      </c>
      <c r="V22" s="34"/>
      <c r="W22" s="47">
        <f t="shared" si="4"/>
        <v>2.3723722327361328E-2</v>
      </c>
      <c r="X22" s="34"/>
      <c r="Y22" s="34">
        <f t="shared" si="5"/>
        <v>392.46153846153845</v>
      </c>
      <c r="Z22" s="54"/>
      <c r="AA22" s="1"/>
      <c r="AB22" s="23">
        <f t="shared" si="7"/>
        <v>1627</v>
      </c>
      <c r="AC22" s="24"/>
      <c r="AD22" s="24"/>
      <c r="AE22" s="24"/>
      <c r="AF22" s="24">
        <v>8878</v>
      </c>
      <c r="AG22" s="24"/>
      <c r="AH22" s="25">
        <f t="shared" si="8"/>
        <v>0.22438284374569026</v>
      </c>
      <c r="AI22" s="25"/>
      <c r="AJ22" s="25"/>
      <c r="AK22" s="24"/>
      <c r="AL22" s="360">
        <f t="shared" si="9"/>
        <v>4.1281694790731849E-2</v>
      </c>
      <c r="AM22" s="360"/>
      <c r="AN22" s="24">
        <f t="shared" si="10"/>
        <v>682.92307692307691</v>
      </c>
      <c r="AO22" s="370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3"/>
      <c r="BI22" s="1"/>
      <c r="BJ22">
        <f t="shared" si="11"/>
        <v>13</v>
      </c>
    </row>
    <row r="23" spans="2:77" x14ac:dyDescent="0.3">
      <c r="B23" s="18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 t="shared" si="2"/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3"/>
        <v>6076</v>
      </c>
      <c r="V23" s="34"/>
      <c r="W23" s="47">
        <f t="shared" si="4"/>
        <v>2.4812456866100122E-2</v>
      </c>
      <c r="X23" s="34"/>
      <c r="Y23" s="34">
        <f t="shared" si="5"/>
        <v>434</v>
      </c>
      <c r="Z23" s="54"/>
      <c r="AA23" s="1"/>
      <c r="AB23" s="23">
        <f t="shared" si="7"/>
        <v>1525</v>
      </c>
      <c r="AC23" s="24"/>
      <c r="AD23" s="24"/>
      <c r="AE23" s="24"/>
      <c r="AF23" s="24">
        <v>10403</v>
      </c>
      <c r="AG23" s="24"/>
      <c r="AH23" s="25">
        <f t="shared" si="8"/>
        <v>0.17177292182924081</v>
      </c>
      <c r="AI23" s="25"/>
      <c r="AJ23" s="25"/>
      <c r="AK23" s="24"/>
      <c r="AL23" s="360">
        <f t="shared" si="9"/>
        <v>4.2482552465115141E-2</v>
      </c>
      <c r="AM23" s="360"/>
      <c r="AN23" s="24">
        <f t="shared" si="10"/>
        <v>743.07142857142856</v>
      </c>
      <c r="AO23" s="370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3"/>
      <c r="BI23" s="1"/>
      <c r="BJ23">
        <f t="shared" si="11"/>
        <v>14</v>
      </c>
    </row>
    <row r="24" spans="2:77" x14ac:dyDescent="0.3">
      <c r="B24" s="18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47" t="s">
        <v>48</v>
      </c>
      <c r="J24" s="39">
        <f t="shared" si="1"/>
        <v>0.13183761643600664</v>
      </c>
      <c r="K24" s="64"/>
      <c r="L24" s="64"/>
      <c r="M24" s="64"/>
      <c r="N24" s="16">
        <f t="shared" si="2"/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358" t="s">
        <v>48</v>
      </c>
      <c r="W24" s="47">
        <f t="shared" si="4"/>
        <v>2.5555424355299835E-2</v>
      </c>
      <c r="X24" s="34"/>
      <c r="Y24" s="34">
        <f t="shared" si="5"/>
        <v>476.13333333333333</v>
      </c>
      <c r="Z24" s="54"/>
      <c r="AA24" s="1"/>
      <c r="AB24" s="23">
        <f t="shared" si="7"/>
        <v>1835</v>
      </c>
      <c r="AC24" s="24"/>
      <c r="AD24" s="24"/>
      <c r="AE24" s="24"/>
      <c r="AF24" s="24">
        <v>12238</v>
      </c>
      <c r="AG24" s="24"/>
      <c r="AH24" s="25">
        <f t="shared" si="8"/>
        <v>0.17639142555032203</v>
      </c>
      <c r="AI24" s="25"/>
      <c r="AJ24" s="25"/>
      <c r="AK24" s="24"/>
      <c r="AL24" s="360">
        <f t="shared" si="9"/>
        <v>4.3789874441355278E-2</v>
      </c>
      <c r="AM24" s="360"/>
      <c r="AN24" s="24">
        <f t="shared" si="10"/>
        <v>815.86666666666667</v>
      </c>
      <c r="AO24" s="370"/>
      <c r="AP24" s="1"/>
      <c r="AQ24" s="70">
        <v>698344</v>
      </c>
      <c r="AR24" s="71"/>
      <c r="AS24" s="71">
        <f>+AQ24</f>
        <v>698344</v>
      </c>
      <c r="AT24" s="71"/>
      <c r="AU24" s="71">
        <f t="shared" ref="AU24:AU59" si="12"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 t="shared" ref="BE24:BE59" si="13">+BC24/AS24</f>
        <v>4.6229365470312624E-2</v>
      </c>
      <c r="BF24" s="71"/>
      <c r="BG24" s="71"/>
      <c r="BH24" s="193"/>
      <c r="BI24" s="1"/>
      <c r="BJ24">
        <f t="shared" si="11"/>
        <v>15</v>
      </c>
    </row>
    <row r="25" spans="2:77" x14ac:dyDescent="0.3">
      <c r="B25" s="181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 t="shared" si="2"/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15">+U24+Q25</f>
        <v>8472</v>
      </c>
      <c r="V25" s="34"/>
      <c r="W25" s="47">
        <f t="shared" si="4"/>
        <v>2.7009535590291615E-2</v>
      </c>
      <c r="X25" s="34"/>
      <c r="Y25" s="34">
        <f t="shared" si="5"/>
        <v>529.5</v>
      </c>
      <c r="Z25" s="54"/>
      <c r="AA25" s="1"/>
      <c r="AB25" s="23">
        <f t="shared" si="7"/>
        <v>2587</v>
      </c>
      <c r="AC25" s="24"/>
      <c r="AD25" s="24"/>
      <c r="AE25" s="24"/>
      <c r="AF25" s="24">
        <v>14825</v>
      </c>
      <c r="AG25" s="24"/>
      <c r="AH25" s="25">
        <f t="shared" si="8"/>
        <v>0.21139075012256905</v>
      </c>
      <c r="AI25" s="25"/>
      <c r="AJ25" s="25"/>
      <c r="AK25" s="24"/>
      <c r="AL25" s="360">
        <f t="shared" si="9"/>
        <v>4.726349918862998E-2</v>
      </c>
      <c r="AM25" s="360"/>
      <c r="AN25" s="24">
        <f t="shared" si="10"/>
        <v>926.5625</v>
      </c>
      <c r="AO25" s="370"/>
      <c r="AP25" s="1"/>
      <c r="AQ25" s="70">
        <v>934611</v>
      </c>
      <c r="AR25" s="71"/>
      <c r="AS25" s="71">
        <f>+AS24+AQ25</f>
        <v>1632955</v>
      </c>
      <c r="AT25" s="71"/>
      <c r="AU25" s="71">
        <f t="shared" si="12"/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6">+BC24+AU25</f>
        <v>66480</v>
      </c>
      <c r="BD25" s="71"/>
      <c r="BE25" s="80">
        <f t="shared" si="13"/>
        <v>4.0711470922346296E-2</v>
      </c>
      <c r="BF25" s="71"/>
      <c r="BG25" s="92"/>
      <c r="BH25" s="193"/>
      <c r="BI25" s="1"/>
      <c r="BJ25">
        <f t="shared" si="11"/>
        <v>16</v>
      </c>
    </row>
    <row r="26" spans="2:77" x14ac:dyDescent="0.3">
      <c r="B26" s="18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15"/>
        <v>9637</v>
      </c>
      <c r="V26" s="34"/>
      <c r="W26" s="47">
        <f t="shared" si="4"/>
        <v>2.842915426437314E-2</v>
      </c>
      <c r="X26" s="34"/>
      <c r="Y26" s="34">
        <f t="shared" si="5"/>
        <v>566.88235294117646</v>
      </c>
      <c r="Z26" s="54"/>
      <c r="AA26" s="1"/>
      <c r="AB26" s="23">
        <f t="shared" si="7"/>
        <v>3152</v>
      </c>
      <c r="AC26" s="24"/>
      <c r="AD26" s="24"/>
      <c r="AE26" s="24"/>
      <c r="AF26" s="24">
        <v>17977</v>
      </c>
      <c r="AG26" s="24"/>
      <c r="AH26" s="25">
        <f t="shared" si="8"/>
        <v>0.21261382799325465</v>
      </c>
      <c r="AI26" s="25"/>
      <c r="AJ26" s="25"/>
      <c r="AK26" s="24"/>
      <c r="AL26" s="360">
        <f t="shared" si="9"/>
        <v>5.3032157954823696E-2</v>
      </c>
      <c r="AM26" s="360"/>
      <c r="AN26" s="24">
        <f t="shared" si="10"/>
        <v>1057.4705882352941</v>
      </c>
      <c r="AO26" s="370"/>
      <c r="AP26" s="1"/>
      <c r="AQ26" s="70">
        <v>139414</v>
      </c>
      <c r="AR26" s="71"/>
      <c r="AS26" s="71">
        <f>+AS25+AQ26</f>
        <v>1772369</v>
      </c>
      <c r="AT26" s="71"/>
      <c r="AU26" s="71">
        <f t="shared" si="12"/>
        <v>25316</v>
      </c>
      <c r="AV26" s="71"/>
      <c r="AW26" s="71"/>
      <c r="AX26" s="71"/>
      <c r="AY26" s="71"/>
      <c r="AZ26" s="71"/>
      <c r="BA26" s="71"/>
      <c r="BB26" s="71"/>
      <c r="BC26" s="71">
        <f t="shared" si="16"/>
        <v>91796</v>
      </c>
      <c r="BD26" s="71"/>
      <c r="BE26" s="80">
        <f t="shared" si="13"/>
        <v>5.1792826437384087E-2</v>
      </c>
      <c r="BF26" s="71"/>
      <c r="BG26" s="92"/>
      <c r="BH26" s="193"/>
      <c r="BI26" s="1"/>
      <c r="BJ26">
        <f t="shared" si="11"/>
        <v>17</v>
      </c>
    </row>
    <row r="27" spans="2:77" x14ac:dyDescent="0.3">
      <c r="B27" s="18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2"/>
      <c r="P27" s="1"/>
      <c r="Q27" s="35">
        <v>1255</v>
      </c>
      <c r="R27" s="34"/>
      <c r="S27" s="34"/>
      <c r="T27" s="34"/>
      <c r="U27" s="34">
        <f t="shared" si="15"/>
        <v>10892</v>
      </c>
      <c r="V27" s="34"/>
      <c r="W27" s="47">
        <f t="shared" si="4"/>
        <v>2.9422490430667247E-2</v>
      </c>
      <c r="X27" s="34"/>
      <c r="Y27" s="34">
        <f t="shared" si="5"/>
        <v>605.11111111111109</v>
      </c>
      <c r="Z27" s="54"/>
      <c r="AA27" s="1"/>
      <c r="AB27" s="23">
        <f t="shared" si="7"/>
        <v>1694</v>
      </c>
      <c r="AC27" s="24"/>
      <c r="AD27" s="24"/>
      <c r="AE27" s="24"/>
      <c r="AF27" s="24">
        <v>19671</v>
      </c>
      <c r="AG27" s="24"/>
      <c r="AH27" s="25">
        <f t="shared" si="8"/>
        <v>9.4231518050842747E-2</v>
      </c>
      <c r="AI27" s="25"/>
      <c r="AJ27" s="25"/>
      <c r="AK27" s="24"/>
      <c r="AL27" s="360">
        <f t="shared" si="9"/>
        <v>5.3137147379880227E-2</v>
      </c>
      <c r="AM27" s="360"/>
      <c r="AN27" s="24">
        <f t="shared" si="10"/>
        <v>1092.8333333333333</v>
      </c>
      <c r="AO27" s="370"/>
      <c r="AP27" s="1"/>
      <c r="AQ27" s="70">
        <f t="shared" ref="AQ27:AQ51" si="17">+AS27-AS26</f>
        <v>142171</v>
      </c>
      <c r="AR27" s="71"/>
      <c r="AS27" s="71">
        <v>1914540</v>
      </c>
      <c r="AT27" s="71"/>
      <c r="AU27" s="71">
        <f t="shared" si="12"/>
        <v>31210</v>
      </c>
      <c r="AV27" s="71"/>
      <c r="AW27" s="71"/>
      <c r="AX27" s="71"/>
      <c r="AY27" s="71"/>
      <c r="AZ27" s="71"/>
      <c r="BA27" s="71"/>
      <c r="BB27" s="71"/>
      <c r="BC27" s="71">
        <f t="shared" si="16"/>
        <v>123006</v>
      </c>
      <c r="BD27" s="71"/>
      <c r="BE27" s="80">
        <f t="shared" si="13"/>
        <v>6.4248331191826755E-2</v>
      </c>
      <c r="BF27" s="71"/>
      <c r="BG27" s="92"/>
      <c r="BH27" s="193"/>
      <c r="BI27" s="1"/>
      <c r="BJ27">
        <f t="shared" si="11"/>
        <v>18</v>
      </c>
    </row>
    <row r="28" spans="2:77" x14ac:dyDescent="0.3">
      <c r="B28" s="18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15"/>
        <v>12862</v>
      </c>
      <c r="V28" s="34"/>
      <c r="W28" s="47">
        <f t="shared" si="4"/>
        <v>3.1864002001719301E-2</v>
      </c>
      <c r="X28" s="34"/>
      <c r="Y28" s="34">
        <f t="shared" si="5"/>
        <v>676.9473684210526</v>
      </c>
      <c r="Z28" s="54"/>
      <c r="AA28" s="1"/>
      <c r="AB28" s="23">
        <f t="shared" si="7"/>
        <v>2003</v>
      </c>
      <c r="AC28" s="24"/>
      <c r="AD28" s="24"/>
      <c r="AE28" s="24"/>
      <c r="AF28" s="24">
        <v>21674</v>
      </c>
      <c r="AG28" s="24"/>
      <c r="AH28" s="25">
        <f t="shared" si="8"/>
        <v>0.10182502160540897</v>
      </c>
      <c r="AI28" s="25"/>
      <c r="AJ28" s="25"/>
      <c r="AK28" s="24"/>
      <c r="AL28" s="360">
        <f t="shared" si="9"/>
        <v>5.3694633757212257E-2</v>
      </c>
      <c r="AM28" s="360"/>
      <c r="AN28" s="24">
        <f t="shared" si="10"/>
        <v>1140.7368421052631</v>
      </c>
      <c r="AO28" s="370"/>
      <c r="AP28" s="1"/>
      <c r="AQ28" s="70">
        <f t="shared" si="17"/>
        <v>161199</v>
      </c>
      <c r="AR28" s="71"/>
      <c r="AS28" s="71">
        <v>2075739</v>
      </c>
      <c r="AT28" s="71"/>
      <c r="AU28" s="71">
        <f t="shared" si="12"/>
        <v>33460</v>
      </c>
      <c r="AV28" s="71"/>
      <c r="AW28" s="71"/>
      <c r="AX28" s="71"/>
      <c r="AY28" s="71"/>
      <c r="AZ28" s="71"/>
      <c r="BA28" s="71"/>
      <c r="BB28" s="71"/>
      <c r="BC28" s="71">
        <f t="shared" si="16"/>
        <v>156466</v>
      </c>
      <c r="BD28" s="71"/>
      <c r="BE28" s="80">
        <f t="shared" si="13"/>
        <v>7.5378455576544059E-2</v>
      </c>
      <c r="BF28" s="71"/>
      <c r="BG28" s="92"/>
      <c r="BH28" s="193"/>
      <c r="BI28" s="1"/>
      <c r="BJ28">
        <f t="shared" si="11"/>
        <v>19</v>
      </c>
    </row>
    <row r="29" spans="2:77" x14ac:dyDescent="0.3">
      <c r="B29" s="18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 t="shared" si="2"/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15"/>
        <v>14812</v>
      </c>
      <c r="V29" s="34"/>
      <c r="W29" s="47">
        <f t="shared" si="4"/>
        <v>3.4004609860694049E-2</v>
      </c>
      <c r="X29" s="34"/>
      <c r="Y29" s="34">
        <f t="shared" si="5"/>
        <v>740.6</v>
      </c>
      <c r="Z29" s="54"/>
      <c r="AA29" s="1"/>
      <c r="AB29" s="23">
        <f t="shared" si="7"/>
        <v>1217</v>
      </c>
      <c r="AC29" s="24"/>
      <c r="AD29" s="24"/>
      <c r="AE29" s="24"/>
      <c r="AF29" s="24">
        <v>22891</v>
      </c>
      <c r="AG29" s="24"/>
      <c r="AH29" s="25">
        <f t="shared" si="8"/>
        <v>5.6150226077327677E-2</v>
      </c>
      <c r="AI29" s="25"/>
      <c r="AJ29" s="25"/>
      <c r="AK29" s="24"/>
      <c r="AL29" s="360">
        <f t="shared" si="9"/>
        <v>5.2551952762702372E-2</v>
      </c>
      <c r="AM29" s="360"/>
      <c r="AN29" s="24">
        <f t="shared" si="10"/>
        <v>1144.55</v>
      </c>
      <c r="AO29" s="370"/>
      <c r="AP29" s="1"/>
      <c r="AQ29" s="70">
        <f t="shared" si="17"/>
        <v>133302</v>
      </c>
      <c r="AR29" s="71"/>
      <c r="AS29" s="71">
        <v>2209041</v>
      </c>
      <c r="AT29" s="71"/>
      <c r="AU29" s="71">
        <f t="shared" si="12"/>
        <v>31935</v>
      </c>
      <c r="AV29" s="71"/>
      <c r="AW29" s="71"/>
      <c r="AX29" s="71"/>
      <c r="AY29" s="71"/>
      <c r="AZ29" s="71"/>
      <c r="BA29" s="71"/>
      <c r="BB29" s="71"/>
      <c r="BC29" s="71">
        <f t="shared" si="16"/>
        <v>188401</v>
      </c>
      <c r="BD29" s="71"/>
      <c r="BE29" s="80">
        <f t="shared" si="13"/>
        <v>8.528633013149145E-2</v>
      </c>
      <c r="BF29" s="71"/>
      <c r="BG29" s="92"/>
      <c r="BH29" s="193"/>
      <c r="BI29" s="1"/>
      <c r="BJ29">
        <f t="shared" si="11"/>
        <v>20</v>
      </c>
    </row>
    <row r="30" spans="2:77" x14ac:dyDescent="0.3">
      <c r="B30" s="18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9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15"/>
        <v>16712</v>
      </c>
      <c r="V30" s="34"/>
      <c r="W30" s="47">
        <f t="shared" si="4"/>
        <v>3.5623843589328193E-2</v>
      </c>
      <c r="X30" s="34"/>
      <c r="Y30" s="34">
        <f t="shared" si="5"/>
        <v>795.80952380952385</v>
      </c>
      <c r="Z30" s="54"/>
      <c r="AA30" s="1"/>
      <c r="AB30" s="23">
        <f t="shared" si="7"/>
        <v>3037</v>
      </c>
      <c r="AC30" s="24"/>
      <c r="AD30" s="24"/>
      <c r="AE30" s="24"/>
      <c r="AF30" s="24">
        <v>25928</v>
      </c>
      <c r="AG30" s="24"/>
      <c r="AH30" s="25">
        <f t="shared" si="8"/>
        <v>0.13267222926040803</v>
      </c>
      <c r="AI30" s="25"/>
      <c r="AJ30" s="25"/>
      <c r="AK30" s="24"/>
      <c r="AL30" s="360">
        <f t="shared" si="9"/>
        <v>5.5268969398282755E-2</v>
      </c>
      <c r="AM30" s="360"/>
      <c r="AN30" s="24">
        <f t="shared" si="10"/>
        <v>1234.6666666666667</v>
      </c>
      <c r="AO30" s="370"/>
      <c r="AP30" s="1"/>
      <c r="AQ30" s="70">
        <f t="shared" si="17"/>
        <v>144055</v>
      </c>
      <c r="AR30" s="71"/>
      <c r="AS30" s="71">
        <v>2353096</v>
      </c>
      <c r="AT30" s="71"/>
      <c r="AU30" s="71">
        <f t="shared" si="12"/>
        <v>33536</v>
      </c>
      <c r="AV30" s="71"/>
      <c r="AW30" s="71"/>
      <c r="AX30" s="71"/>
      <c r="AY30" s="71"/>
      <c r="AZ30" s="71"/>
      <c r="BA30" s="71"/>
      <c r="BB30" s="71"/>
      <c r="BC30" s="71">
        <f t="shared" si="16"/>
        <v>221937</v>
      </c>
      <c r="BD30" s="71"/>
      <c r="BE30" s="80">
        <f t="shared" si="13"/>
        <v>9.4317018940153735E-2</v>
      </c>
      <c r="BF30" s="71"/>
      <c r="BG30" s="92"/>
      <c r="BH30" s="193"/>
      <c r="BI30" s="1"/>
      <c r="BJ30">
        <f t="shared" si="11"/>
        <v>21</v>
      </c>
    </row>
    <row r="31" spans="2:77" x14ac:dyDescent="0.3">
      <c r="B31" s="18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 t="shared" si="2"/>
        <v>22858</v>
      </c>
      <c r="O31" s="42"/>
      <c r="P31" s="1"/>
      <c r="Q31" s="35">
        <v>2035</v>
      </c>
      <c r="R31" s="34"/>
      <c r="S31" s="34"/>
      <c r="T31" s="34"/>
      <c r="U31" s="34">
        <f t="shared" si="15"/>
        <v>18747</v>
      </c>
      <c r="V31" s="34"/>
      <c r="W31" s="47">
        <f t="shared" si="4"/>
        <v>3.7279567925293709E-2</v>
      </c>
      <c r="X31" s="34"/>
      <c r="Y31" s="34">
        <f t="shared" si="5"/>
        <v>852.13636363636363</v>
      </c>
      <c r="Z31" s="54"/>
      <c r="AA31" s="1"/>
      <c r="AB31" s="23">
        <f t="shared" si="7"/>
        <v>1386</v>
      </c>
      <c r="AC31" s="24"/>
      <c r="AD31" s="24"/>
      <c r="AE31" s="24"/>
      <c r="AF31" s="24">
        <v>27314</v>
      </c>
      <c r="AG31" s="24"/>
      <c r="AH31" s="25">
        <f t="shared" si="8"/>
        <v>5.3455723542116633E-2</v>
      </c>
      <c r="AI31" s="25"/>
      <c r="AJ31" s="25"/>
      <c r="AK31" s="24"/>
      <c r="AL31" s="360">
        <f t="shared" si="9"/>
        <v>5.4315576802233555E-2</v>
      </c>
      <c r="AM31" s="360"/>
      <c r="AN31" s="24">
        <f t="shared" si="10"/>
        <v>1241.5454545454545</v>
      </c>
      <c r="AO31" s="370"/>
      <c r="AP31" s="1"/>
      <c r="AQ31" s="70">
        <f t="shared" si="17"/>
        <v>185792</v>
      </c>
      <c r="AR31" s="71"/>
      <c r="AS31" s="71">
        <v>2538888</v>
      </c>
      <c r="AT31" s="71"/>
      <c r="AU31" s="71">
        <f t="shared" si="12"/>
        <v>33752</v>
      </c>
      <c r="AV31" s="71"/>
      <c r="AW31" s="71"/>
      <c r="AX31" s="71"/>
      <c r="AY31" s="71"/>
      <c r="AZ31" s="71"/>
      <c r="BA31" s="71"/>
      <c r="BB31" s="71"/>
      <c r="BC31" s="71">
        <f t="shared" si="16"/>
        <v>255689</v>
      </c>
      <c r="BD31" s="71"/>
      <c r="BE31" s="80">
        <f t="shared" si="13"/>
        <v>0.10070905057647285</v>
      </c>
      <c r="BF31" s="71"/>
      <c r="BG31" s="92"/>
      <c r="BH31" s="193"/>
      <c r="BI31" s="1"/>
      <c r="BJ31">
        <f t="shared" si="11"/>
        <v>22</v>
      </c>
    </row>
    <row r="32" spans="2:77" x14ac:dyDescent="0.3">
      <c r="B32" s="181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15"/>
        <v>20577</v>
      </c>
      <c r="V32" s="34"/>
      <c r="W32" s="47">
        <f t="shared" si="4"/>
        <v>3.8614769957157256E-2</v>
      </c>
      <c r="X32" s="34"/>
      <c r="Y32" s="34">
        <f t="shared" si="5"/>
        <v>894.6521739130435</v>
      </c>
      <c r="Z32" s="54"/>
      <c r="AA32" s="1"/>
      <c r="AB32" s="23">
        <f t="shared" si="7"/>
        <v>3139</v>
      </c>
      <c r="AC32" s="24"/>
      <c r="AD32" s="24"/>
      <c r="AE32" s="24"/>
      <c r="AF32" s="24">
        <v>30453</v>
      </c>
      <c r="AG32" s="24"/>
      <c r="AH32" s="25">
        <f t="shared" si="8"/>
        <v>0.1149227502379732</v>
      </c>
      <c r="AI32" s="25"/>
      <c r="AJ32" s="25"/>
      <c r="AK32" s="24"/>
      <c r="AL32" s="360">
        <f t="shared" si="9"/>
        <v>5.7148058001910376E-2</v>
      </c>
      <c r="AM32" s="360"/>
      <c r="AN32" s="24">
        <f t="shared" si="10"/>
        <v>1324.0434782608695</v>
      </c>
      <c r="AO32" s="370"/>
      <c r="AP32" s="1"/>
      <c r="AQ32" s="70">
        <f t="shared" si="17"/>
        <v>131786</v>
      </c>
      <c r="AR32" s="71"/>
      <c r="AS32" s="71">
        <v>2670674</v>
      </c>
      <c r="AT32" s="71"/>
      <c r="AU32" s="71">
        <f t="shared" si="12"/>
        <v>30003</v>
      </c>
      <c r="AV32" s="71"/>
      <c r="AW32" s="71"/>
      <c r="AX32" s="71"/>
      <c r="AY32" s="71"/>
      <c r="AZ32" s="71"/>
      <c r="BA32" s="71"/>
      <c r="BB32" s="71"/>
      <c r="BC32" s="71">
        <f t="shared" si="16"/>
        <v>285692</v>
      </c>
      <c r="BD32" s="71"/>
      <c r="BE32" s="80">
        <f t="shared" si="13"/>
        <v>0.10697374520439409</v>
      </c>
      <c r="BF32" s="71"/>
      <c r="BG32" s="92"/>
      <c r="BH32" s="193"/>
      <c r="BI32" s="1"/>
      <c r="BJ32">
        <f t="shared" si="11"/>
        <v>23</v>
      </c>
    </row>
    <row r="33" spans="2:62" x14ac:dyDescent="0.3">
      <c r="B33" s="18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9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15"/>
        <v>22105</v>
      </c>
      <c r="V33" s="34"/>
      <c r="W33" s="47">
        <f t="shared" si="4"/>
        <v>3.9452079243262536E-2</v>
      </c>
      <c r="X33" s="34"/>
      <c r="Y33" s="34">
        <f t="shared" si="5"/>
        <v>921.04166666666663</v>
      </c>
      <c r="Z33" s="54"/>
      <c r="AA33" s="1"/>
      <c r="AB33" s="23">
        <f t="shared" si="7"/>
        <v>2181</v>
      </c>
      <c r="AC33" s="24"/>
      <c r="AD33" s="24"/>
      <c r="AE33" s="24"/>
      <c r="AF33" s="24">
        <v>32634</v>
      </c>
      <c r="AG33" s="24"/>
      <c r="AH33" s="25">
        <f t="shared" si="8"/>
        <v>7.1618559747808092E-2</v>
      </c>
      <c r="AI33" s="25"/>
      <c r="AJ33" s="25"/>
      <c r="AK33" s="24"/>
      <c r="AL33" s="360">
        <f t="shared" si="9"/>
        <v>5.8243797965375689E-2</v>
      </c>
      <c r="AM33" s="360"/>
      <c r="AN33" s="24">
        <f t="shared" si="10"/>
        <v>1359.75</v>
      </c>
      <c r="AO33" s="370"/>
      <c r="AP33" s="1"/>
      <c r="AQ33" s="70">
        <f t="shared" si="17"/>
        <v>161584</v>
      </c>
      <c r="AR33" s="71"/>
      <c r="AS33" s="71">
        <v>2832258</v>
      </c>
      <c r="AT33" s="71"/>
      <c r="AU33" s="71">
        <f t="shared" si="12"/>
        <v>27421</v>
      </c>
      <c r="AV33" s="71"/>
      <c r="AW33" s="71"/>
      <c r="AX33" s="71"/>
      <c r="AY33" s="71"/>
      <c r="AZ33" s="71"/>
      <c r="BA33" s="71"/>
      <c r="BB33" s="71"/>
      <c r="BC33" s="71">
        <f t="shared" si="16"/>
        <v>313113</v>
      </c>
      <c r="BD33" s="71"/>
      <c r="BE33" s="80">
        <f t="shared" si="13"/>
        <v>0.1105524284863879</v>
      </c>
      <c r="BF33" s="71"/>
      <c r="BG33" s="92"/>
      <c r="BH33" s="193"/>
      <c r="BI33" s="1"/>
      <c r="BJ33">
        <f t="shared" si="11"/>
        <v>24</v>
      </c>
    </row>
    <row r="34" spans="2:62" x14ac:dyDescent="0.3">
      <c r="B34" s="18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 t="shared" si="2"/>
        <v>23477.64</v>
      </c>
      <c r="O34" s="42"/>
      <c r="P34" s="1"/>
      <c r="Q34" s="35">
        <v>1535</v>
      </c>
      <c r="R34" s="34"/>
      <c r="S34" s="34"/>
      <c r="T34" s="34"/>
      <c r="U34" s="34">
        <f t="shared" si="15"/>
        <v>23640</v>
      </c>
      <c r="V34" s="34"/>
      <c r="W34" s="47">
        <f t="shared" si="4"/>
        <v>4.0276620648412705E-2</v>
      </c>
      <c r="X34" s="34"/>
      <c r="Y34" s="34">
        <f t="shared" si="5"/>
        <v>945.6</v>
      </c>
      <c r="Z34" s="54"/>
      <c r="AA34" s="1"/>
      <c r="AB34" s="23">
        <f t="shared" si="7"/>
        <v>3620</v>
      </c>
      <c r="AC34" s="24"/>
      <c r="AD34" s="24"/>
      <c r="AE34" s="24"/>
      <c r="AF34" s="24">
        <v>36254</v>
      </c>
      <c r="AG34" s="24"/>
      <c r="AH34" s="25">
        <f t="shared" si="8"/>
        <v>0.11092725378439665</v>
      </c>
      <c r="AI34" s="25"/>
      <c r="AJ34" s="25"/>
      <c r="AK34" s="24"/>
      <c r="AL34" s="360">
        <f t="shared" si="9"/>
        <v>6.1767707486783167E-2</v>
      </c>
      <c r="AM34" s="360"/>
      <c r="AN34" s="24">
        <f t="shared" si="10"/>
        <v>1450.16</v>
      </c>
      <c r="AO34" s="370"/>
      <c r="AP34" s="1"/>
      <c r="AQ34" s="70">
        <f t="shared" si="17"/>
        <v>111697</v>
      </c>
      <c r="AR34" s="71"/>
      <c r="AS34" s="71">
        <v>2943955</v>
      </c>
      <c r="AT34" s="71"/>
      <c r="AU34" s="71">
        <f t="shared" si="12"/>
        <v>26641</v>
      </c>
      <c r="AV34" s="71"/>
      <c r="AW34" s="71"/>
      <c r="AX34" s="71"/>
      <c r="AY34" s="71"/>
      <c r="AZ34" s="71"/>
      <c r="BA34" s="71"/>
      <c r="BB34" s="71"/>
      <c r="BC34" s="71">
        <f t="shared" si="16"/>
        <v>339754</v>
      </c>
      <c r="BD34" s="71"/>
      <c r="BE34" s="80">
        <f t="shared" si="13"/>
        <v>0.11540733469091749</v>
      </c>
      <c r="BF34" s="71"/>
      <c r="BG34" s="92"/>
      <c r="BH34" s="193"/>
      <c r="BI34" s="1"/>
      <c r="BJ34">
        <f t="shared" si="11"/>
        <v>25</v>
      </c>
    </row>
    <row r="35" spans="2:62" x14ac:dyDescent="0.3">
      <c r="B35" s="181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48" t="s">
        <v>70</v>
      </c>
      <c r="J35" s="39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359" t="s">
        <v>70</v>
      </c>
      <c r="W35" s="47">
        <f t="shared" si="4"/>
        <v>4.8412950809666531E-2</v>
      </c>
      <c r="X35" s="34"/>
      <c r="Y35" s="34">
        <f t="shared" si="5"/>
        <v>1159.3076923076924</v>
      </c>
      <c r="Z35" s="54"/>
      <c r="AA35" s="1"/>
      <c r="AB35" s="23">
        <f t="shared" si="7"/>
        <v>2566</v>
      </c>
      <c r="AC35" s="24"/>
      <c r="AD35" s="24"/>
      <c r="AE35" s="24"/>
      <c r="AF35" s="24">
        <v>38820</v>
      </c>
      <c r="AG35" s="24"/>
      <c r="AH35" s="25">
        <f t="shared" si="8"/>
        <v>7.0778396866552656E-2</v>
      </c>
      <c r="AI35" s="25"/>
      <c r="AJ35" s="25"/>
      <c r="AK35" s="24"/>
      <c r="AL35" s="360">
        <f t="shared" si="9"/>
        <v>6.23512291961799E-2</v>
      </c>
      <c r="AM35" s="360"/>
      <c r="AN35" s="24">
        <f t="shared" si="10"/>
        <v>1493.0769230769231</v>
      </c>
      <c r="AO35" s="370"/>
      <c r="AP35" s="1"/>
      <c r="AQ35" s="70">
        <f t="shared" si="17"/>
        <v>121064</v>
      </c>
      <c r="AR35" s="71"/>
      <c r="AS35" s="71">
        <v>3065019</v>
      </c>
      <c r="AT35" s="71"/>
      <c r="AU35" s="71">
        <f t="shared" si="12"/>
        <v>30720</v>
      </c>
      <c r="AV35" s="71"/>
      <c r="AW35" s="71"/>
      <c r="AX35" s="71"/>
      <c r="AY35" s="71"/>
      <c r="AZ35" s="71"/>
      <c r="BA35" s="71"/>
      <c r="BB35" s="71"/>
      <c r="BC35" s="71">
        <f t="shared" si="16"/>
        <v>370474</v>
      </c>
      <c r="BD35" s="71"/>
      <c r="BE35" s="80">
        <f t="shared" si="13"/>
        <v>0.12087168138272553</v>
      </c>
      <c r="BF35" s="71"/>
      <c r="BG35" s="92"/>
      <c r="BH35" s="193"/>
      <c r="BI35" s="1"/>
      <c r="BJ35">
        <f t="shared" si="11"/>
        <v>26</v>
      </c>
    </row>
    <row r="36" spans="2:62" x14ac:dyDescent="0.3">
      <c r="B36" s="18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9">+U35+Q36</f>
        <v>32760</v>
      </c>
      <c r="V36" s="34"/>
      <c r="W36" s="47">
        <f t="shared" si="4"/>
        <v>5.0172756009703744E-2</v>
      </c>
      <c r="X36" s="34"/>
      <c r="Y36" s="34">
        <f t="shared" si="5"/>
        <v>1213.3333333333333</v>
      </c>
      <c r="Z36" s="54"/>
      <c r="AA36" s="1"/>
      <c r="AB36" s="23">
        <f t="shared" si="7"/>
        <v>9881</v>
      </c>
      <c r="AC36" s="24"/>
      <c r="AD36" s="24"/>
      <c r="AE36" s="24"/>
      <c r="AF36" s="24">
        <v>48701</v>
      </c>
      <c r="AG36" s="24"/>
      <c r="AH36" s="25">
        <f t="shared" si="8"/>
        <v>0.25453374549201441</v>
      </c>
      <c r="AI36" s="25"/>
      <c r="AJ36" s="25"/>
      <c r="AK36" s="24"/>
      <c r="AL36" s="360">
        <f t="shared" si="9"/>
        <v>7.4586794579627039E-2</v>
      </c>
      <c r="AM36" s="360"/>
      <c r="AN36" s="24">
        <f t="shared" si="10"/>
        <v>1803.7407407407406</v>
      </c>
      <c r="AO36" s="370"/>
      <c r="AP36" s="1"/>
      <c r="AQ36" s="70">
        <f t="shared" si="17"/>
        <v>193860</v>
      </c>
      <c r="AR36" s="71"/>
      <c r="AS36" s="71">
        <v>3258879</v>
      </c>
      <c r="AT36" s="71"/>
      <c r="AU36" s="71">
        <f t="shared" si="12"/>
        <v>30342</v>
      </c>
      <c r="AV36" s="71"/>
      <c r="AW36" s="71"/>
      <c r="AX36" s="71"/>
      <c r="AY36" s="71"/>
      <c r="AZ36" s="71"/>
      <c r="BA36" s="71"/>
      <c r="BB36" s="71"/>
      <c r="BC36" s="71">
        <f t="shared" si="16"/>
        <v>400816</v>
      </c>
      <c r="BD36" s="71"/>
      <c r="BE36" s="80">
        <f t="shared" si="13"/>
        <v>0.12299198589453612</v>
      </c>
      <c r="BF36" s="71"/>
      <c r="BG36" s="92"/>
      <c r="BH36" s="193"/>
      <c r="BI36" s="1"/>
      <c r="BJ36">
        <f t="shared" si="11"/>
        <v>27</v>
      </c>
    </row>
    <row r="37" spans="2:62" x14ac:dyDescent="0.3">
      <c r="B37" s="181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9"/>
        <v>34936</v>
      </c>
      <c r="V37" s="34"/>
      <c r="W37" s="47">
        <f t="shared" si="4"/>
        <v>5.1187453389029629E-2</v>
      </c>
      <c r="X37" s="34"/>
      <c r="Y37" s="34">
        <f t="shared" si="5"/>
        <v>1247.7142857142858</v>
      </c>
      <c r="Z37" s="54"/>
      <c r="AA37" s="10"/>
      <c r="AB37" s="23">
        <f t="shared" si="7"/>
        <v>8807</v>
      </c>
      <c r="AC37" s="24"/>
      <c r="AD37" s="24"/>
      <c r="AE37" s="24"/>
      <c r="AF37" s="24">
        <v>57508</v>
      </c>
      <c r="AG37" s="24"/>
      <c r="AH37" s="25">
        <f t="shared" si="8"/>
        <v>0.1808381758074783</v>
      </c>
      <c r="AI37" s="25"/>
      <c r="AJ37" s="25"/>
      <c r="AK37" s="24"/>
      <c r="AL37" s="360">
        <f t="shared" si="9"/>
        <v>8.4259447833075221E-2</v>
      </c>
      <c r="AM37" s="360"/>
      <c r="AN37" s="24">
        <f t="shared" si="10"/>
        <v>2053.8571428571427</v>
      </c>
      <c r="AO37" s="370"/>
      <c r="AP37" s="1"/>
      <c r="AQ37" s="70">
        <f t="shared" si="17"/>
        <v>139261</v>
      </c>
      <c r="AR37" s="71"/>
      <c r="AS37" s="71">
        <v>3398140</v>
      </c>
      <c r="AT37" s="71"/>
      <c r="AU37" s="71">
        <f t="shared" si="12"/>
        <v>29567</v>
      </c>
      <c r="AV37" s="71"/>
      <c r="AW37" s="71"/>
      <c r="AX37" s="71"/>
      <c r="AY37" s="71"/>
      <c r="AZ37" s="71"/>
      <c r="BA37" s="71"/>
      <c r="BB37" s="71"/>
      <c r="BC37" s="71">
        <f t="shared" si="16"/>
        <v>430383</v>
      </c>
      <c r="BD37" s="71"/>
      <c r="BE37" s="80">
        <f t="shared" si="13"/>
        <v>0.12665252167362145</v>
      </c>
      <c r="BF37" s="71"/>
      <c r="BG37" s="92"/>
      <c r="BH37" s="193"/>
      <c r="BI37" s="1"/>
      <c r="BJ37">
        <f t="shared" si="11"/>
        <v>28</v>
      </c>
    </row>
    <row r="38" spans="2:62" x14ac:dyDescent="0.3">
      <c r="B38" s="181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 t="shared" si="2"/>
        <v>24644</v>
      </c>
      <c r="O38" s="42"/>
      <c r="P38" s="10"/>
      <c r="Q38" s="35">
        <v>2528</v>
      </c>
      <c r="R38" s="34"/>
      <c r="S38" s="34"/>
      <c r="T38" s="34"/>
      <c r="U38" s="34">
        <f t="shared" si="19"/>
        <v>37464</v>
      </c>
      <c r="V38" s="34"/>
      <c r="W38" s="47">
        <f t="shared" si="4"/>
        <v>5.2420957188991937E-2</v>
      </c>
      <c r="X38" s="34"/>
      <c r="Y38" s="34">
        <f t="shared" si="5"/>
        <v>1291.8620689655172</v>
      </c>
      <c r="Z38" s="54"/>
      <c r="AA38" s="10"/>
      <c r="AB38" s="23">
        <f t="shared" si="7"/>
        <v>3002</v>
      </c>
      <c r="AC38" s="24"/>
      <c r="AD38" s="24"/>
      <c r="AE38" s="24"/>
      <c r="AF38" s="24">
        <v>60510</v>
      </c>
      <c r="AG38" s="24"/>
      <c r="AH38" s="25">
        <f t="shared" si="8"/>
        <v>5.2201432844126032E-2</v>
      </c>
      <c r="AI38" s="25"/>
      <c r="AJ38" s="25"/>
      <c r="AK38" s="24"/>
      <c r="AL38" s="360">
        <f t="shared" si="9"/>
        <v>8.4667737548203656E-2</v>
      </c>
      <c r="AM38" s="360"/>
      <c r="AN38" s="24">
        <f t="shared" si="10"/>
        <v>2086.5517241379312</v>
      </c>
      <c r="AO38" s="370"/>
      <c r="AP38" s="1"/>
      <c r="AQ38" s="70">
        <f t="shared" si="17"/>
        <v>174117</v>
      </c>
      <c r="AR38" s="71"/>
      <c r="AS38" s="71">
        <v>3572257</v>
      </c>
      <c r="AT38" s="71"/>
      <c r="AU38" s="71">
        <f t="shared" si="12"/>
        <v>32165</v>
      </c>
      <c r="AV38" s="71"/>
      <c r="AW38" s="71"/>
      <c r="AX38" s="71"/>
      <c r="AY38" s="71"/>
      <c r="AZ38" s="71"/>
      <c r="BA38" s="71"/>
      <c r="BB38" s="71"/>
      <c r="BC38" s="71">
        <f t="shared" si="16"/>
        <v>462548</v>
      </c>
      <c r="BD38" s="71"/>
      <c r="BE38" s="80">
        <f t="shared" si="13"/>
        <v>0.12948340502936939</v>
      </c>
      <c r="BF38" s="71"/>
      <c r="BG38" s="92"/>
      <c r="BH38" s="193"/>
      <c r="BI38" s="1"/>
      <c r="BJ38">
        <f t="shared" si="11"/>
        <v>29</v>
      </c>
    </row>
    <row r="39" spans="2:62" x14ac:dyDescent="0.3">
      <c r="B39" s="350">
        <f t="shared" si="6"/>
        <v>43939</v>
      </c>
      <c r="C39" s="116"/>
      <c r="D39" s="17">
        <v>29057</v>
      </c>
      <c r="E39" s="16"/>
      <c r="F39" s="16"/>
      <c r="G39" s="16"/>
      <c r="H39" s="16">
        <f t="shared" si="18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 t="shared" si="2"/>
        <v>24791.1</v>
      </c>
      <c r="O39" s="42"/>
      <c r="P39" s="96"/>
      <c r="Q39" s="35">
        <v>1867</v>
      </c>
      <c r="R39" s="34"/>
      <c r="S39" s="34"/>
      <c r="T39" s="34"/>
      <c r="U39" s="34">
        <f t="shared" si="19"/>
        <v>39331</v>
      </c>
      <c r="V39" s="34"/>
      <c r="W39" s="47">
        <f t="shared" si="4"/>
        <v>5.2883225566164205E-2</v>
      </c>
      <c r="X39" s="34"/>
      <c r="Y39" s="34">
        <f t="shared" si="5"/>
        <v>1311.0333333333333</v>
      </c>
      <c r="Z39" s="54"/>
      <c r="AA39" s="96"/>
      <c r="AB39" s="23">
        <f t="shared" si="7"/>
        <v>7759</v>
      </c>
      <c r="AC39" s="24"/>
      <c r="AD39" s="24"/>
      <c r="AE39" s="24"/>
      <c r="AF39" s="24">
        <v>68269</v>
      </c>
      <c r="AG39" s="24"/>
      <c r="AH39" s="25">
        <f t="shared" si="8"/>
        <v>0.12822673938192033</v>
      </c>
      <c r="AI39" s="25"/>
      <c r="AJ39" s="25"/>
      <c r="AK39" s="24"/>
      <c r="AL39" s="360">
        <f t="shared" si="9"/>
        <v>9.1792350211702317E-2</v>
      </c>
      <c r="AM39" s="360"/>
      <c r="AN39" s="24">
        <f t="shared" si="10"/>
        <v>2275.6333333333332</v>
      </c>
      <c r="AO39" s="370"/>
      <c r="AP39" s="96"/>
      <c r="AQ39" s="70">
        <f t="shared" si="17"/>
        <v>149888</v>
      </c>
      <c r="AR39" s="71"/>
      <c r="AS39" s="71">
        <v>3722145</v>
      </c>
      <c r="AT39" s="71"/>
      <c r="AU39" s="71">
        <f t="shared" si="12"/>
        <v>29057</v>
      </c>
      <c r="AV39" s="71"/>
      <c r="AW39" s="71"/>
      <c r="AX39" s="71"/>
      <c r="AY39" s="71"/>
      <c r="AZ39" s="71"/>
      <c r="BA39" s="71"/>
      <c r="BB39" s="71"/>
      <c r="BC39" s="71">
        <f t="shared" si="16"/>
        <v>491605</v>
      </c>
      <c r="BD39" s="71"/>
      <c r="BE39" s="80">
        <f t="shared" si="13"/>
        <v>0.13207572515310392</v>
      </c>
      <c r="BF39" s="71"/>
      <c r="BG39" s="92"/>
      <c r="BH39" s="193"/>
      <c r="BI39" s="96"/>
      <c r="BJ39" s="116">
        <f t="shared" si="11"/>
        <v>30</v>
      </c>
    </row>
    <row r="40" spans="2:62" x14ac:dyDescent="0.3">
      <c r="B40" s="181">
        <f t="shared" si="6"/>
        <v>43940</v>
      </c>
      <c r="C40" s="65"/>
      <c r="D40" s="17">
        <v>26183</v>
      </c>
      <c r="E40" s="16"/>
      <c r="F40" s="16"/>
      <c r="G40" s="16"/>
      <c r="H40" s="16">
        <f t="shared" si="18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 t="shared" si="2"/>
        <v>24836</v>
      </c>
      <c r="O40" s="42"/>
      <c r="P40" s="10"/>
      <c r="Q40" s="35">
        <v>1570</v>
      </c>
      <c r="R40" s="34"/>
      <c r="S40" s="34"/>
      <c r="T40" s="34"/>
      <c r="U40" s="34">
        <f t="shared" si="19"/>
        <v>40901</v>
      </c>
      <c r="V40" s="34"/>
      <c r="W40" s="47">
        <f t="shared" si="4"/>
        <v>5.312397716114485E-2</v>
      </c>
      <c r="X40" s="34"/>
      <c r="Y40" s="34">
        <f t="shared" si="5"/>
        <v>1319.3870967741937</v>
      </c>
      <c r="Z40" s="54"/>
      <c r="AA40" s="10"/>
      <c r="AB40" s="23">
        <f t="shared" si="7"/>
        <v>2734</v>
      </c>
      <c r="AC40" s="24"/>
      <c r="AD40" s="24"/>
      <c r="AE40" s="24"/>
      <c r="AF40" s="24">
        <v>71003</v>
      </c>
      <c r="AG40" s="24"/>
      <c r="AH40" s="25">
        <f t="shared" si="8"/>
        <v>4.004745931535543E-2</v>
      </c>
      <c r="AI40" s="25"/>
      <c r="AJ40" s="25"/>
      <c r="AK40" s="24"/>
      <c r="AL40" s="360">
        <f t="shared" si="9"/>
        <v>9.2221748866110065E-2</v>
      </c>
      <c r="AM40" s="360"/>
      <c r="AN40" s="24">
        <f t="shared" si="10"/>
        <v>2290.4193548387098</v>
      </c>
      <c r="AO40" s="370"/>
      <c r="AP40" s="1"/>
      <c r="AQ40" s="70">
        <f t="shared" si="17"/>
        <v>139404</v>
      </c>
      <c r="AR40" s="71"/>
      <c r="AS40" s="71">
        <v>3861549</v>
      </c>
      <c r="AT40" s="71"/>
      <c r="AU40" s="71">
        <f t="shared" si="12"/>
        <v>26183</v>
      </c>
      <c r="AV40" s="71"/>
      <c r="AW40" s="165">
        <f t="shared" ref="AW40:AW51" si="20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6"/>
        <v>517788</v>
      </c>
      <c r="BD40" s="71"/>
      <c r="BE40" s="80">
        <f t="shared" si="13"/>
        <v>0.13408815995860729</v>
      </c>
      <c r="BF40" s="71"/>
      <c r="BG40" s="92"/>
      <c r="BH40" s="193"/>
      <c r="BI40" s="1"/>
      <c r="BJ40">
        <f t="shared" si="11"/>
        <v>31</v>
      </c>
    </row>
    <row r="41" spans="2:62" x14ac:dyDescent="0.3">
      <c r="B41" s="181">
        <f t="shared" si="6"/>
        <v>43941</v>
      </c>
      <c r="C41" s="65"/>
      <c r="D41" s="17">
        <v>28143</v>
      </c>
      <c r="E41" s="16"/>
      <c r="F41" s="16"/>
      <c r="G41" s="16"/>
      <c r="H41" s="16">
        <f t="shared" si="18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 t="shared" si="2"/>
        <v>24939.34375</v>
      </c>
      <c r="O41" s="42"/>
      <c r="P41" s="1"/>
      <c r="Q41" s="35">
        <v>1952</v>
      </c>
      <c r="R41" s="34"/>
      <c r="S41" s="34"/>
      <c r="T41" s="34"/>
      <c r="U41" s="34">
        <f t="shared" si="19"/>
        <v>42853</v>
      </c>
      <c r="V41" s="34"/>
      <c r="W41" s="47">
        <f t="shared" si="4"/>
        <v>5.369653120884546E-2</v>
      </c>
      <c r="X41" s="34"/>
      <c r="Y41" s="34">
        <f t="shared" si="5"/>
        <v>1339.15625</v>
      </c>
      <c r="Z41" s="54"/>
      <c r="AA41" s="1"/>
      <c r="AB41" s="23">
        <f t="shared" si="7"/>
        <v>1386</v>
      </c>
      <c r="AC41" s="24"/>
      <c r="AD41" s="24"/>
      <c r="AE41" s="24"/>
      <c r="AF41" s="24">
        <v>72389</v>
      </c>
      <c r="AG41" s="24"/>
      <c r="AH41" s="25">
        <f t="shared" si="8"/>
        <v>1.9520301959072152E-2</v>
      </c>
      <c r="AI41" s="25"/>
      <c r="AJ41" s="25"/>
      <c r="AK41" s="24"/>
      <c r="AL41" s="360">
        <f t="shared" si="9"/>
        <v>9.0706326224000988E-2</v>
      </c>
      <c r="AM41" s="360"/>
      <c r="AN41" s="24">
        <f t="shared" si="10"/>
        <v>2262.15625</v>
      </c>
      <c r="AO41" s="370"/>
      <c r="AP41" s="1"/>
      <c r="AQ41" s="70">
        <f t="shared" si="17"/>
        <v>164811</v>
      </c>
      <c r="AR41" s="71"/>
      <c r="AS41" s="71">
        <v>4026360</v>
      </c>
      <c r="AT41" s="71"/>
      <c r="AU41" s="71">
        <f t="shared" si="12"/>
        <v>28143</v>
      </c>
      <c r="AV41" s="71"/>
      <c r="AW41" s="165">
        <f t="shared" si="20"/>
        <v>0.17075923330360232</v>
      </c>
      <c r="AX41" s="71"/>
      <c r="AY41" s="71"/>
      <c r="AZ41" s="71"/>
      <c r="BA41" s="71">
        <f t="shared" ref="BA41:BA59" si="21">+AS41/BJ41</f>
        <v>125823.75</v>
      </c>
      <c r="BB41" s="71"/>
      <c r="BC41" s="71">
        <f t="shared" si="16"/>
        <v>545931</v>
      </c>
      <c r="BD41" s="71"/>
      <c r="BE41" s="80">
        <f t="shared" si="13"/>
        <v>0.13558921705957738</v>
      </c>
      <c r="BF41" s="71"/>
      <c r="BG41" s="92"/>
      <c r="BH41" s="193"/>
      <c r="BI41" s="1"/>
      <c r="BJ41">
        <f t="shared" si="11"/>
        <v>32</v>
      </c>
    </row>
    <row r="42" spans="2:62" x14ac:dyDescent="0.3">
      <c r="B42" s="181">
        <f t="shared" si="6"/>
        <v>43942</v>
      </c>
      <c r="C42" s="65"/>
      <c r="D42" s="17">
        <v>26105</v>
      </c>
      <c r="E42" s="16"/>
      <c r="F42" s="16"/>
      <c r="G42" s="16"/>
      <c r="H42" s="16">
        <f t="shared" si="18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 t="shared" ref="N42:N59" si="22"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9"/>
        <v>45536</v>
      </c>
      <c r="V42" s="34"/>
      <c r="W42" s="47">
        <f t="shared" si="4"/>
        <v>5.5251139336345678E-2</v>
      </c>
      <c r="X42" s="34"/>
      <c r="Y42" s="34">
        <f t="shared" ref="Y42:Y59" si="23">+U42/BJ42</f>
        <v>1379.878787878788</v>
      </c>
      <c r="Z42" s="54"/>
      <c r="AA42" s="1"/>
      <c r="AB42" s="23">
        <f t="shared" si="7"/>
        <v>10534</v>
      </c>
      <c r="AC42" s="24"/>
      <c r="AD42" s="24"/>
      <c r="AE42" s="24"/>
      <c r="AF42" s="24">
        <v>82923</v>
      </c>
      <c r="AG42" s="24"/>
      <c r="AH42" s="25">
        <f t="shared" si="8"/>
        <v>0.14551934686209231</v>
      </c>
      <c r="AI42" s="25"/>
      <c r="AJ42" s="25"/>
      <c r="AK42" s="24"/>
      <c r="AL42" s="360">
        <f t="shared" si="9"/>
        <v>0.10061468348532573</v>
      </c>
      <c r="AM42" s="360"/>
      <c r="AN42" s="24">
        <f t="shared" si="10"/>
        <v>2512.818181818182</v>
      </c>
      <c r="AO42" s="370"/>
      <c r="AP42" s="1"/>
      <c r="AQ42" s="70">
        <f t="shared" si="17"/>
        <v>161032</v>
      </c>
      <c r="AR42" s="71"/>
      <c r="AS42" s="71">
        <v>4187392</v>
      </c>
      <c r="AT42" s="71"/>
      <c r="AU42" s="71">
        <f t="shared" si="12"/>
        <v>26105</v>
      </c>
      <c r="AV42" s="71"/>
      <c r="AW42" s="165">
        <f t="shared" si="20"/>
        <v>0.16211063639525064</v>
      </c>
      <c r="AX42" s="71"/>
      <c r="AY42" s="71"/>
      <c r="AZ42" s="71"/>
      <c r="BA42" s="71">
        <f t="shared" si="21"/>
        <v>126890.66666666667</v>
      </c>
      <c r="BB42" s="71"/>
      <c r="BC42" s="71">
        <f t="shared" si="16"/>
        <v>572036</v>
      </c>
      <c r="BD42" s="71"/>
      <c r="BE42" s="80">
        <f t="shared" si="13"/>
        <v>0.13660913523262211</v>
      </c>
      <c r="BF42" s="71"/>
      <c r="BG42" s="92"/>
      <c r="BH42" s="193"/>
      <c r="BI42" s="1"/>
      <c r="BJ42">
        <f t="shared" si="11"/>
        <v>33</v>
      </c>
    </row>
    <row r="43" spans="2:62" x14ac:dyDescent="0.3">
      <c r="B43" s="181">
        <f t="shared" si="6"/>
        <v>43943</v>
      </c>
      <c r="C43" s="65"/>
      <c r="D43" s="17">
        <v>30210</v>
      </c>
      <c r="E43" s="16"/>
      <c r="F43" s="16"/>
      <c r="G43" s="16"/>
      <c r="H43" s="16">
        <f t="shared" si="18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9"/>
        <v>47894</v>
      </c>
      <c r="V43" s="34"/>
      <c r="W43" s="47">
        <f t="shared" si="4"/>
        <v>5.6057417477591784E-2</v>
      </c>
      <c r="X43" s="34"/>
      <c r="Y43" s="34">
        <f t="shared" si="23"/>
        <v>1408.6470588235295</v>
      </c>
      <c r="Z43" s="54"/>
      <c r="AA43" s="1"/>
      <c r="AB43" s="23">
        <f t="shared" si="7"/>
        <v>1127</v>
      </c>
      <c r="AC43" s="24"/>
      <c r="AD43" s="24"/>
      <c r="AE43" s="24"/>
      <c r="AF43" s="24">
        <v>84050</v>
      </c>
      <c r="AG43" s="24"/>
      <c r="AH43" s="25">
        <f t="shared" si="8"/>
        <v>1.3590921698443134E-2</v>
      </c>
      <c r="AI43" s="25"/>
      <c r="AJ43" s="25"/>
      <c r="AK43" s="24"/>
      <c r="AL43" s="360">
        <f t="shared" si="9"/>
        <v>9.8376120996191363E-2</v>
      </c>
      <c r="AM43" s="360"/>
      <c r="AN43" s="24">
        <f t="shared" si="10"/>
        <v>2472.0588235294117</v>
      </c>
      <c r="AO43" s="370"/>
      <c r="AP43" s="1"/>
      <c r="AQ43" s="70">
        <f t="shared" si="17"/>
        <v>137950</v>
      </c>
      <c r="AR43" s="71"/>
      <c r="AS43" s="71">
        <v>4325342</v>
      </c>
      <c r="AT43" s="71"/>
      <c r="AU43" s="71">
        <f t="shared" si="12"/>
        <v>30210</v>
      </c>
      <c r="AV43" s="71"/>
      <c r="AW43" s="165">
        <f t="shared" si="20"/>
        <v>0.21899238854657485</v>
      </c>
      <c r="AX43" s="71"/>
      <c r="AY43" s="71"/>
      <c r="AZ43" s="71"/>
      <c r="BA43" s="71">
        <f t="shared" si="21"/>
        <v>127215.94117647059</v>
      </c>
      <c r="BB43" s="71"/>
      <c r="BC43" s="71">
        <f t="shared" si="16"/>
        <v>602246</v>
      </c>
      <c r="BD43" s="71"/>
      <c r="BE43" s="80">
        <f t="shared" si="13"/>
        <v>0.13923661990196382</v>
      </c>
      <c r="BF43" s="71"/>
      <c r="BG43" s="92"/>
      <c r="BH43" s="193"/>
      <c r="BI43" s="1"/>
      <c r="BJ43">
        <f t="shared" si="11"/>
        <v>34</v>
      </c>
    </row>
    <row r="44" spans="2:62" x14ac:dyDescent="0.3">
      <c r="B44" s="181">
        <f t="shared" si="6"/>
        <v>43944</v>
      </c>
      <c r="C44" s="65"/>
      <c r="D44" s="17">
        <v>31900</v>
      </c>
      <c r="E44" s="16"/>
      <c r="F44" s="16"/>
      <c r="G44" s="16"/>
      <c r="H44" s="16">
        <f t="shared" si="18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9"/>
        <v>50234</v>
      </c>
      <c r="V44" s="34"/>
      <c r="W44" s="47">
        <f t="shared" si="4"/>
        <v>5.6679988355745517E-2</v>
      </c>
      <c r="X44" s="34"/>
      <c r="Y44" s="34">
        <f t="shared" si="23"/>
        <v>1435.2571428571428</v>
      </c>
      <c r="Z44" s="54"/>
      <c r="AA44" s="1"/>
      <c r="AB44" s="23">
        <f t="shared" si="7"/>
        <v>1872</v>
      </c>
      <c r="AC44" s="24"/>
      <c r="AD44" s="24"/>
      <c r="AE44" s="24"/>
      <c r="AF44" s="24">
        <v>85922</v>
      </c>
      <c r="AG44" s="24"/>
      <c r="AH44" s="25">
        <f t="shared" si="8"/>
        <v>2.2272456870910173E-2</v>
      </c>
      <c r="AI44" s="25"/>
      <c r="AJ44" s="25"/>
      <c r="AK44" s="24"/>
      <c r="AL44" s="360">
        <f t="shared" si="9"/>
        <v>9.6947445146760486E-2</v>
      </c>
      <c r="AM44" s="360"/>
      <c r="AN44" s="24">
        <f t="shared" si="10"/>
        <v>2454.9142857142856</v>
      </c>
      <c r="AO44" s="370"/>
      <c r="AP44" s="1"/>
      <c r="AQ44" s="70">
        <f t="shared" si="17"/>
        <v>371362</v>
      </c>
      <c r="AR44" s="71"/>
      <c r="AS44" s="71">
        <v>4696704</v>
      </c>
      <c r="AT44" s="71"/>
      <c r="AU44" s="71">
        <f t="shared" si="12"/>
        <v>31900</v>
      </c>
      <c r="AV44" s="71"/>
      <c r="AW44" s="165">
        <f t="shared" si="20"/>
        <v>8.590001130971936E-2</v>
      </c>
      <c r="AX44" s="71"/>
      <c r="AY44" s="71"/>
      <c r="AZ44" s="71"/>
      <c r="BA44" s="71">
        <f t="shared" si="21"/>
        <v>134191.54285714286</v>
      </c>
      <c r="BB44" s="71"/>
      <c r="BC44" s="71">
        <f t="shared" si="16"/>
        <v>634146</v>
      </c>
      <c r="BD44" s="71"/>
      <c r="BE44" s="80">
        <f t="shared" si="13"/>
        <v>0.13501936677295398</v>
      </c>
      <c r="BF44" s="71"/>
      <c r="BG44" s="92"/>
      <c r="BH44" s="193"/>
      <c r="BI44" s="1"/>
      <c r="BJ44">
        <f t="shared" si="11"/>
        <v>35</v>
      </c>
    </row>
    <row r="45" spans="2:62" x14ac:dyDescent="0.3">
      <c r="B45" s="181">
        <f t="shared" si="6"/>
        <v>43945</v>
      </c>
      <c r="C45" s="65"/>
      <c r="D45" s="17">
        <v>38764</v>
      </c>
      <c r="E45" s="16"/>
      <c r="F45" s="16"/>
      <c r="G45" s="16"/>
      <c r="H45" s="16">
        <f t="shared" si="18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 t="shared" si="22"/>
        <v>25695.5</v>
      </c>
      <c r="O45" s="42"/>
      <c r="P45" s="1"/>
      <c r="Q45" s="35">
        <v>1957</v>
      </c>
      <c r="R45" s="34"/>
      <c r="S45" s="34"/>
      <c r="T45" s="34"/>
      <c r="U45" s="34">
        <f t="shared" si="19"/>
        <v>52191</v>
      </c>
      <c r="V45" s="34"/>
      <c r="W45" s="47">
        <f t="shared" si="4"/>
        <v>5.6420384892296317E-2</v>
      </c>
      <c r="X45" s="34"/>
      <c r="Y45" s="34">
        <f t="shared" si="23"/>
        <v>1449.75</v>
      </c>
      <c r="Z45" s="54"/>
      <c r="AA45" s="1"/>
      <c r="AB45" s="23">
        <f t="shared" si="7"/>
        <v>24510</v>
      </c>
      <c r="AC45" s="24"/>
      <c r="AD45" s="24"/>
      <c r="AE45" s="24"/>
      <c r="AF45" s="24">
        <v>110432</v>
      </c>
      <c r="AG45" s="24"/>
      <c r="AH45" s="25">
        <f t="shared" si="8"/>
        <v>0.28525872302786248</v>
      </c>
      <c r="AI45" s="25"/>
      <c r="AJ45" s="25"/>
      <c r="AK45" s="24"/>
      <c r="AL45" s="360">
        <f t="shared" si="9"/>
        <v>0.11938104164369463</v>
      </c>
      <c r="AM45" s="360"/>
      <c r="AN45" s="24">
        <f t="shared" si="10"/>
        <v>3067.5555555555557</v>
      </c>
      <c r="AO45" s="370"/>
      <c r="AP45" s="1"/>
      <c r="AQ45" s="70">
        <f t="shared" si="17"/>
        <v>318898</v>
      </c>
      <c r="AR45" s="71"/>
      <c r="AS45" s="71">
        <v>5015602</v>
      </c>
      <c r="AT45" s="71"/>
      <c r="AU45" s="71">
        <f t="shared" si="12"/>
        <v>38764</v>
      </c>
      <c r="AV45" s="71"/>
      <c r="AW45" s="165">
        <f t="shared" si="20"/>
        <v>0.12155610884985167</v>
      </c>
      <c r="AX45" s="71"/>
      <c r="AY45" s="71"/>
      <c r="AZ45" s="71"/>
      <c r="BA45" s="71">
        <f t="shared" si="21"/>
        <v>139322.27777777778</v>
      </c>
      <c r="BB45" s="71"/>
      <c r="BC45" s="71">
        <f t="shared" si="16"/>
        <v>672910</v>
      </c>
      <c r="BD45" s="71"/>
      <c r="BE45" s="80">
        <f t="shared" si="13"/>
        <v>0.13416335666187229</v>
      </c>
      <c r="BF45" s="71"/>
      <c r="BG45" s="92"/>
      <c r="BH45" s="193"/>
      <c r="BI45" s="1"/>
      <c r="BJ45">
        <f t="shared" si="11"/>
        <v>36</v>
      </c>
    </row>
    <row r="46" spans="2:62" x14ac:dyDescent="0.3">
      <c r="B46" s="181">
        <f t="shared" si="6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9"/>
        <v>54256</v>
      </c>
      <c r="V46" s="34"/>
      <c r="W46" s="47">
        <f t="shared" si="4"/>
        <v>5.6478367273859083E-2</v>
      </c>
      <c r="X46" s="34"/>
      <c r="Y46" s="34">
        <f t="shared" si="23"/>
        <v>1466.3783783783783</v>
      </c>
      <c r="Z46" s="54"/>
      <c r="AA46" s="1"/>
      <c r="AB46" s="23">
        <f t="shared" si="7"/>
        <v>7730</v>
      </c>
      <c r="AC46" s="24"/>
      <c r="AD46" s="24"/>
      <c r="AE46" s="24"/>
      <c r="AF46" s="24">
        <v>118162</v>
      </c>
      <c r="AG46" s="24"/>
      <c r="AH46" s="25">
        <f t="shared" si="8"/>
        <v>6.9997826716893655E-2</v>
      </c>
      <c r="AI46" s="25"/>
      <c r="AJ46" s="25"/>
      <c r="AK46" s="24"/>
      <c r="AL46" s="360">
        <f t="shared" si="9"/>
        <v>0.12300200593139445</v>
      </c>
      <c r="AM46" s="360"/>
      <c r="AN46" s="24">
        <f t="shared" si="10"/>
        <v>3193.5675675675675</v>
      </c>
      <c r="AO46" s="370"/>
      <c r="AP46" s="1"/>
      <c r="AQ46" s="70">
        <f t="shared" si="17"/>
        <v>263635</v>
      </c>
      <c r="AR46" s="71"/>
      <c r="AS46" s="71">
        <v>5279237</v>
      </c>
      <c r="AT46" s="71"/>
      <c r="AU46" s="71">
        <f t="shared" si="12"/>
        <v>35419</v>
      </c>
      <c r="AV46" s="71"/>
      <c r="AW46" s="165">
        <f t="shared" si="20"/>
        <v>0.13434862594116867</v>
      </c>
      <c r="AX46" s="71"/>
      <c r="AY46" s="71"/>
      <c r="AZ46" s="71"/>
      <c r="BA46" s="71">
        <f t="shared" si="21"/>
        <v>142682.08108108109</v>
      </c>
      <c r="BB46" s="71"/>
      <c r="BC46" s="71">
        <f t="shared" si="16"/>
        <v>708329</v>
      </c>
      <c r="BD46" s="71"/>
      <c r="BE46" s="80">
        <f t="shared" si="13"/>
        <v>0.13417260865537955</v>
      </c>
      <c r="BF46" s="71"/>
      <c r="BG46" s="92"/>
      <c r="BH46" s="193"/>
      <c r="BI46" s="1"/>
      <c r="BJ46">
        <f t="shared" si="11"/>
        <v>37</v>
      </c>
    </row>
    <row r="47" spans="2:62" x14ac:dyDescent="0.3">
      <c r="B47" s="181">
        <f t="shared" si="6"/>
        <v>43947</v>
      </c>
      <c r="C47" s="65"/>
      <c r="D47" s="17">
        <v>26509</v>
      </c>
      <c r="E47" s="16"/>
      <c r="F47" s="16"/>
      <c r="G47" s="16"/>
      <c r="H47" s="16">
        <f t="shared" ref="H47:H52" si="24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2"/>
      <c r="P47" s="1"/>
      <c r="Q47" s="35">
        <v>1156</v>
      </c>
      <c r="R47" s="34"/>
      <c r="S47" s="34"/>
      <c r="T47" s="34"/>
      <c r="U47" s="34">
        <f t="shared" si="19"/>
        <v>55412</v>
      </c>
      <c r="V47" s="34"/>
      <c r="W47" s="47">
        <f t="shared" si="4"/>
        <v>5.6132744438591516E-2</v>
      </c>
      <c r="X47" s="34"/>
      <c r="Y47" s="34">
        <f t="shared" si="23"/>
        <v>1458.2105263157894</v>
      </c>
      <c r="Z47" s="54"/>
      <c r="AA47" s="1"/>
      <c r="AB47" s="23">
        <f t="shared" si="7"/>
        <v>619</v>
      </c>
      <c r="AC47" s="24"/>
      <c r="AD47" s="24"/>
      <c r="AE47" s="24"/>
      <c r="AF47" s="24">
        <v>118781</v>
      </c>
      <c r="AG47" s="24"/>
      <c r="AH47" s="25">
        <f t="shared" si="8"/>
        <v>5.238570775714697E-3</v>
      </c>
      <c r="AI47" s="25"/>
      <c r="AJ47" s="25"/>
      <c r="AK47" s="24"/>
      <c r="AL47" s="360">
        <f t="shared" si="9"/>
        <v>0.12032598565582074</v>
      </c>
      <c r="AM47" s="360"/>
      <c r="AN47" s="24">
        <f t="shared" si="10"/>
        <v>3125.8157894736842</v>
      </c>
      <c r="AO47" s="370"/>
      <c r="AP47" s="1"/>
      <c r="AQ47" s="70">
        <f t="shared" si="17"/>
        <v>191227</v>
      </c>
      <c r="AR47" s="71"/>
      <c r="AS47" s="71">
        <v>5470464</v>
      </c>
      <c r="AT47" s="71"/>
      <c r="AU47" s="71">
        <f t="shared" si="12"/>
        <v>26509</v>
      </c>
      <c r="AV47" s="71"/>
      <c r="AW47" s="165">
        <f t="shared" si="20"/>
        <v>0.13862582166744236</v>
      </c>
      <c r="AX47" s="71"/>
      <c r="AY47" s="71"/>
      <c r="AZ47" s="71"/>
      <c r="BA47" s="71">
        <f t="shared" si="21"/>
        <v>143959.57894736843</v>
      </c>
      <c r="BB47" s="71"/>
      <c r="BC47" s="71">
        <f t="shared" si="16"/>
        <v>734838</v>
      </c>
      <c r="BD47" s="71"/>
      <c r="BE47" s="80">
        <f t="shared" si="13"/>
        <v>0.13432827635827602</v>
      </c>
      <c r="BF47" s="71"/>
      <c r="BG47" s="92"/>
      <c r="BH47" s="193"/>
      <c r="BI47" s="1"/>
      <c r="BJ47">
        <f t="shared" si="11"/>
        <v>38</v>
      </c>
    </row>
    <row r="48" spans="2:62" x14ac:dyDescent="0.3">
      <c r="B48" s="181">
        <f t="shared" si="6"/>
        <v>43948</v>
      </c>
      <c r="C48" s="65"/>
      <c r="D48" s="17">
        <v>23196</v>
      </c>
      <c r="E48" s="16"/>
      <c r="F48" s="16"/>
      <c r="G48" s="16"/>
      <c r="H48" s="16">
        <f t="shared" si="24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2"/>
      <c r="P48" s="1"/>
      <c r="Q48" s="35">
        <f>1384-1</f>
        <v>1383</v>
      </c>
      <c r="R48" s="34"/>
      <c r="S48" s="34"/>
      <c r="T48" s="34"/>
      <c r="U48" s="34">
        <f t="shared" si="19"/>
        <v>56795</v>
      </c>
      <c r="V48" s="34"/>
      <c r="W48" s="47">
        <f t="shared" si="4"/>
        <v>5.6212859625716087E-2</v>
      </c>
      <c r="X48" s="34"/>
      <c r="Y48" s="34">
        <f t="shared" si="23"/>
        <v>1456.2820512820513</v>
      </c>
      <c r="Z48" s="54"/>
      <c r="AA48" s="1"/>
      <c r="AB48" s="23">
        <f t="shared" si="7"/>
        <v>19024</v>
      </c>
      <c r="AC48" s="24"/>
      <c r="AD48" s="24"/>
      <c r="AE48" s="24"/>
      <c r="AF48" s="24">
        <v>137805</v>
      </c>
      <c r="AG48" s="24"/>
      <c r="AH48" s="25">
        <f t="shared" si="8"/>
        <v>0.16016029499667456</v>
      </c>
      <c r="AI48" s="25"/>
      <c r="AJ48" s="25"/>
      <c r="AK48" s="24"/>
      <c r="AL48" s="360">
        <f t="shared" si="9"/>
        <v>0.13639251907248534</v>
      </c>
      <c r="AM48" s="360"/>
      <c r="AN48" s="24">
        <f t="shared" si="10"/>
        <v>3533.4615384615386</v>
      </c>
      <c r="AO48" s="370"/>
      <c r="AP48" s="1"/>
      <c r="AQ48" s="70">
        <f t="shared" si="17"/>
        <v>202776</v>
      </c>
      <c r="AR48" s="71"/>
      <c r="AS48" s="71">
        <v>5673240</v>
      </c>
      <c r="AT48" s="71"/>
      <c r="AU48" s="71">
        <f t="shared" si="12"/>
        <v>23196</v>
      </c>
      <c r="AV48" s="71"/>
      <c r="AW48" s="165">
        <f t="shared" si="20"/>
        <v>0.11439223576754645</v>
      </c>
      <c r="AX48" s="71"/>
      <c r="AY48" s="71"/>
      <c r="AZ48" s="71"/>
      <c r="BA48" s="71">
        <f t="shared" si="21"/>
        <v>145467.69230769231</v>
      </c>
      <c r="BB48" s="71"/>
      <c r="BC48" s="71">
        <f t="shared" si="16"/>
        <v>758034</v>
      </c>
      <c r="BD48" s="71"/>
      <c r="BE48" s="80">
        <f t="shared" si="13"/>
        <v>0.133615711656831</v>
      </c>
      <c r="BF48" s="71"/>
      <c r="BG48" s="92"/>
      <c r="BH48" s="193"/>
      <c r="BI48" s="1"/>
      <c r="BJ48">
        <f t="shared" si="11"/>
        <v>39</v>
      </c>
    </row>
    <row r="49" spans="2:66" x14ac:dyDescent="0.3">
      <c r="B49" s="181">
        <f t="shared" si="6"/>
        <v>43949</v>
      </c>
      <c r="C49" s="65"/>
      <c r="D49" s="17">
        <v>25409</v>
      </c>
      <c r="E49" s="16"/>
      <c r="F49" s="16"/>
      <c r="G49" s="16"/>
      <c r="H49" s="16">
        <f t="shared" si="24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 t="shared" si="22"/>
        <v>25894.125</v>
      </c>
      <c r="O49" s="42"/>
      <c r="P49" s="1"/>
      <c r="Q49" s="35">
        <v>2470</v>
      </c>
      <c r="R49" s="34"/>
      <c r="S49" s="34"/>
      <c r="T49" s="34"/>
      <c r="U49" s="34">
        <f t="shared" si="19"/>
        <v>59265</v>
      </c>
      <c r="V49" s="34"/>
      <c r="W49" s="47">
        <f t="shared" si="4"/>
        <v>5.7218577573098145E-2</v>
      </c>
      <c r="X49" s="34"/>
      <c r="Y49" s="34">
        <f t="shared" si="23"/>
        <v>1481.625</v>
      </c>
      <c r="Z49" s="54"/>
      <c r="AA49" s="1"/>
      <c r="AB49" s="23">
        <f t="shared" si="7"/>
        <v>4146</v>
      </c>
      <c r="AC49" s="24"/>
      <c r="AD49" s="24"/>
      <c r="AE49" s="24"/>
      <c r="AF49" s="24">
        <v>141951</v>
      </c>
      <c r="AG49" s="24"/>
      <c r="AH49" s="25">
        <f t="shared" si="8"/>
        <v>3.0085991074344183E-2</v>
      </c>
      <c r="AI49" s="25"/>
      <c r="AJ49" s="25"/>
      <c r="AK49" s="24"/>
      <c r="AL49" s="360">
        <f t="shared" si="9"/>
        <v>0.13704942723494229</v>
      </c>
      <c r="AM49" s="360"/>
      <c r="AN49" s="24">
        <f t="shared" si="10"/>
        <v>3548.7750000000001</v>
      </c>
      <c r="AO49" s="370"/>
      <c r="AP49" s="1"/>
      <c r="AQ49" s="70">
        <f t="shared" si="17"/>
        <v>187926</v>
      </c>
      <c r="AR49" s="71"/>
      <c r="AS49" s="71">
        <v>5861166</v>
      </c>
      <c r="AT49" s="71"/>
      <c r="AU49" s="71">
        <f t="shared" si="12"/>
        <v>25409</v>
      </c>
      <c r="AV49" s="71"/>
      <c r="AW49" s="165">
        <f t="shared" si="20"/>
        <v>0.13520747528282409</v>
      </c>
      <c r="AX49" s="71"/>
      <c r="AY49" s="71"/>
      <c r="AZ49" s="71"/>
      <c r="BA49" s="71">
        <f t="shared" si="21"/>
        <v>146529.15</v>
      </c>
      <c r="BB49" s="71"/>
      <c r="BC49" s="71">
        <f t="shared" si="16"/>
        <v>783443</v>
      </c>
      <c r="BD49" s="71"/>
      <c r="BE49" s="80">
        <f t="shared" si="13"/>
        <v>0.13366674822040528</v>
      </c>
      <c r="BF49" s="71"/>
      <c r="BG49" s="92"/>
      <c r="BH49" s="193"/>
      <c r="BI49" s="1"/>
      <c r="BJ49">
        <f t="shared" si="11"/>
        <v>40</v>
      </c>
    </row>
    <row r="50" spans="2:66" x14ac:dyDescent="0.3">
      <c r="B50" s="181">
        <f t="shared" si="6"/>
        <v>43950</v>
      </c>
      <c r="C50" s="65"/>
      <c r="D50" s="17">
        <v>28429</v>
      </c>
      <c r="E50" s="16"/>
      <c r="F50" s="16"/>
      <c r="G50" s="16"/>
      <c r="H50" s="16">
        <f t="shared" si="24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9"/>
        <v>61655</v>
      </c>
      <c r="V50" s="34"/>
      <c r="W50" s="47">
        <f t="shared" si="4"/>
        <v>5.7935865077232161E-2</v>
      </c>
      <c r="X50" s="34"/>
      <c r="Y50" s="34">
        <f t="shared" si="23"/>
        <v>1503.780487804878</v>
      </c>
      <c r="Z50" s="54"/>
      <c r="AA50" s="1"/>
      <c r="AB50" s="23">
        <f t="shared" si="7"/>
        <v>5460</v>
      </c>
      <c r="AC50" s="24"/>
      <c r="AD50" s="24"/>
      <c r="AE50" s="24"/>
      <c r="AF50" s="24">
        <v>147411</v>
      </c>
      <c r="AG50" s="24"/>
      <c r="AH50" s="25">
        <f t="shared" si="8"/>
        <v>3.8463977006150007E-2</v>
      </c>
      <c r="AI50" s="25"/>
      <c r="AJ50" s="25"/>
      <c r="AK50" s="24"/>
      <c r="AL50" s="360">
        <f t="shared" si="9"/>
        <v>0.13851891666369101</v>
      </c>
      <c r="AM50" s="360"/>
      <c r="AN50" s="24">
        <f t="shared" si="10"/>
        <v>3595.3902439024391</v>
      </c>
      <c r="AO50" s="370"/>
      <c r="AP50" s="1"/>
      <c r="AQ50" s="70">
        <f t="shared" si="17"/>
        <v>278745</v>
      </c>
      <c r="AR50" s="71"/>
      <c r="AS50" s="71">
        <v>6139911</v>
      </c>
      <c r="AT50" s="71"/>
      <c r="AU50" s="71">
        <f t="shared" si="12"/>
        <v>28429</v>
      </c>
      <c r="AV50" s="71"/>
      <c r="AW50" s="165">
        <f t="shared" si="20"/>
        <v>0.10198927335019463</v>
      </c>
      <c r="AX50" s="71"/>
      <c r="AY50" s="71"/>
      <c r="AZ50" s="71"/>
      <c r="BA50" s="71">
        <f t="shared" si="21"/>
        <v>149753.92682926828</v>
      </c>
      <c r="BB50" s="71"/>
      <c r="BC50" s="71">
        <f t="shared" si="16"/>
        <v>811872</v>
      </c>
      <c r="BD50" s="71"/>
      <c r="BE50" s="80">
        <f t="shared" si="13"/>
        <v>0.13222862676673977</v>
      </c>
      <c r="BF50" s="71"/>
      <c r="BG50" s="92"/>
      <c r="BH50" s="193"/>
      <c r="BI50" s="1"/>
      <c r="BJ50">
        <f t="shared" si="11"/>
        <v>41</v>
      </c>
    </row>
    <row r="51" spans="2:66" x14ac:dyDescent="0.3">
      <c r="B51" s="181">
        <f t="shared" si="6"/>
        <v>43951</v>
      </c>
      <c r="C51" s="65"/>
      <c r="D51" s="17">
        <v>30829</v>
      </c>
      <c r="E51" s="16"/>
      <c r="F51" s="16"/>
      <c r="G51" s="16"/>
      <c r="H51" s="16">
        <f t="shared" si="24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9"/>
        <v>63856</v>
      </c>
      <c r="V51" s="34"/>
      <c r="W51" s="47">
        <f t="shared" si="4"/>
        <v>5.8314756858988348E-2</v>
      </c>
      <c r="X51" s="34"/>
      <c r="Y51" s="34">
        <f t="shared" si="23"/>
        <v>1520.3809523809523</v>
      </c>
      <c r="Z51" s="54"/>
      <c r="AA51" s="1"/>
      <c r="AB51" s="23">
        <f t="shared" si="7"/>
        <v>4913</v>
      </c>
      <c r="AC51" s="24"/>
      <c r="AD51" s="24"/>
      <c r="AE51" s="24"/>
      <c r="AF51" s="24">
        <v>152324</v>
      </c>
      <c r="AG51" s="24"/>
      <c r="AH51" s="25">
        <f t="shared" si="8"/>
        <v>3.3328584705347636E-2</v>
      </c>
      <c r="AI51" s="25"/>
      <c r="AJ51" s="25"/>
      <c r="AK51" s="24"/>
      <c r="AL51" s="360">
        <f t="shared" si="9"/>
        <v>0.13910575394306787</v>
      </c>
      <c r="AM51" s="360"/>
      <c r="AN51" s="24">
        <f t="shared" si="10"/>
        <v>3626.7619047619046</v>
      </c>
      <c r="AO51" s="370"/>
      <c r="AP51" s="1"/>
      <c r="AQ51" s="70">
        <f t="shared" si="17"/>
        <v>236535</v>
      </c>
      <c r="AR51" s="71"/>
      <c r="AS51" s="71">
        <v>6376446</v>
      </c>
      <c r="AT51" s="71"/>
      <c r="AU51" s="71">
        <f t="shared" si="12"/>
        <v>30829</v>
      </c>
      <c r="AV51" s="71"/>
      <c r="AW51" s="165">
        <f t="shared" si="20"/>
        <v>0.13033589109434121</v>
      </c>
      <c r="AX51" s="71"/>
      <c r="AY51" s="71"/>
      <c r="AZ51" s="71"/>
      <c r="BA51" s="71">
        <f t="shared" si="21"/>
        <v>151820.14285714287</v>
      </c>
      <c r="BB51" s="71"/>
      <c r="BC51" s="71">
        <f t="shared" si="16"/>
        <v>842701</v>
      </c>
      <c r="BD51" s="71"/>
      <c r="BE51" s="80">
        <f t="shared" si="13"/>
        <v>0.13215841551861335</v>
      </c>
      <c r="BF51" s="71"/>
      <c r="BG51" s="92"/>
      <c r="BH51" s="193"/>
      <c r="BI51" s="1"/>
      <c r="BJ51">
        <f t="shared" si="11"/>
        <v>42</v>
      </c>
    </row>
    <row r="52" spans="2:66" x14ac:dyDescent="0.3">
      <c r="B52" s="181">
        <f t="shared" si="6"/>
        <v>43952</v>
      </c>
      <c r="C52" s="65"/>
      <c r="D52" s="17">
        <v>36007</v>
      </c>
      <c r="E52" s="16"/>
      <c r="F52" s="16"/>
      <c r="G52" s="16"/>
      <c r="H52" s="16">
        <f t="shared" si="24"/>
        <v>1131030</v>
      </c>
      <c r="I52" s="16"/>
      <c r="J52" s="39">
        <f t="shared" ref="J52" si="25">+D52/H51</f>
        <v>3.2882414341981858E-2</v>
      </c>
      <c r="K52" s="16"/>
      <c r="L52" s="16"/>
      <c r="M52" s="16"/>
      <c r="N52" s="16">
        <f t="shared" si="22"/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" si="26">+U51+Q52</f>
        <v>65753</v>
      </c>
      <c r="V52" s="34"/>
      <c r="W52" s="47">
        <f t="shared" ref="W52" si="27">+U52/H52</f>
        <v>5.8135504805354413E-2</v>
      </c>
      <c r="X52" s="34"/>
      <c r="Y52" s="34">
        <f t="shared" si="23"/>
        <v>1529.1395348837209</v>
      </c>
      <c r="Z52" s="54"/>
      <c r="AA52" s="1"/>
      <c r="AB52" s="23">
        <f t="shared" ref="AB52" si="28">+AF52-AF51</f>
        <v>9239</v>
      </c>
      <c r="AC52" s="24"/>
      <c r="AD52" s="24"/>
      <c r="AE52" s="24"/>
      <c r="AF52" s="24">
        <v>161563</v>
      </c>
      <c r="AG52" s="24"/>
      <c r="AH52" s="25">
        <f t="shared" ref="AH52" si="29">+AB52/AF51</f>
        <v>6.0653606785536093E-2</v>
      </c>
      <c r="AI52" s="25"/>
      <c r="AJ52" s="25"/>
      <c r="AK52" s="24"/>
      <c r="AL52" s="360">
        <f t="shared" si="9"/>
        <v>0.14284590152339019</v>
      </c>
      <c r="AM52" s="360"/>
      <c r="AN52" s="24">
        <f t="shared" si="10"/>
        <v>3757.2790697674418</v>
      </c>
      <c r="AO52" s="370"/>
      <c r="AP52" s="1"/>
      <c r="AQ52" s="70">
        <f t="shared" ref="AQ52" si="30">+AS52-AS51</f>
        <v>323432</v>
      </c>
      <c r="AR52" s="71"/>
      <c r="AS52" s="71">
        <v>6699878</v>
      </c>
      <c r="AT52" s="71"/>
      <c r="AU52" s="71">
        <f t="shared" si="12"/>
        <v>36007</v>
      </c>
      <c r="AV52" s="71"/>
      <c r="AW52" s="165">
        <f t="shared" ref="AW52" si="31">+AU52/AQ52</f>
        <v>0.11132788344999876</v>
      </c>
      <c r="AX52" s="71"/>
      <c r="AY52" s="71"/>
      <c r="AZ52" s="71"/>
      <c r="BA52" s="71">
        <f t="shared" si="21"/>
        <v>155811.11627906977</v>
      </c>
      <c r="BB52" s="71"/>
      <c r="BC52" s="71">
        <f t="shared" ref="BC52" si="32">+BC51+AU52</f>
        <v>878708</v>
      </c>
      <c r="BD52" s="71"/>
      <c r="BE52" s="80">
        <f t="shared" si="13"/>
        <v>0.13115283591731072</v>
      </c>
      <c r="BF52" s="71"/>
      <c r="BG52" s="92"/>
      <c r="BH52" s="193"/>
      <c r="BI52" s="1"/>
      <c r="BJ52">
        <f t="shared" si="11"/>
        <v>43</v>
      </c>
    </row>
    <row r="53" spans="2:66" x14ac:dyDescent="0.3">
      <c r="B53" s="181">
        <f t="shared" si="6"/>
        <v>43953</v>
      </c>
      <c r="C53" s="65"/>
      <c r="D53" s="17">
        <v>29744</v>
      </c>
      <c r="E53" s="16"/>
      <c r="F53" s="16"/>
      <c r="G53" s="16"/>
      <c r="H53" s="16">
        <f t="shared" ref="H53" si="33">+H52+D53</f>
        <v>1160774</v>
      </c>
      <c r="I53" s="16"/>
      <c r="J53" s="39">
        <f t="shared" ref="J53" si="34">+D53/H52</f>
        <v>2.6298153010972301E-2</v>
      </c>
      <c r="K53" s="16"/>
      <c r="L53" s="16"/>
      <c r="M53" s="16"/>
      <c r="N53" s="16">
        <f t="shared" si="22"/>
        <v>26381.227272727272</v>
      </c>
      <c r="O53" s="42"/>
      <c r="P53" s="1"/>
      <c r="Q53" s="35">
        <v>1691</v>
      </c>
      <c r="R53" s="34"/>
      <c r="S53" s="34"/>
      <c r="T53" s="34"/>
      <c r="U53" s="34">
        <f t="shared" ref="U53" si="35">+U52+Q53</f>
        <v>67444</v>
      </c>
      <c r="V53" s="34"/>
      <c r="W53" s="47">
        <f t="shared" ref="W53" si="36">+U53/H53</f>
        <v>5.810261084414365E-2</v>
      </c>
      <c r="X53" s="34"/>
      <c r="Y53" s="34">
        <f t="shared" si="23"/>
        <v>1532.8181818181818</v>
      </c>
      <c r="Z53" s="54"/>
      <c r="AA53" s="1"/>
      <c r="AB53" s="23">
        <f t="shared" ref="AB53" si="37">+AF53-AF52</f>
        <v>11755</v>
      </c>
      <c r="AC53" s="24"/>
      <c r="AD53" s="24"/>
      <c r="AE53" s="24"/>
      <c r="AF53" s="24">
        <v>173318</v>
      </c>
      <c r="AG53" s="24"/>
      <c r="AH53" s="25">
        <f t="shared" ref="AH53" si="38">+AB53/AF52</f>
        <v>7.2757995333089881E-2</v>
      </c>
      <c r="AI53" s="25"/>
      <c r="AJ53" s="25"/>
      <c r="AK53" s="24"/>
      <c r="AL53" s="360">
        <f t="shared" si="9"/>
        <v>0.14931244152608519</v>
      </c>
      <c r="AM53" s="360"/>
      <c r="AN53" s="24">
        <f t="shared" si="10"/>
        <v>3939.0454545454545</v>
      </c>
      <c r="AO53" s="370"/>
      <c r="AP53" s="1"/>
      <c r="AQ53" s="70">
        <f t="shared" ref="AQ53" si="39">+AS53-AS52</f>
        <v>231254</v>
      </c>
      <c r="AR53" s="71"/>
      <c r="AS53" s="71">
        <v>6931132</v>
      </c>
      <c r="AT53" s="71"/>
      <c r="AU53" s="71">
        <f t="shared" si="12"/>
        <v>29744</v>
      </c>
      <c r="AV53" s="71"/>
      <c r="AW53" s="165">
        <f t="shared" ref="AW53" si="40">+AU53/AQ53</f>
        <v>0.12862047791605766</v>
      </c>
      <c r="AX53" s="71"/>
      <c r="AY53" s="71"/>
      <c r="AZ53" s="71"/>
      <c r="BA53" s="71">
        <f t="shared" si="21"/>
        <v>157525.72727272726</v>
      </c>
      <c r="BB53" s="71"/>
      <c r="BC53" s="71">
        <f t="shared" ref="BC53" si="41">+BC52+AU53</f>
        <v>908452</v>
      </c>
      <c r="BD53" s="71"/>
      <c r="BE53" s="80">
        <f t="shared" si="13"/>
        <v>0.13106834496875835</v>
      </c>
      <c r="BF53" s="71"/>
      <c r="BG53" s="92"/>
      <c r="BH53" s="193"/>
      <c r="BI53" s="1"/>
      <c r="BJ53">
        <f t="shared" si="11"/>
        <v>44</v>
      </c>
    </row>
    <row r="54" spans="2:66" x14ac:dyDescent="0.3">
      <c r="B54" s="181">
        <f t="shared" si="6"/>
        <v>43954</v>
      </c>
      <c r="C54" s="65"/>
      <c r="D54" s="17">
        <v>27348</v>
      </c>
      <c r="E54" s="16"/>
      <c r="F54" s="16"/>
      <c r="G54" s="16"/>
      <c r="H54" s="16">
        <f t="shared" ref="H54" si="42">+H53+D54</f>
        <v>1188122</v>
      </c>
      <c r="I54" s="16"/>
      <c r="J54" s="39">
        <f t="shared" ref="J54" si="43">+D54/H53</f>
        <v>2.356014176747584E-2</v>
      </c>
      <c r="K54" s="16"/>
      <c r="L54" s="16"/>
      <c r="M54" s="16"/>
      <c r="N54" s="16">
        <f t="shared" si="22"/>
        <v>26402.711111111112</v>
      </c>
      <c r="O54" s="42"/>
      <c r="P54" s="1"/>
      <c r="Q54" s="35">
        <v>1153</v>
      </c>
      <c r="R54" s="34"/>
      <c r="S54" s="34"/>
      <c r="T54" s="34"/>
      <c r="U54" s="34">
        <f t="shared" ref="U54" si="44">+U53+Q54</f>
        <v>68597</v>
      </c>
      <c r="V54" s="34"/>
      <c r="W54" s="47">
        <f t="shared" ref="W54" si="45">+U54/H54</f>
        <v>5.7735653409330019E-2</v>
      </c>
      <c r="X54" s="34"/>
      <c r="Y54" s="34">
        <f t="shared" si="23"/>
        <v>1524.3777777777777</v>
      </c>
      <c r="Z54" s="54"/>
      <c r="AA54" s="1"/>
      <c r="AB54" s="23">
        <f t="shared" ref="AB54" si="46">+AF54-AF53</f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ref="AH54" si="47">+AB54/AF53</f>
        <v>2.8531370082738088E-2</v>
      </c>
      <c r="AI54" s="25"/>
      <c r="AJ54" s="25"/>
      <c r="AK54" s="24"/>
      <c r="AL54" s="360">
        <f t="shared" si="9"/>
        <v>0.15003762239904656</v>
      </c>
      <c r="AM54" s="360"/>
      <c r="AN54" s="24">
        <f t="shared" si="10"/>
        <v>3961.4</v>
      </c>
      <c r="AO54" s="370"/>
      <c r="AP54" s="1"/>
      <c r="AQ54" s="70">
        <f t="shared" ref="AQ54" si="48">+AS54-AS53</f>
        <v>265608</v>
      </c>
      <c r="AR54" s="71"/>
      <c r="AS54" s="71">
        <v>7196740</v>
      </c>
      <c r="AT54" s="71"/>
      <c r="AU54" s="71">
        <f t="shared" si="12"/>
        <v>27348</v>
      </c>
      <c r="AV54" s="71"/>
      <c r="AW54" s="165">
        <f t="shared" ref="AW54" si="49">+AU54/AQ54</f>
        <v>0.10296376615162194</v>
      </c>
      <c r="AX54" s="71"/>
      <c r="AY54" s="71"/>
      <c r="AZ54" s="71"/>
      <c r="BA54" s="71">
        <f t="shared" si="21"/>
        <v>159927.55555555556</v>
      </c>
      <c r="BB54" s="71"/>
      <c r="BC54" s="71">
        <f t="shared" ref="BC54" si="50">+BC53+AU54</f>
        <v>935800</v>
      </c>
      <c r="BD54" s="71"/>
      <c r="BE54" s="80">
        <f t="shared" si="13"/>
        <v>0.13003109741355112</v>
      </c>
      <c r="BF54" s="71"/>
      <c r="BG54" s="92"/>
      <c r="BH54" s="193"/>
      <c r="BI54" s="1"/>
      <c r="BJ54">
        <f t="shared" si="11"/>
        <v>45</v>
      </c>
    </row>
    <row r="55" spans="2:66" x14ac:dyDescent="0.3">
      <c r="B55" s="181">
        <f t="shared" si="6"/>
        <v>43955</v>
      </c>
      <c r="C55" s="65"/>
      <c r="D55" s="17">
        <v>24713</v>
      </c>
      <c r="E55" s="16"/>
      <c r="F55" s="16"/>
      <c r="G55" s="16"/>
      <c r="H55" s="16">
        <f t="shared" ref="H55" si="51">+H54+D55</f>
        <v>1212835</v>
      </c>
      <c r="I55" s="16"/>
      <c r="J55" s="39">
        <f t="shared" ref="J55" si="52">+D55/H54</f>
        <v>2.0800052519859072E-2</v>
      </c>
      <c r="K55" s="16"/>
      <c r="L55" s="16"/>
      <c r="M55" s="16"/>
      <c r="N55" s="16">
        <f t="shared" si="22"/>
        <v>26365.978260869564</v>
      </c>
      <c r="O55" s="42"/>
      <c r="P55" s="1"/>
      <c r="Q55" s="35">
        <v>1324</v>
      </c>
      <c r="R55" s="34"/>
      <c r="S55" s="34"/>
      <c r="T55" s="34"/>
      <c r="U55" s="34">
        <f t="shared" ref="U55" si="53">+U54+Q55</f>
        <v>69921</v>
      </c>
      <c r="V55" s="34"/>
      <c r="W55" s="47">
        <f t="shared" ref="W55" si="54">+U55/H55</f>
        <v>5.7650875840489432E-2</v>
      </c>
      <c r="X55" s="34"/>
      <c r="Y55" s="34">
        <f t="shared" si="23"/>
        <v>1520.0217391304348</v>
      </c>
      <c r="Z55" s="54"/>
      <c r="AA55" s="1"/>
      <c r="AB55" s="23">
        <f t="shared" ref="AB55" si="55">+AF55-AF54</f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ref="AH55" si="56">+AB55/AF54</f>
        <v>5.4773003932392025E-2</v>
      </c>
      <c r="AI55" s="25"/>
      <c r="AJ55" s="25"/>
      <c r="AK55" s="24"/>
      <c r="AL55" s="360">
        <f t="shared" si="9"/>
        <v>0.15503098113098648</v>
      </c>
      <c r="AM55" s="360"/>
      <c r="AN55" s="24">
        <f t="shared" si="10"/>
        <v>4087.5434782608695</v>
      </c>
      <c r="AO55" s="370"/>
      <c r="AP55" s="1"/>
      <c r="AQ55" s="70">
        <f t="shared" ref="AQ55" si="57">+AS55-AS54</f>
        <v>265691</v>
      </c>
      <c r="AR55" s="71"/>
      <c r="AS55" s="71">
        <v>7462431</v>
      </c>
      <c r="AT55" s="71"/>
      <c r="AU55" s="71">
        <f t="shared" si="12"/>
        <v>24713</v>
      </c>
      <c r="AV55" s="71"/>
      <c r="AW55" s="165">
        <f t="shared" ref="AW55" si="58">+AU55/AQ55</f>
        <v>9.3014065211091082E-2</v>
      </c>
      <c r="AX55" s="71"/>
      <c r="AY55" s="71"/>
      <c r="AZ55" s="71"/>
      <c r="BA55" s="71">
        <f t="shared" si="21"/>
        <v>162226.76086956522</v>
      </c>
      <c r="BB55" s="71"/>
      <c r="BC55" s="71">
        <f t="shared" ref="BC55" si="59">+BC54+AU55</f>
        <v>960513</v>
      </c>
      <c r="BD55" s="71"/>
      <c r="BE55" s="80">
        <f t="shared" si="13"/>
        <v>0.12871314991053184</v>
      </c>
      <c r="BF55" s="71"/>
      <c r="BG55" s="92"/>
      <c r="BH55" s="193"/>
      <c r="BI55" s="1"/>
      <c r="BJ55">
        <f t="shared" si="11"/>
        <v>46</v>
      </c>
    </row>
    <row r="56" spans="2:66" x14ac:dyDescent="0.3">
      <c r="B56" s="181">
        <f t="shared" si="6"/>
        <v>43956</v>
      </c>
      <c r="C56" s="65"/>
      <c r="D56" s="17">
        <v>24792</v>
      </c>
      <c r="E56" s="16"/>
      <c r="F56" s="16"/>
      <c r="G56" s="16"/>
      <c r="H56" s="16">
        <f t="shared" ref="H56" si="60">+H55+D56</f>
        <v>1237627</v>
      </c>
      <c r="I56" s="16"/>
      <c r="J56" s="39">
        <f t="shared" ref="J56" si="61">+D56/H55</f>
        <v>2.044136259260328E-2</v>
      </c>
      <c r="K56" s="16"/>
      <c r="L56" s="16"/>
      <c r="M56" s="16"/>
      <c r="N56" s="16">
        <f t="shared" si="22"/>
        <v>26332.489361702126</v>
      </c>
      <c r="O56" s="42"/>
      <c r="P56" s="1"/>
      <c r="Q56" s="35">
        <v>2349</v>
      </c>
      <c r="R56" s="34"/>
      <c r="S56" s="34"/>
      <c r="T56" s="34"/>
      <c r="U56" s="34">
        <f t="shared" ref="U56" si="62">+U55+Q56</f>
        <v>72270</v>
      </c>
      <c r="V56" s="34"/>
      <c r="W56" s="47">
        <f t="shared" ref="W56" si="63">+U56/H56</f>
        <v>5.8394007241277059E-2</v>
      </c>
      <c r="X56" s="34"/>
      <c r="Y56" s="34">
        <f t="shared" si="23"/>
        <v>1537.6595744680851</v>
      </c>
      <c r="Z56" s="54"/>
      <c r="AA56" s="1"/>
      <c r="AB56" s="23">
        <f t="shared" ref="AB56" si="64">+AF56-AF55</f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ref="AH56" si="65">+AB56/AF55</f>
        <v>6.7006334196684517E-2</v>
      </c>
      <c r="AI56" s="25"/>
      <c r="AJ56" s="25"/>
      <c r="AK56" s="24"/>
      <c r="AL56" s="360">
        <f t="shared" si="9"/>
        <v>0.16210538393231563</v>
      </c>
      <c r="AM56" s="360"/>
      <c r="AN56" s="24">
        <f t="shared" si="10"/>
        <v>4268.6382978723404</v>
      </c>
      <c r="AO56" s="370"/>
      <c r="AP56" s="1"/>
      <c r="AQ56" s="70">
        <f t="shared" ref="AQ56" si="66">+AS56-AS55</f>
        <v>265380</v>
      </c>
      <c r="AR56" s="71"/>
      <c r="AS56" s="71">
        <v>7727811</v>
      </c>
      <c r="AT56" s="71"/>
      <c r="AU56" s="71">
        <f t="shared" si="12"/>
        <v>24792</v>
      </c>
      <c r="AV56" s="71"/>
      <c r="AW56" s="165">
        <f t="shared" ref="AW56" si="67">+AU56/AQ56</f>
        <v>9.3420755143567707E-2</v>
      </c>
      <c r="AX56" s="71"/>
      <c r="AY56" s="71"/>
      <c r="AZ56" s="71"/>
      <c r="BA56" s="71">
        <f t="shared" si="21"/>
        <v>164421.51063829788</v>
      </c>
      <c r="BB56" s="71"/>
      <c r="BC56" s="71">
        <f t="shared" ref="BC56" si="68">+BC55+AU56</f>
        <v>985305</v>
      </c>
      <c r="BD56" s="71"/>
      <c r="BE56" s="80">
        <f t="shared" si="13"/>
        <v>0.12750117724152416</v>
      </c>
      <c r="BF56" s="71"/>
      <c r="BG56" s="92"/>
      <c r="BH56" s="193"/>
      <c r="BI56" s="1"/>
      <c r="BJ56">
        <f t="shared" si="11"/>
        <v>47</v>
      </c>
    </row>
    <row r="57" spans="2:66" x14ac:dyDescent="0.3">
      <c r="B57" s="181">
        <f t="shared" si="6"/>
        <v>43957</v>
      </c>
      <c r="C57" s="65"/>
      <c r="D57" s="17">
        <v>25059</v>
      </c>
      <c r="E57" s="16"/>
      <c r="F57" s="16"/>
      <c r="G57" s="16"/>
      <c r="H57" s="16">
        <f t="shared" ref="H57" si="69">+H56+D57</f>
        <v>1262686</v>
      </c>
      <c r="I57" s="16"/>
      <c r="J57" s="39">
        <f t="shared" ref="J57" si="70">+D57/H56</f>
        <v>2.024761903222861E-2</v>
      </c>
      <c r="K57" s="16"/>
      <c r="L57" s="16"/>
      <c r="M57" s="16"/>
      <c r="N57" s="16">
        <f t="shared" si="22"/>
        <v>26305.958333333332</v>
      </c>
      <c r="O57" s="42"/>
      <c r="P57" s="1"/>
      <c r="Q57" s="35">
        <v>2520</v>
      </c>
      <c r="R57" s="34"/>
      <c r="S57" s="34"/>
      <c r="T57" s="34"/>
      <c r="U57" s="34">
        <f t="shared" ref="U57" si="71">+U56+Q57</f>
        <v>74790</v>
      </c>
      <c r="V57" s="34"/>
      <c r="W57" s="47">
        <f t="shared" ref="W57" si="72">+U57/H57</f>
        <v>5.9230877668715737E-2</v>
      </c>
      <c r="X57" s="34"/>
      <c r="Y57" s="34">
        <f t="shared" si="23"/>
        <v>1558.125</v>
      </c>
      <c r="Z57" s="54"/>
      <c r="AA57" s="1"/>
      <c r="AB57" s="23">
        <f t="shared" ref="AB57" si="73">+AF57-AF56</f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ref="AH57" si="74">+AB57/AF56</f>
        <v>2.8321354161474584E-2</v>
      </c>
      <c r="AI57" s="25"/>
      <c r="AJ57" s="25"/>
      <c r="AK57" s="24"/>
      <c r="AL57" s="360">
        <f t="shared" si="9"/>
        <v>0.16338820577720828</v>
      </c>
      <c r="AM57" s="360"/>
      <c r="AN57" s="24">
        <f t="shared" si="10"/>
        <v>4298.083333333333</v>
      </c>
      <c r="AO57" s="370"/>
      <c r="AP57" s="1"/>
      <c r="AQ57" s="70">
        <f t="shared" ref="AQ57" si="75">+AS57-AS56</f>
        <v>244534</v>
      </c>
      <c r="AR57" s="71"/>
      <c r="AS57" s="71">
        <v>7972345</v>
      </c>
      <c r="AT57" s="71"/>
      <c r="AU57" s="71">
        <f t="shared" si="12"/>
        <v>25059</v>
      </c>
      <c r="AV57" s="71"/>
      <c r="AW57" s="165">
        <f t="shared" ref="AW57" si="76">+AU57/AQ57</f>
        <v>0.10247654722860625</v>
      </c>
      <c r="AX57" s="71"/>
      <c r="AY57" s="71"/>
      <c r="AZ57" s="71"/>
      <c r="BA57" s="71">
        <f t="shared" si="21"/>
        <v>166090.52083333334</v>
      </c>
      <c r="BB57" s="71"/>
      <c r="BC57" s="71">
        <f t="shared" ref="BC57" si="77">+BC56+AU57</f>
        <v>1010364</v>
      </c>
      <c r="BD57" s="71"/>
      <c r="BE57" s="80">
        <f t="shared" si="13"/>
        <v>0.12673360222117833</v>
      </c>
      <c r="BF57" s="71"/>
      <c r="BG57" s="92"/>
      <c r="BH57" s="193"/>
      <c r="BI57" s="1"/>
      <c r="BJ57">
        <f t="shared" si="11"/>
        <v>48</v>
      </c>
    </row>
    <row r="58" spans="2:66" x14ac:dyDescent="0.3">
      <c r="B58" s="181">
        <f t="shared" si="6"/>
        <v>43958</v>
      </c>
      <c r="C58" s="65"/>
      <c r="D58" s="17">
        <v>29531</v>
      </c>
      <c r="E58" s="16"/>
      <c r="F58" s="16"/>
      <c r="G58" s="16"/>
      <c r="H58" s="16">
        <f t="shared" ref="H58" si="78">+H57+D58</f>
        <v>1292217</v>
      </c>
      <c r="I58" s="16"/>
      <c r="J58" s="39">
        <f t="shared" ref="J58" si="79">+D58/H57</f>
        <v>2.3387445493178827E-2</v>
      </c>
      <c r="K58" s="16"/>
      <c r="L58" s="16"/>
      <c r="M58" s="16"/>
      <c r="N58" s="16">
        <f t="shared" si="22"/>
        <v>26371.775510204083</v>
      </c>
      <c r="O58" s="42"/>
      <c r="P58" s="1"/>
      <c r="Q58" s="35">
        <v>2129</v>
      </c>
      <c r="R58" s="34"/>
      <c r="S58" s="34"/>
      <c r="T58" s="34"/>
      <c r="U58" s="34">
        <f t="shared" ref="U58" si="80">+U57+Q58</f>
        <v>76919</v>
      </c>
      <c r="V58" s="34"/>
      <c r="W58" s="47">
        <f t="shared" ref="W58" si="81">+U58/H58</f>
        <v>5.9524832129588139E-2</v>
      </c>
      <c r="X58" s="34"/>
      <c r="Y58" s="34">
        <f t="shared" si="23"/>
        <v>1569.7755102040817</v>
      </c>
      <c r="Z58" s="54"/>
      <c r="AA58" s="1"/>
      <c r="AB58" s="23">
        <f t="shared" ref="AB58" si="82">+AF58-AF57</f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ref="AH58" si="83">+AB58/AF57</f>
        <v>5.3037206506776277E-2</v>
      </c>
      <c r="AI58" s="25"/>
      <c r="AJ58" s="25"/>
      <c r="AK58" s="24"/>
      <c r="AL58" s="360">
        <f t="shared" si="9"/>
        <v>0.1681219176036223</v>
      </c>
      <c r="AM58" s="360"/>
      <c r="AN58" s="24">
        <f t="shared" si="10"/>
        <v>4433.6734693877552</v>
      </c>
      <c r="AO58" s="370"/>
      <c r="AP58" s="1"/>
      <c r="AQ58" s="70">
        <f t="shared" ref="AQ58" si="84">+AS58-AS57</f>
        <v>325217</v>
      </c>
      <c r="AR58" s="71"/>
      <c r="AS58" s="71">
        <v>8297562</v>
      </c>
      <c r="AT58" s="71"/>
      <c r="AU58" s="71">
        <f t="shared" si="12"/>
        <v>29531</v>
      </c>
      <c r="AV58" s="71"/>
      <c r="AW58" s="165">
        <f t="shared" ref="AW58" si="85">+AU58/AQ58</f>
        <v>9.0803986261480799E-2</v>
      </c>
      <c r="AX58" s="71"/>
      <c r="AY58" s="71"/>
      <c r="AZ58" s="71"/>
      <c r="BA58" s="71">
        <f t="shared" si="21"/>
        <v>169338</v>
      </c>
      <c r="BB58" s="71"/>
      <c r="BC58" s="71">
        <f t="shared" ref="BC58" si="86">+BC57+AU58</f>
        <v>1039895</v>
      </c>
      <c r="BD58" s="71"/>
      <c r="BE58" s="80">
        <f t="shared" si="13"/>
        <v>0.12532536665589242</v>
      </c>
      <c r="BF58" s="71"/>
      <c r="BG58" s="92"/>
      <c r="BH58" s="193"/>
      <c r="BI58" s="1"/>
      <c r="BJ58">
        <f t="shared" si="11"/>
        <v>49</v>
      </c>
      <c r="BL58" s="1"/>
      <c r="BN58" s="1"/>
    </row>
    <row r="59" spans="2:66" x14ac:dyDescent="0.3">
      <c r="B59" s="181">
        <f t="shared" si="6"/>
        <v>43959</v>
      </c>
      <c r="C59" s="65"/>
      <c r="D59" s="17">
        <v>29162</v>
      </c>
      <c r="E59" s="16"/>
      <c r="F59" s="16"/>
      <c r="G59" s="16"/>
      <c r="H59" s="16">
        <f t="shared" ref="H59" si="87">+H58+D59</f>
        <v>1321379</v>
      </c>
      <c r="I59" s="16"/>
      <c r="J59" s="39">
        <f t="shared" ref="J59" si="88">+D59/H58</f>
        <v>2.2567417082425011E-2</v>
      </c>
      <c r="K59" s="16"/>
      <c r="L59" s="16"/>
      <c r="M59" s="16"/>
      <c r="N59" s="16">
        <f t="shared" si="22"/>
        <v>26427.58</v>
      </c>
      <c r="O59" s="42"/>
      <c r="P59" s="1"/>
      <c r="Q59" s="35">
        <v>1683</v>
      </c>
      <c r="R59" s="34"/>
      <c r="S59" s="34"/>
      <c r="T59" s="34"/>
      <c r="U59" s="34">
        <f t="shared" ref="U59" si="89">+U58+Q59</f>
        <v>78602</v>
      </c>
      <c r="V59" s="34"/>
      <c r="W59" s="47">
        <f t="shared" ref="W59" si="90">+U59/H59</f>
        <v>5.9484826079421571E-2</v>
      </c>
      <c r="X59" s="34"/>
      <c r="Y59" s="34">
        <f t="shared" si="23"/>
        <v>1572.04</v>
      </c>
      <c r="Z59" s="54"/>
      <c r="AA59" s="1"/>
      <c r="AB59" s="23">
        <f t="shared" ref="AB59" si="91">+AF59-AF58</f>
        <v>6110</v>
      </c>
      <c r="AC59" s="24"/>
      <c r="AD59" s="24"/>
      <c r="AE59" s="24">
        <v>178263</v>
      </c>
      <c r="AF59" s="24">
        <v>223360</v>
      </c>
      <c r="AG59" s="24"/>
      <c r="AH59" s="25">
        <f t="shared" ref="AH59" si="92">+AB59/AF58</f>
        <v>2.8124280782508632E-2</v>
      </c>
      <c r="AI59" s="25"/>
      <c r="AJ59" s="25"/>
      <c r="AK59" s="24"/>
      <c r="AL59" s="360">
        <f t="shared" si="9"/>
        <v>0.16903553030583959</v>
      </c>
      <c r="AM59" s="360"/>
      <c r="AN59" s="24">
        <f t="shared" si="10"/>
        <v>4467.2</v>
      </c>
      <c r="AO59" s="370" t="e">
        <f>+AG59/BK59</f>
        <v>#DIV/0!</v>
      </c>
      <c r="AP59" s="1"/>
      <c r="AQ59" s="70">
        <f t="shared" ref="AQ59" si="93">+AS59-AS58</f>
        <v>338873</v>
      </c>
      <c r="AR59" s="71"/>
      <c r="AS59" s="71">
        <v>8636435</v>
      </c>
      <c r="AT59" s="71"/>
      <c r="AU59" s="71">
        <f t="shared" si="12"/>
        <v>29162</v>
      </c>
      <c r="AV59" s="71"/>
      <c r="AW59" s="165">
        <f t="shared" ref="AW59" si="94">+AU59/AQ59</f>
        <v>8.6055838027815731E-2</v>
      </c>
      <c r="AX59" s="71"/>
      <c r="AY59" s="71"/>
      <c r="AZ59" s="71"/>
      <c r="BA59" s="71">
        <f t="shared" si="21"/>
        <v>172728.7</v>
      </c>
      <c r="BB59" s="71"/>
      <c r="BC59" s="71">
        <f t="shared" ref="BC59" si="95">+BC58+AU59</f>
        <v>1069057</v>
      </c>
      <c r="BD59" s="71"/>
      <c r="BE59" s="80">
        <f t="shared" si="13"/>
        <v>0.12378452451735004</v>
      </c>
      <c r="BF59" s="71"/>
      <c r="BG59" s="92"/>
      <c r="BH59" s="193"/>
      <c r="BI59" s="1"/>
      <c r="BJ59">
        <f t="shared" si="11"/>
        <v>50</v>
      </c>
    </row>
    <row r="60" spans="2:66" x14ac:dyDescent="0.3">
      <c r="B60" s="181">
        <f t="shared" si="6"/>
        <v>43960</v>
      </c>
      <c r="C60" s="65"/>
      <c r="D60" s="17">
        <v>25524</v>
      </c>
      <c r="E60" s="16"/>
      <c r="F60" s="16"/>
      <c r="G60" s="16"/>
      <c r="H60" s="16">
        <f t="shared" ref="H60" si="96">+H59+D60</f>
        <v>1346903</v>
      </c>
      <c r="I60" s="16"/>
      <c r="J60" s="39">
        <f t="shared" ref="J60" si="97">+D60/H59</f>
        <v>1.9316184077391878E-2</v>
      </c>
      <c r="K60" s="16"/>
      <c r="L60" s="16"/>
      <c r="M60" s="16"/>
      <c r="N60" s="16">
        <f t="shared" ref="N60" si="98">+H60/BJ60</f>
        <v>26409.862745098038</v>
      </c>
      <c r="O60" s="42"/>
      <c r="P60" s="1"/>
      <c r="Q60" s="35">
        <v>1422</v>
      </c>
      <c r="R60" s="34"/>
      <c r="S60" s="34"/>
      <c r="T60" s="34"/>
      <c r="U60" s="34">
        <f t="shared" ref="U60" si="99">+U59+Q60</f>
        <v>80024</v>
      </c>
      <c r="V60" s="34"/>
      <c r="W60" s="47">
        <f t="shared" ref="W60" si="100">+U60/H60</f>
        <v>5.9413335629959992E-2</v>
      </c>
      <c r="X60" s="34"/>
      <c r="Y60" s="34">
        <f t="shared" ref="Y60" si="101">+U60/BJ60</f>
        <v>1569.0980392156862</v>
      </c>
      <c r="Z60" s="54"/>
      <c r="AA60" s="1"/>
      <c r="AB60" s="23">
        <f t="shared" ref="AB60" si="102">+AF60-AF59</f>
        <v>14718</v>
      </c>
      <c r="AC60" s="24"/>
      <c r="AD60" s="24"/>
      <c r="AE60" s="24">
        <v>178263</v>
      </c>
      <c r="AF60" s="24">
        <v>238078</v>
      </c>
      <c r="AG60" s="24"/>
      <c r="AH60" s="25">
        <f t="shared" ref="AH60" si="103">+AB60/AF59</f>
        <v>6.5893624641833806E-2</v>
      </c>
      <c r="AI60" s="25"/>
      <c r="AJ60" s="25"/>
      <c r="AK60" s="24"/>
      <c r="AL60" s="360">
        <f t="shared" ref="AL60" si="104">+AF60/H60</f>
        <v>0.17675957362928141</v>
      </c>
      <c r="AM60" s="360"/>
      <c r="AN60" s="24">
        <f t="shared" ref="AN60" si="105">+AF60/BJ60</f>
        <v>4668.1960784313724</v>
      </c>
      <c r="AO60" s="370" t="e">
        <f>+AG60/BK60</f>
        <v>#DIV/0!</v>
      </c>
      <c r="AP60" s="1"/>
      <c r="AQ60" s="70">
        <f t="shared" ref="AQ60" si="106">+AS60-AS59</f>
        <v>281828</v>
      </c>
      <c r="AR60" s="71"/>
      <c r="AS60" s="71">
        <v>8918263</v>
      </c>
      <c r="AT60" s="71"/>
      <c r="AU60" s="71">
        <f t="shared" ref="AU60" si="107">+D60</f>
        <v>25524</v>
      </c>
      <c r="AV60" s="71"/>
      <c r="AW60" s="165">
        <f t="shared" ref="AW60" si="108">+AU60/AQ60</f>
        <v>9.0565877059766944E-2</v>
      </c>
      <c r="AX60" s="71"/>
      <c r="AY60" s="71"/>
      <c r="AZ60" s="71"/>
      <c r="BA60" s="71">
        <f t="shared" ref="BA60" si="109">+AS60/BJ60</f>
        <v>174867.90196078431</v>
      </c>
      <c r="BB60" s="71"/>
      <c r="BC60" s="71">
        <f t="shared" ref="BC60" si="110">+BC59+AU60</f>
        <v>1094581</v>
      </c>
      <c r="BD60" s="71"/>
      <c r="BE60" s="80">
        <f t="shared" ref="BE60" si="111">+BC60/AS60</f>
        <v>0.1227347746977186</v>
      </c>
      <c r="BF60" s="71"/>
      <c r="BG60" s="92"/>
      <c r="BH60" s="193"/>
      <c r="BI60" s="1"/>
      <c r="BJ60">
        <f t="shared" si="11"/>
        <v>51</v>
      </c>
    </row>
    <row r="61" spans="2:66" x14ac:dyDescent="0.3">
      <c r="B61" s="181">
        <f t="shared" si="6"/>
        <v>43961</v>
      </c>
      <c r="C61" s="65"/>
      <c r="D61" s="17"/>
      <c r="E61" s="16"/>
      <c r="F61" s="16"/>
      <c r="G61" s="16"/>
      <c r="H61" s="16"/>
      <c r="I61" s="16"/>
      <c r="J61" s="39"/>
      <c r="K61" s="16"/>
      <c r="L61" s="16"/>
      <c r="M61" s="16"/>
      <c r="N61" s="16"/>
      <c r="O61" s="42"/>
      <c r="P61" s="1"/>
      <c r="Q61" s="35"/>
      <c r="R61" s="34"/>
      <c r="S61" s="34"/>
      <c r="T61" s="34"/>
      <c r="U61" s="34"/>
      <c r="V61" s="34"/>
      <c r="W61" s="47"/>
      <c r="X61" s="34"/>
      <c r="Y61" s="34"/>
      <c r="Z61" s="54"/>
      <c r="AA61" s="1"/>
      <c r="AB61" s="23"/>
      <c r="AC61" s="24"/>
      <c r="AD61" s="24"/>
      <c r="AE61" s="24"/>
      <c r="AF61" s="24"/>
      <c r="AG61" s="24"/>
      <c r="AH61" s="25"/>
      <c r="AI61" s="25"/>
      <c r="AJ61" s="25"/>
      <c r="AK61" s="24"/>
      <c r="AL61" s="360"/>
      <c r="AM61" s="360"/>
      <c r="AN61" s="25"/>
      <c r="AO61" s="368"/>
      <c r="AP61" s="1"/>
      <c r="AQ61" s="70"/>
      <c r="AR61" s="71"/>
      <c r="AS61" s="71"/>
      <c r="AT61" s="71"/>
      <c r="AU61" s="71"/>
      <c r="AV61" s="71"/>
      <c r="AW61" s="165"/>
      <c r="AX61" s="71"/>
      <c r="AY61" s="71"/>
      <c r="AZ61" s="71"/>
      <c r="BA61" s="71"/>
      <c r="BB61" s="71"/>
      <c r="BC61" s="71"/>
      <c r="BD61" s="71"/>
      <c r="BE61" s="80"/>
      <c r="BF61" s="71"/>
      <c r="BG61" s="92"/>
      <c r="BH61" s="193"/>
      <c r="BI61" s="1"/>
      <c r="BJ61">
        <f t="shared" si="11"/>
        <v>52</v>
      </c>
    </row>
    <row r="62" spans="2:66" x14ac:dyDescent="0.3">
      <c r="B62" s="181">
        <f t="shared" si="6"/>
        <v>43962</v>
      </c>
      <c r="C62" s="65"/>
      <c r="D62" s="17"/>
      <c r="E62" s="16"/>
      <c r="F62" s="16"/>
      <c r="G62" s="16"/>
      <c r="H62" s="16"/>
      <c r="I62" s="16"/>
      <c r="J62" s="39"/>
      <c r="K62" s="16"/>
      <c r="L62" s="16"/>
      <c r="M62" s="16"/>
      <c r="N62" s="16"/>
      <c r="O62" s="42"/>
      <c r="P62" s="1"/>
      <c r="Q62" s="35"/>
      <c r="R62" s="34"/>
      <c r="S62" s="34"/>
      <c r="T62" s="34"/>
      <c r="U62" s="34"/>
      <c r="V62" s="34"/>
      <c r="W62" s="47"/>
      <c r="X62" s="34"/>
      <c r="Y62" s="34"/>
      <c r="Z62" s="54"/>
      <c r="AA62" s="1"/>
      <c r="AB62" s="23"/>
      <c r="AC62" s="24"/>
      <c r="AD62" s="24"/>
      <c r="AE62" s="24"/>
      <c r="AF62" s="24"/>
      <c r="AG62" s="24"/>
      <c r="AH62" s="25"/>
      <c r="AI62" s="25"/>
      <c r="AJ62" s="25"/>
      <c r="AK62" s="24"/>
      <c r="AL62" s="360"/>
      <c r="AM62" s="360"/>
      <c r="AN62" s="25"/>
      <c r="AO62" s="368"/>
      <c r="AP62" s="1"/>
      <c r="AQ62" s="70"/>
      <c r="AR62" s="71"/>
      <c r="AS62" s="71"/>
      <c r="AT62" s="71"/>
      <c r="AU62" s="71"/>
      <c r="AV62" s="71"/>
      <c r="AW62" s="165"/>
      <c r="AX62" s="71"/>
      <c r="AY62" s="71"/>
      <c r="AZ62" s="71"/>
      <c r="BA62" s="71"/>
      <c r="BB62" s="71"/>
      <c r="BC62" s="71"/>
      <c r="BD62" s="71"/>
      <c r="BE62" s="80"/>
      <c r="BF62" s="71"/>
      <c r="BG62" s="92"/>
      <c r="BH62" s="193"/>
      <c r="BI62" s="1"/>
      <c r="BJ62">
        <f t="shared" si="11"/>
        <v>53</v>
      </c>
    </row>
    <row r="63" spans="2:66" x14ac:dyDescent="0.3">
      <c r="B63" s="181">
        <f t="shared" si="6"/>
        <v>43963</v>
      </c>
      <c r="D63" s="18"/>
      <c r="E63" s="19"/>
      <c r="F63" s="19"/>
      <c r="G63" s="19"/>
      <c r="H63" s="19"/>
      <c r="I63" s="19"/>
      <c r="J63" s="40"/>
      <c r="K63" s="19"/>
      <c r="L63" s="19"/>
      <c r="M63" s="19"/>
      <c r="N63" s="19"/>
      <c r="O63" s="44"/>
      <c r="P63" s="1"/>
      <c r="Q63" s="36"/>
      <c r="R63" s="37"/>
      <c r="S63" s="37"/>
      <c r="T63" s="37"/>
      <c r="U63" s="37"/>
      <c r="V63" s="37"/>
      <c r="W63" s="48"/>
      <c r="X63" s="37"/>
      <c r="Y63" s="37"/>
      <c r="Z63" s="55"/>
      <c r="AA63" s="1"/>
      <c r="AB63" s="26"/>
      <c r="AC63" s="27"/>
      <c r="AD63" s="27"/>
      <c r="AE63" s="27"/>
      <c r="AF63" s="27"/>
      <c r="AG63" s="27"/>
      <c r="AH63" s="27"/>
      <c r="AI63" s="27"/>
      <c r="AJ63" s="27"/>
      <c r="AK63" s="27"/>
      <c r="AL63" s="362"/>
      <c r="AM63" s="362"/>
      <c r="AN63" s="27"/>
      <c r="AO63" s="369"/>
      <c r="AP63" s="1"/>
      <c r="AQ63" s="72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6"/>
      <c r="BF63" s="73"/>
      <c r="BG63" s="73"/>
      <c r="BH63" s="194"/>
      <c r="BI63" s="1"/>
      <c r="BJ63">
        <f t="shared" si="11"/>
        <v>54</v>
      </c>
    </row>
    <row r="64" spans="2:66" x14ac:dyDescent="0.3">
      <c r="B64" s="60"/>
      <c r="D64" s="1"/>
      <c r="E64" s="1"/>
      <c r="F64" s="1"/>
      <c r="G64" s="1"/>
      <c r="H64" s="63"/>
      <c r="I64" s="1"/>
      <c r="J64" s="63"/>
      <c r="K64" s="1"/>
      <c r="L64" s="1"/>
      <c r="M64" s="1"/>
      <c r="N64" s="1"/>
      <c r="O64" s="1"/>
      <c r="P64" s="1"/>
      <c r="Q64" s="63"/>
      <c r="R64" s="1"/>
      <c r="S64" s="1"/>
      <c r="T64" s="1"/>
      <c r="U64" s="1"/>
      <c r="V64" s="1"/>
      <c r="W64" s="63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63"/>
      <c r="AT64" s="1"/>
      <c r="AU64" s="63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2:77" x14ac:dyDescent="0.3">
      <c r="B65" s="189" t="s">
        <v>85</v>
      </c>
      <c r="D65" s="60">
        <f>+D60</f>
        <v>25524</v>
      </c>
      <c r="E65" s="60">
        <f t="shared" ref="E65:G65" si="112">+E51</f>
        <v>0</v>
      </c>
      <c r="F65" s="60">
        <f t="shared" si="112"/>
        <v>0</v>
      </c>
      <c r="G65" s="60">
        <f t="shared" si="112"/>
        <v>0</v>
      </c>
      <c r="H65" s="60">
        <f t="shared" ref="H65:AS65" si="113">+H60</f>
        <v>1346903</v>
      </c>
      <c r="I65" s="60">
        <f t="shared" si="113"/>
        <v>0</v>
      </c>
      <c r="J65" s="63">
        <f t="shared" si="113"/>
        <v>1.9316184077391878E-2</v>
      </c>
      <c r="K65" s="60">
        <f t="shared" si="113"/>
        <v>0</v>
      </c>
      <c r="L65" s="60">
        <f t="shared" si="113"/>
        <v>0</v>
      </c>
      <c r="M65" s="60">
        <f t="shared" si="113"/>
        <v>0</v>
      </c>
      <c r="N65" s="60">
        <f t="shared" si="113"/>
        <v>26409.862745098038</v>
      </c>
      <c r="O65" s="60">
        <f t="shared" si="113"/>
        <v>0</v>
      </c>
      <c r="P65" s="60"/>
      <c r="Q65" s="60">
        <f t="shared" si="113"/>
        <v>1422</v>
      </c>
      <c r="R65" s="60">
        <f t="shared" si="113"/>
        <v>0</v>
      </c>
      <c r="S65" s="60">
        <f t="shared" si="113"/>
        <v>0</v>
      </c>
      <c r="T65" s="60">
        <f t="shared" si="113"/>
        <v>0</v>
      </c>
      <c r="U65" s="60">
        <f t="shared" si="113"/>
        <v>80024</v>
      </c>
      <c r="V65" s="60">
        <f t="shared" si="113"/>
        <v>0</v>
      </c>
      <c r="W65" s="60"/>
      <c r="X65" s="60">
        <f t="shared" si="113"/>
        <v>0</v>
      </c>
      <c r="Y65" s="60">
        <f t="shared" si="113"/>
        <v>1569.0980392156862</v>
      </c>
      <c r="Z65" s="60">
        <f t="shared" si="113"/>
        <v>0</v>
      </c>
      <c r="AA65" s="60"/>
      <c r="AB65" s="60">
        <f t="shared" si="113"/>
        <v>14718</v>
      </c>
      <c r="AC65" s="60">
        <f t="shared" si="113"/>
        <v>0</v>
      </c>
      <c r="AD65" s="60">
        <f t="shared" si="113"/>
        <v>0</v>
      </c>
      <c r="AE65" s="60">
        <f t="shared" si="113"/>
        <v>178263</v>
      </c>
      <c r="AF65" s="60">
        <f t="shared" si="113"/>
        <v>238078</v>
      </c>
      <c r="AG65" s="60">
        <f t="shared" si="113"/>
        <v>0</v>
      </c>
      <c r="AH65" s="60"/>
      <c r="AI65" s="60"/>
      <c r="AJ65" s="60"/>
      <c r="AK65" s="60"/>
      <c r="AL65" s="60"/>
      <c r="AM65" s="60">
        <f t="shared" si="113"/>
        <v>0</v>
      </c>
      <c r="AN65" s="60">
        <f t="shared" si="113"/>
        <v>4668.1960784313724</v>
      </c>
      <c r="AO65" s="60"/>
      <c r="AP65" s="60"/>
      <c r="AQ65" s="60">
        <f t="shared" si="113"/>
        <v>281828</v>
      </c>
      <c r="AR65" s="60">
        <f t="shared" si="113"/>
        <v>0</v>
      </c>
      <c r="AS65" s="60">
        <f t="shared" si="113"/>
        <v>8918263</v>
      </c>
      <c r="AZ65" s="10"/>
      <c r="BA65" s="10"/>
      <c r="BB65" s="10"/>
      <c r="BC65" s="10"/>
      <c r="BD65" s="10"/>
      <c r="BE65" s="66"/>
      <c r="BF65" s="10"/>
      <c r="BG65" s="10"/>
      <c r="BH65" s="10"/>
      <c r="BI65" s="10"/>
      <c r="BJ65" s="169"/>
      <c r="BK65" s="10"/>
      <c r="BL65" s="66"/>
      <c r="BM65" s="10"/>
      <c r="BN65" s="169"/>
      <c r="BO65" s="65"/>
      <c r="BP65" s="65"/>
      <c r="BQ65" s="65"/>
      <c r="BR65" s="65"/>
      <c r="BS65" s="65"/>
      <c r="BT65" s="166"/>
    </row>
    <row r="66" spans="2:77" x14ac:dyDescent="0.3">
      <c r="D66" s="60">
        <f>+D59-D65</f>
        <v>3638</v>
      </c>
      <c r="H66" s="60">
        <f t="shared" ref="H66:AS66" si="114">+H59-H65</f>
        <v>-25524</v>
      </c>
      <c r="I66" s="60">
        <f t="shared" si="114"/>
        <v>0</v>
      </c>
      <c r="J66" s="63">
        <f t="shared" si="114"/>
        <v>3.2512330050331328E-3</v>
      </c>
      <c r="K66" s="60">
        <f t="shared" si="114"/>
        <v>0</v>
      </c>
      <c r="L66" s="60">
        <f t="shared" si="114"/>
        <v>0</v>
      </c>
      <c r="M66" s="60">
        <f t="shared" si="114"/>
        <v>0</v>
      </c>
      <c r="N66" s="60">
        <f t="shared" si="114"/>
        <v>17.717254901963315</v>
      </c>
      <c r="O66" s="60">
        <f t="shared" si="114"/>
        <v>0</v>
      </c>
      <c r="P66" s="60"/>
      <c r="Q66" s="60">
        <f t="shared" si="114"/>
        <v>261</v>
      </c>
      <c r="R66" s="60">
        <f t="shared" si="114"/>
        <v>0</v>
      </c>
      <c r="S66" s="60">
        <f t="shared" si="114"/>
        <v>0</v>
      </c>
      <c r="T66" s="60">
        <f t="shared" si="114"/>
        <v>0</v>
      </c>
      <c r="U66" s="60">
        <f t="shared" si="114"/>
        <v>-1422</v>
      </c>
      <c r="V66" s="60">
        <f t="shared" si="114"/>
        <v>0</v>
      </c>
      <c r="W66" s="60"/>
      <c r="X66" s="60">
        <f t="shared" si="114"/>
        <v>0</v>
      </c>
      <c r="Y66" s="60">
        <f t="shared" si="114"/>
        <v>2.9419607843137783</v>
      </c>
      <c r="Z66" s="60">
        <f t="shared" si="114"/>
        <v>0</v>
      </c>
      <c r="AA66" s="60"/>
      <c r="AB66" s="60">
        <f t="shared" si="114"/>
        <v>-8608</v>
      </c>
      <c r="AC66" s="60">
        <f t="shared" si="114"/>
        <v>0</v>
      </c>
      <c r="AD66" s="60">
        <f t="shared" si="114"/>
        <v>0</v>
      </c>
      <c r="AE66" s="60">
        <f t="shared" si="114"/>
        <v>0</v>
      </c>
      <c r="AF66" s="60">
        <f t="shared" si="114"/>
        <v>-14718</v>
      </c>
      <c r="AG66" s="60">
        <f t="shared" si="114"/>
        <v>0</v>
      </c>
      <c r="AH66" s="60"/>
      <c r="AI66" s="60"/>
      <c r="AJ66" s="60"/>
      <c r="AK66" s="60"/>
      <c r="AL66" s="60"/>
      <c r="AM66" s="60">
        <f t="shared" si="114"/>
        <v>0</v>
      </c>
      <c r="AN66" s="60">
        <f t="shared" si="114"/>
        <v>-200.99607843137255</v>
      </c>
      <c r="AO66" s="60"/>
      <c r="AP66" s="60"/>
      <c r="AQ66" s="60">
        <f t="shared" si="114"/>
        <v>57045</v>
      </c>
      <c r="AR66" s="60">
        <f t="shared" si="114"/>
        <v>0</v>
      </c>
      <c r="AS66" s="60">
        <f t="shared" si="114"/>
        <v>-281828</v>
      </c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66"/>
      <c r="BK66" s="10"/>
      <c r="BL66" s="10"/>
      <c r="BM66" s="10"/>
      <c r="BN66" s="66"/>
      <c r="BO66" s="65"/>
      <c r="BP66" s="65"/>
      <c r="BQ66" s="65"/>
      <c r="BR66" s="65"/>
      <c r="BS66" s="65"/>
      <c r="BT66" s="123"/>
    </row>
    <row r="67" spans="2:77" x14ac:dyDescent="0.3">
      <c r="U67" s="6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65"/>
      <c r="BP67" s="123"/>
      <c r="BQ67" s="123"/>
      <c r="BR67" s="123"/>
      <c r="BS67" s="123"/>
    </row>
    <row r="68" spans="2:77" x14ac:dyDescent="0.3">
      <c r="AZ68" s="65"/>
      <c r="BA68" s="65"/>
      <c r="BB68" s="65"/>
      <c r="BC68" s="65"/>
      <c r="BD68" s="65"/>
      <c r="BE68" s="65"/>
      <c r="BF68" s="10"/>
      <c r="BG68" s="10"/>
    </row>
    <row r="69" spans="2:77" x14ac:dyDescent="0.3">
      <c r="X69" s="1"/>
      <c r="Y69" s="1"/>
      <c r="Z69" s="10"/>
      <c r="AA69" s="10"/>
      <c r="AB69" s="147"/>
      <c r="AC69" s="10"/>
      <c r="AD69" s="10"/>
      <c r="AE69" s="10"/>
      <c r="AS69" t="s">
        <v>108</v>
      </c>
      <c r="AX69" s="96"/>
      <c r="AY69" s="96"/>
      <c r="AZ69" s="96"/>
      <c r="BA69" s="96"/>
      <c r="BB69" s="96"/>
      <c r="BC69" s="96"/>
      <c r="BD69" s="96"/>
      <c r="BE69" s="10"/>
      <c r="BF69" s="1"/>
      <c r="BG69" s="1"/>
    </row>
    <row r="70" spans="2:77" x14ac:dyDescent="0.3">
      <c r="D70" s="1"/>
      <c r="E70" s="129" t="s">
        <v>29</v>
      </c>
      <c r="F70" s="130"/>
      <c r="G70" s="130" t="s">
        <v>69</v>
      </c>
      <c r="H70" s="122"/>
      <c r="I70" s="122"/>
      <c r="J70" s="122"/>
      <c r="K70" s="65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X70" s="101"/>
      <c r="AY70" s="101"/>
      <c r="AZ70" s="160"/>
      <c r="BA70" s="160"/>
      <c r="BB70" s="160"/>
      <c r="BC70" s="160"/>
      <c r="BD70" s="160"/>
      <c r="BE70" s="96"/>
      <c r="BF70" s="1"/>
      <c r="BG70" s="1"/>
    </row>
    <row r="71" spans="2:77" x14ac:dyDescent="0.3">
      <c r="D71" s="1"/>
      <c r="E71" s="129" t="s">
        <v>41</v>
      </c>
      <c r="F71" s="130"/>
      <c r="G71" s="130" t="s">
        <v>43</v>
      </c>
      <c r="H71" s="10"/>
      <c r="I71" s="10"/>
      <c r="J71" s="10"/>
      <c r="K71" s="65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X71" s="113"/>
      <c r="AY71" s="113"/>
      <c r="AZ71" s="113"/>
      <c r="BA71" s="113"/>
      <c r="BB71" s="113"/>
      <c r="BC71" s="113"/>
      <c r="BD71" s="113"/>
      <c r="BE71" s="96"/>
      <c r="BF71" s="1"/>
      <c r="BG71" s="1"/>
      <c r="BX71" s="61"/>
    </row>
    <row r="72" spans="2:77" x14ac:dyDescent="0.3">
      <c r="D72" s="1"/>
      <c r="E72" s="129" t="s">
        <v>48</v>
      </c>
      <c r="F72" s="130"/>
      <c r="G72" s="130" t="s">
        <v>59</v>
      </c>
      <c r="H72" s="10"/>
      <c r="I72" s="10"/>
      <c r="J72" s="10"/>
      <c r="K72" s="65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X72" s="114"/>
      <c r="AY72" s="114"/>
      <c r="AZ72" s="114"/>
      <c r="BA72" s="114"/>
      <c r="BB72" s="114"/>
      <c r="BC72" s="114"/>
      <c r="BD72" s="114"/>
      <c r="BE72" s="132"/>
      <c r="BF72" s="1"/>
      <c r="BG72" s="1"/>
      <c r="BX72" s="60"/>
    </row>
    <row r="73" spans="2:77" x14ac:dyDescent="0.3">
      <c r="D73" s="1"/>
      <c r="E73" s="129" t="s">
        <v>70</v>
      </c>
      <c r="F73" s="65"/>
      <c r="G73" s="99" t="s">
        <v>71</v>
      </c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X73" s="114"/>
      <c r="AY73" s="114"/>
      <c r="AZ73" s="114"/>
      <c r="BA73" s="114"/>
      <c r="BB73" s="114"/>
      <c r="BC73" s="114"/>
      <c r="BD73" s="114"/>
      <c r="BE73" s="116"/>
      <c r="BF73" s="65"/>
      <c r="BG73" s="65"/>
      <c r="BW73" s="10"/>
      <c r="BX73" s="66"/>
      <c r="BY73" s="1"/>
    </row>
    <row r="74" spans="2:77" x14ac:dyDescent="0.3">
      <c r="X74" s="1"/>
      <c r="Y74" s="1"/>
      <c r="Z74" s="1"/>
      <c r="AA74" s="1"/>
      <c r="AB74" s="1"/>
      <c r="AC74" s="1"/>
      <c r="AD74" s="1"/>
      <c r="AE74" s="1"/>
      <c r="AX74" s="114"/>
      <c r="AY74" s="114"/>
      <c r="AZ74" s="114"/>
      <c r="BA74" s="114"/>
      <c r="BB74" s="114"/>
      <c r="BC74" s="114"/>
      <c r="BD74" s="114"/>
      <c r="BE74" s="96"/>
      <c r="BF74" s="1"/>
      <c r="BG74" s="1"/>
    </row>
    <row r="75" spans="2:77" x14ac:dyDescent="0.3">
      <c r="X75" s="1"/>
      <c r="Y75" s="1"/>
      <c r="Z75" s="1"/>
      <c r="AA75" s="1"/>
      <c r="AB75" s="1"/>
      <c r="AC75" s="1"/>
      <c r="AD75" s="1"/>
      <c r="AE75" s="1"/>
      <c r="AX75" s="114"/>
      <c r="AY75" s="114"/>
      <c r="AZ75" s="114"/>
      <c r="BA75" s="114"/>
      <c r="BB75" s="114"/>
      <c r="BC75" s="114"/>
      <c r="BD75" s="114"/>
      <c r="BE75" s="96"/>
      <c r="BF75" s="1"/>
      <c r="BG75" s="1"/>
    </row>
    <row r="76" spans="2:77" x14ac:dyDescent="0.3">
      <c r="X76" s="1"/>
      <c r="Y76" s="1"/>
      <c r="Z76" s="1"/>
      <c r="AA76" s="1"/>
      <c r="AB76" s="1" t="s">
        <v>18</v>
      </c>
      <c r="AC76" s="1"/>
      <c r="AD76" s="1"/>
      <c r="AE76" s="1"/>
      <c r="AX76" s="115"/>
      <c r="AY76" s="115"/>
      <c r="AZ76" s="115"/>
      <c r="BA76" s="115"/>
      <c r="BB76" s="115"/>
      <c r="BC76" s="115"/>
      <c r="BD76" s="115"/>
      <c r="BE76" s="96"/>
      <c r="BF76" s="1"/>
      <c r="BG76" s="1"/>
    </row>
    <row r="77" spans="2:77" x14ac:dyDescent="0.3">
      <c r="X77" s="1"/>
      <c r="Y77" s="1"/>
      <c r="Z77" s="1"/>
      <c r="AA77" s="1"/>
      <c r="AB77" s="1"/>
      <c r="AC77" s="1"/>
      <c r="AD77" s="1"/>
      <c r="AE77" s="1"/>
      <c r="AX77" s="115"/>
      <c r="AY77" s="115"/>
      <c r="AZ77" s="115"/>
      <c r="BA77" s="115"/>
      <c r="BB77" s="115"/>
      <c r="BC77" s="115"/>
      <c r="BD77" s="115"/>
      <c r="BE77" s="96"/>
      <c r="BF77" s="1"/>
      <c r="BG77" s="1"/>
    </row>
    <row r="78" spans="2:77" x14ac:dyDescent="0.3">
      <c r="D78" s="1"/>
      <c r="X78" s="1"/>
      <c r="Y78" s="1"/>
      <c r="Z78" s="1"/>
      <c r="AA78" s="1"/>
      <c r="AB78" s="1"/>
      <c r="AC78" s="1"/>
      <c r="AD78" s="1"/>
      <c r="AE78" s="1"/>
      <c r="AX78" s="115"/>
      <c r="AY78" s="115"/>
      <c r="AZ78" s="115"/>
      <c r="BA78" s="115"/>
      <c r="BB78" s="115"/>
      <c r="BC78" s="115"/>
      <c r="BD78" s="115"/>
      <c r="BE78" s="96"/>
      <c r="BF78" s="1"/>
      <c r="BG78" s="1"/>
    </row>
    <row r="79" spans="2:77" x14ac:dyDescent="0.3">
      <c r="X79" s="1"/>
      <c r="Y79" s="1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1"/>
      <c r="BG79" s="1"/>
    </row>
    <row r="80" spans="2:77" x14ac:dyDescent="0.3">
      <c r="X80" s="1"/>
      <c r="Y80" s="1"/>
    </row>
    <row r="81" spans="4:74" x14ac:dyDescent="0.3">
      <c r="D81" s="60"/>
      <c r="X81" s="1"/>
      <c r="Y81" s="1"/>
    </row>
    <row r="82" spans="4:74" x14ac:dyDescent="0.3">
      <c r="X82" s="1"/>
      <c r="Y82" s="1"/>
    </row>
    <row r="83" spans="4:74" x14ac:dyDescent="0.3">
      <c r="X83" s="1"/>
      <c r="Y83" s="1"/>
    </row>
    <row r="84" spans="4:74" x14ac:dyDescent="0.3">
      <c r="X84" s="1"/>
      <c r="Y84" s="1"/>
    </row>
    <row r="85" spans="4:74" x14ac:dyDescent="0.3">
      <c r="X85" s="1"/>
      <c r="Y85" s="1"/>
    </row>
    <row r="86" spans="4:74" x14ac:dyDescent="0.3">
      <c r="X86" s="1"/>
      <c r="Y86" s="1"/>
    </row>
    <row r="87" spans="4:74" x14ac:dyDescent="0.3"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1"/>
      <c r="BG89" s="1"/>
      <c r="BH89" s="1"/>
      <c r="BI89" s="1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6"/>
    </row>
    <row r="90" spans="4:74" x14ac:dyDescent="0.3">
      <c r="X90" s="10"/>
      <c r="Y90" s="10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95"/>
      <c r="BK90" s="95"/>
      <c r="BL90" s="95"/>
      <c r="BM90" s="95"/>
      <c r="BN90" s="127"/>
      <c r="BO90" s="1"/>
      <c r="BP90" s="1"/>
      <c r="BQ90" s="1"/>
      <c r="BR90" s="1"/>
      <c r="BS90" s="1"/>
      <c r="BT90" s="1"/>
      <c r="BU90" s="1"/>
      <c r="BV90" s="1"/>
    </row>
    <row r="91" spans="4:74" x14ac:dyDescent="0.3">
      <c r="X91" s="10"/>
      <c r="Y91" s="10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95"/>
      <c r="BK91" s="95"/>
      <c r="BL91" s="95"/>
      <c r="BM91" s="95"/>
      <c r="BN91" s="95"/>
      <c r="BO91" s="1"/>
      <c r="BP91" s="1"/>
      <c r="BQ91" s="1"/>
      <c r="BR91" s="1"/>
      <c r="BS91" s="1"/>
      <c r="BT91" s="1"/>
      <c r="BU91" s="1"/>
      <c r="BV91" s="1"/>
    </row>
    <row r="92" spans="4:74" x14ac:dyDescent="0.3">
      <c r="X92" s="10"/>
      <c r="Y92" s="10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95"/>
      <c r="BK92" s="95"/>
      <c r="BL92" s="95"/>
      <c r="BM92" s="95"/>
      <c r="BN92" s="95"/>
      <c r="BO92" s="1"/>
      <c r="BP92" s="1"/>
      <c r="BQ92" s="1"/>
      <c r="BR92" s="1"/>
      <c r="BS92" s="1"/>
      <c r="BT92" s="1"/>
    </row>
    <row r="93" spans="4:74" x14ac:dyDescent="0.3">
      <c r="X93" s="10"/>
      <c r="Y93" s="10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95"/>
      <c r="BK93" s="95"/>
      <c r="BL93" s="95"/>
      <c r="BM93" s="95"/>
      <c r="BN93" s="95"/>
      <c r="BO93" s="1"/>
      <c r="BP93" s="1"/>
      <c r="BQ93" s="1"/>
      <c r="BR93" s="1"/>
      <c r="BS93" s="1"/>
      <c r="BT93" s="1"/>
    </row>
    <row r="94" spans="4:74" x14ac:dyDescent="0.3">
      <c r="X94" s="10"/>
      <c r="Y94" s="10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95"/>
      <c r="BK94" s="95"/>
      <c r="BL94" s="128"/>
      <c r="BM94" s="95"/>
      <c r="BN94" s="95"/>
    </row>
    <row r="95" spans="4:74" x14ac:dyDescent="0.3">
      <c r="X95" s="10"/>
      <c r="Y95" s="10"/>
      <c r="Z95" s="96"/>
      <c r="AA95" s="96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96"/>
      <c r="AS95" s="96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95"/>
      <c r="BK95" s="95"/>
      <c r="BL95" s="95"/>
      <c r="BM95" s="95"/>
      <c r="BN95" s="95"/>
    </row>
    <row r="96" spans="4:74" x14ac:dyDescent="0.3">
      <c r="X96" s="10"/>
      <c r="Y96" s="10"/>
      <c r="Z96" s="96"/>
      <c r="AA96" s="96"/>
      <c r="AB96" s="159"/>
      <c r="AC96" s="159"/>
      <c r="AD96" s="159"/>
      <c r="AE96" s="159"/>
      <c r="AF96" s="159"/>
      <c r="AG96" s="159"/>
      <c r="AH96" s="159"/>
      <c r="AI96" s="96"/>
      <c r="AJ96" s="96"/>
      <c r="AK96" s="96"/>
      <c r="AL96" s="116"/>
      <c r="AM96" s="116"/>
      <c r="AN96" s="116"/>
      <c r="AO96" s="116"/>
      <c r="AP96" s="96"/>
      <c r="AQ96" s="96"/>
      <c r="AR96" s="116"/>
      <c r="AS96" s="96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95"/>
    </row>
    <row r="97" spans="2:66" x14ac:dyDescent="0.3">
      <c r="X97" s="10"/>
      <c r="Y97" s="10"/>
      <c r="Z97" s="96"/>
      <c r="AA97" s="96"/>
      <c r="AB97" s="159"/>
      <c r="AC97" s="159"/>
      <c r="AD97" s="159"/>
      <c r="AE97" s="159"/>
      <c r="AF97" s="159"/>
      <c r="AG97" s="159"/>
      <c r="AH97" s="159"/>
      <c r="AI97" s="159"/>
      <c r="AJ97" s="116"/>
      <c r="AK97" s="96"/>
      <c r="AL97" s="116"/>
      <c r="AM97" s="116"/>
      <c r="AN97" s="116"/>
      <c r="AO97" s="116"/>
      <c r="AP97" s="96"/>
      <c r="AQ97" s="96"/>
      <c r="AR97" s="116"/>
      <c r="AS97" s="96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95"/>
      <c r="BM97" s="95"/>
      <c r="BN97" s="95"/>
    </row>
    <row r="98" spans="2:66" x14ac:dyDescent="0.3">
      <c r="X98" s="10"/>
      <c r="Y98" s="10"/>
      <c r="Z98" s="96"/>
      <c r="AA98" s="96"/>
      <c r="AB98" s="96"/>
      <c r="AC98" s="96"/>
      <c r="AD98" s="160"/>
      <c r="AE98" s="160"/>
      <c r="AF98" s="160"/>
      <c r="AG98" s="160"/>
      <c r="AH98" s="160"/>
      <c r="AI98" s="96"/>
      <c r="AJ98" s="96"/>
      <c r="AK98" s="96"/>
      <c r="AL98" s="116"/>
      <c r="AM98" s="116"/>
      <c r="AN98" s="116"/>
      <c r="AO98" s="116"/>
      <c r="AP98" s="96"/>
      <c r="AQ98" s="96"/>
      <c r="AR98" s="116"/>
      <c r="AS98" s="96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95"/>
      <c r="BM98" s="95"/>
      <c r="BN98" s="95"/>
    </row>
    <row r="99" spans="2:66" x14ac:dyDescent="0.3">
      <c r="X99" s="10"/>
      <c r="Y99" s="10"/>
      <c r="Z99" s="96"/>
      <c r="AA99" s="96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16"/>
      <c r="AM99" s="116"/>
      <c r="AN99" s="116"/>
      <c r="AO99" s="116"/>
      <c r="AP99" s="96"/>
      <c r="AQ99" s="96"/>
      <c r="AR99" s="116"/>
      <c r="AS99" s="96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2:66" x14ac:dyDescent="0.3">
      <c r="X100" s="10"/>
      <c r="Y100" s="10"/>
      <c r="Z100" s="96"/>
      <c r="AA100" s="96"/>
      <c r="AB100" s="96"/>
      <c r="AC100" s="96"/>
      <c r="AD100" s="160"/>
      <c r="AE100" s="160"/>
      <c r="AF100" s="160"/>
      <c r="AG100" s="160"/>
      <c r="AH100" s="160"/>
      <c r="AI100" s="160"/>
      <c r="AJ100" s="160"/>
      <c r="AK100" s="96"/>
      <c r="AL100" s="116"/>
      <c r="AM100" s="116"/>
      <c r="AN100" s="116"/>
      <c r="AO100" s="116"/>
      <c r="AP100" s="96"/>
      <c r="AQ100" s="96"/>
      <c r="AR100" s="116"/>
      <c r="AS100" s="96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2:66" x14ac:dyDescent="0.3">
      <c r="X101" s="10"/>
      <c r="Y101" s="10"/>
      <c r="Z101" s="96"/>
      <c r="AA101" s="96"/>
      <c r="AB101" s="96"/>
      <c r="AC101" s="96"/>
      <c r="AD101" s="160"/>
      <c r="AE101" s="160"/>
      <c r="AF101" s="160"/>
      <c r="AG101" s="160"/>
      <c r="AH101" s="160"/>
      <c r="AI101" s="160"/>
      <c r="AJ101" s="160"/>
      <c r="AK101" s="96"/>
      <c r="AL101" s="116"/>
      <c r="AM101" s="116"/>
      <c r="AN101" s="116"/>
      <c r="AO101" s="116"/>
      <c r="AP101" s="96"/>
      <c r="AQ101" s="96"/>
      <c r="AR101" s="11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2:66" x14ac:dyDescent="0.3">
      <c r="X102" s="10"/>
      <c r="Y102" s="10"/>
      <c r="Z102" s="96"/>
      <c r="AA102" s="96"/>
      <c r="AB102" s="96"/>
      <c r="AC102" s="96"/>
      <c r="AD102" s="160"/>
      <c r="AE102" s="160"/>
      <c r="AF102" s="160"/>
      <c r="AG102" s="160"/>
      <c r="AH102" s="160"/>
      <c r="AI102" s="160"/>
      <c r="AJ102" s="160"/>
      <c r="AK102" s="96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2:66" x14ac:dyDescent="0.3">
      <c r="X103" s="10"/>
      <c r="Y103" s="10"/>
      <c r="Z103" s="96"/>
      <c r="AA103" s="96"/>
      <c r="AB103" s="96"/>
      <c r="AC103" s="96"/>
      <c r="AD103" s="160"/>
      <c r="AE103" s="160"/>
      <c r="AF103" s="160"/>
      <c r="AG103" s="160"/>
      <c r="AH103" s="160"/>
      <c r="AI103" s="160"/>
      <c r="AJ103" s="160"/>
      <c r="AK103" s="96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2:66" x14ac:dyDescent="0.3">
      <c r="X104" s="10"/>
      <c r="Y104" s="10"/>
      <c r="Z104" s="96"/>
      <c r="AA104" s="96"/>
      <c r="AB104" s="96"/>
      <c r="AC104" s="96"/>
      <c r="AD104" s="160"/>
      <c r="AE104" s="160"/>
      <c r="AF104" s="160"/>
      <c r="AG104" s="160"/>
      <c r="AH104" s="160"/>
      <c r="AI104" s="160"/>
      <c r="AJ104" s="160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2:66" x14ac:dyDescent="0.3">
      <c r="X105" s="10"/>
      <c r="Y105" s="10"/>
      <c r="Z105" s="96"/>
      <c r="AA105" s="96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96"/>
      <c r="AM105" s="96"/>
      <c r="AN105" s="96"/>
      <c r="AO105" s="96"/>
      <c r="AP105" s="96"/>
      <c r="AQ105" s="11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:66" x14ac:dyDescent="0.3">
      <c r="X106" s="10"/>
      <c r="Y106" s="10"/>
      <c r="Z106" s="96"/>
      <c r="AA106" s="96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96"/>
      <c r="AQ106" s="9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:66" x14ac:dyDescent="0.3"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96"/>
      <c r="AK107" s="116"/>
      <c r="AL107" s="161"/>
      <c r="AM107" s="161"/>
      <c r="AN107" s="161"/>
      <c r="AO107" s="161"/>
      <c r="AP107" s="116"/>
      <c r="AQ107" s="116"/>
      <c r="AR107" s="116"/>
      <c r="AS107" s="116"/>
    </row>
    <row r="108" spans="2:66" x14ac:dyDescent="0.3">
      <c r="B108" s="131"/>
      <c r="D108" s="59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96"/>
      <c r="AM108" s="96"/>
      <c r="AN108" s="96"/>
      <c r="AO108" s="96"/>
      <c r="AP108" s="116"/>
      <c r="AQ108" s="162"/>
      <c r="AR108" s="116"/>
      <c r="AS108" s="116"/>
    </row>
    <row r="109" spans="2:66" x14ac:dyDescent="0.3">
      <c r="B109" s="1"/>
      <c r="D109" s="59"/>
      <c r="R109" s="65"/>
      <c r="S109" s="65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</row>
    <row r="110" spans="2:66" x14ac:dyDescent="0.3">
      <c r="B110" s="1"/>
      <c r="D110" s="59"/>
      <c r="R110" s="65"/>
      <c r="S110" s="65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</row>
    <row r="111" spans="2:66" x14ac:dyDescent="0.3">
      <c r="B111" s="1"/>
      <c r="D111" s="59"/>
      <c r="R111" s="65"/>
      <c r="S111" s="65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</row>
    <row r="112" spans="2:66" x14ac:dyDescent="0.3">
      <c r="B112" s="1"/>
      <c r="D112" s="59"/>
      <c r="R112" s="65"/>
      <c r="S112" s="65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</row>
    <row r="113" spans="2:34" x14ac:dyDescent="0.3">
      <c r="B113" s="59"/>
      <c r="D113" s="59"/>
      <c r="R113" s="65"/>
      <c r="S113" s="65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</row>
    <row r="114" spans="2:34" x14ac:dyDescent="0.3">
      <c r="B114" s="61"/>
      <c r="D114" s="59"/>
      <c r="R114" s="65"/>
      <c r="S114" s="65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</row>
    <row r="115" spans="2:34" x14ac:dyDescent="0.3">
      <c r="B115" s="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</row>
    <row r="116" spans="2:34" x14ac:dyDescent="0.3">
      <c r="B116" s="1"/>
      <c r="D116" s="59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</row>
    <row r="117" spans="2:34" x14ac:dyDescent="0.3">
      <c r="B117" s="1"/>
      <c r="D117" s="59"/>
    </row>
    <row r="118" spans="2:34" x14ac:dyDescent="0.3">
      <c r="B118" s="1"/>
      <c r="D118" s="59"/>
    </row>
    <row r="119" spans="2:34" x14ac:dyDescent="0.3">
      <c r="B119" s="61" t="e">
        <f>+B118/B117</f>
        <v>#DIV/0!</v>
      </c>
      <c r="D119" s="59"/>
    </row>
    <row r="120" spans="2:34" x14ac:dyDescent="0.3">
      <c r="B120" s="1"/>
      <c r="D120" s="59"/>
    </row>
    <row r="121" spans="2:34" x14ac:dyDescent="0.3">
      <c r="B121" s="1"/>
      <c r="D121" s="59"/>
    </row>
    <row r="122" spans="2:34" x14ac:dyDescent="0.3">
      <c r="B122" s="1">
        <f>+B118*50</f>
        <v>0</v>
      </c>
      <c r="D122" s="59"/>
    </row>
    <row r="123" spans="2:34" x14ac:dyDescent="0.3">
      <c r="B123" s="1"/>
      <c r="D123" s="59"/>
    </row>
    <row r="124" spans="2:34" x14ac:dyDescent="0.3">
      <c r="B124" s="1"/>
      <c r="D124" s="59"/>
    </row>
    <row r="125" spans="2:34" x14ac:dyDescent="0.3">
      <c r="B125" s="1"/>
      <c r="D125" s="59"/>
    </row>
    <row r="126" spans="2:34" x14ac:dyDescent="0.3">
      <c r="B126" s="1"/>
      <c r="D126" s="59"/>
    </row>
    <row r="127" spans="2:34" x14ac:dyDescent="0.3">
      <c r="B127" s="1"/>
      <c r="D127" s="59"/>
    </row>
    <row r="128" spans="2:34" x14ac:dyDescent="0.3">
      <c r="B128" s="1"/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</row>
    <row r="133" spans="2:4" x14ac:dyDescent="0.3">
      <c r="B133" s="1"/>
    </row>
    <row r="134" spans="2:4" x14ac:dyDescent="0.3">
      <c r="B134" s="1"/>
    </row>
    <row r="135" spans="2:4" x14ac:dyDescent="0.3">
      <c r="B135" s="1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</sheetData>
  <mergeCells count="16">
    <mergeCell ref="AB4:BH4"/>
    <mergeCell ref="AU6:BH6"/>
    <mergeCell ref="AQ7:BH7"/>
    <mergeCell ref="AB7:AO7"/>
    <mergeCell ref="B1:D1"/>
    <mergeCell ref="B2:D2"/>
    <mergeCell ref="J4:W4"/>
    <mergeCell ref="D7:J7"/>
    <mergeCell ref="B3:C3"/>
    <mergeCell ref="F6:L6"/>
    <mergeCell ref="S6:Z6"/>
    <mergeCell ref="Q7:Z7"/>
    <mergeCell ref="AB6:AO6"/>
    <mergeCell ref="AQ6:AS6"/>
    <mergeCell ref="AQ8:AS8"/>
    <mergeCell ref="AU8:BC8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79"/>
  <sheetViews>
    <sheetView topLeftCell="A25" workbookViewId="0">
      <selection activeCell="AO41" sqref="AO41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76" t="s">
        <v>5</v>
      </c>
      <c r="D1" s="176"/>
      <c r="E1" s="176"/>
    </row>
    <row r="2" spans="3:40" ht="15.6" x14ac:dyDescent="0.3">
      <c r="C2" s="176" t="s">
        <v>6</v>
      </c>
      <c r="D2" s="176"/>
      <c r="E2" s="176"/>
    </row>
    <row r="3" spans="3:40" x14ac:dyDescent="0.3">
      <c r="C3" s="177" t="s">
        <v>14</v>
      </c>
      <c r="D3" s="177"/>
    </row>
    <row r="4" spans="3:40" x14ac:dyDescent="0.3">
      <c r="D4" s="177"/>
      <c r="E4" s="177"/>
    </row>
    <row r="5" spans="3:40" x14ac:dyDescent="0.3">
      <c r="D5" s="177"/>
      <c r="E5" s="177"/>
    </row>
    <row r="6" spans="3:40" ht="15" thickBot="1" x14ac:dyDescent="0.35"/>
    <row r="7" spans="3:40" x14ac:dyDescent="0.3">
      <c r="C7" s="62" t="s">
        <v>81</v>
      </c>
      <c r="E7" s="402" t="s">
        <v>7</v>
      </c>
      <c r="F7" s="403"/>
      <c r="G7" s="406">
        <v>0.7</v>
      </c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7"/>
    </row>
    <row r="8" spans="3:40" x14ac:dyDescent="0.3">
      <c r="E8" s="486" t="s">
        <v>13</v>
      </c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5"/>
    </row>
    <row r="9" spans="3:40" x14ac:dyDescent="0.3">
      <c r="E9" s="400" t="s">
        <v>38</v>
      </c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92"/>
      <c r="Q9" s="490" t="s">
        <v>122</v>
      </c>
      <c r="R9" s="5"/>
      <c r="S9" s="484" t="s">
        <v>4</v>
      </c>
      <c r="T9" s="483"/>
      <c r="U9" s="485"/>
      <c r="W9" s="62" t="s">
        <v>19</v>
      </c>
    </row>
    <row r="10" spans="3:40" x14ac:dyDescent="0.3">
      <c r="E10" s="292" t="s">
        <v>8</v>
      </c>
      <c r="F10" s="5"/>
      <c r="G10" s="4" t="s">
        <v>52</v>
      </c>
      <c r="H10" s="5"/>
      <c r="I10" s="4" t="s">
        <v>53</v>
      </c>
      <c r="J10" s="5"/>
      <c r="K10" s="4" t="s">
        <v>9</v>
      </c>
      <c r="L10" s="5"/>
      <c r="M10" s="182" t="s">
        <v>82</v>
      </c>
      <c r="N10" s="125"/>
      <c r="O10" s="126" t="s">
        <v>16</v>
      </c>
      <c r="P10" s="482"/>
      <c r="Q10" s="491"/>
      <c r="R10" s="6"/>
      <c r="S10" s="4" t="s">
        <v>4</v>
      </c>
      <c r="T10" s="6"/>
      <c r="U10" s="293" t="s">
        <v>83</v>
      </c>
    </row>
    <row r="11" spans="3:40" x14ac:dyDescent="0.3">
      <c r="C11" s="180">
        <v>43910</v>
      </c>
      <c r="E11" s="29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487"/>
      <c r="R11" s="6"/>
      <c r="S11" s="6"/>
      <c r="T11" s="6"/>
      <c r="U11" s="295"/>
      <c r="W11">
        <v>1</v>
      </c>
      <c r="AL11" s="116"/>
      <c r="AM11" s="116"/>
      <c r="AN11" s="116"/>
    </row>
    <row r="12" spans="3:40" ht="15" thickBot="1" x14ac:dyDescent="0.35">
      <c r="C12" s="180">
        <f t="shared" ref="C12" si="0">+C11+1</f>
        <v>43911</v>
      </c>
      <c r="E12" s="29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487"/>
      <c r="R12" s="6"/>
      <c r="S12" s="6"/>
      <c r="T12" s="6"/>
      <c r="U12" s="295"/>
      <c r="W12">
        <f t="shared" ref="W12:W65" si="1">+W11+1</f>
        <v>2</v>
      </c>
      <c r="Z12" s="10"/>
      <c r="AA12" s="10"/>
      <c r="AB12" s="10"/>
      <c r="AC12" s="10"/>
      <c r="AD12" s="10"/>
      <c r="AE12" s="10"/>
      <c r="AF12" s="10"/>
      <c r="AG12" s="65"/>
      <c r="AH12" s="65"/>
      <c r="AI12" s="65"/>
      <c r="AJ12" s="65"/>
      <c r="AK12" s="65"/>
      <c r="AL12" s="116"/>
      <c r="AM12" s="116"/>
      <c r="AN12" s="116"/>
    </row>
    <row r="13" spans="3:40" ht="15" thickBot="1" x14ac:dyDescent="0.35">
      <c r="C13" s="180">
        <f>+C12+1</f>
        <v>43912</v>
      </c>
      <c r="E13" s="29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487"/>
      <c r="R13" s="6"/>
      <c r="S13" s="6"/>
      <c r="T13" s="6"/>
      <c r="U13" s="295"/>
      <c r="W13">
        <f t="shared" si="1"/>
        <v>3</v>
      </c>
      <c r="Z13" s="1"/>
      <c r="AA13" s="1"/>
      <c r="AB13" s="1"/>
      <c r="AC13" s="212" t="s">
        <v>62</v>
      </c>
      <c r="AD13" s="213"/>
      <c r="AE13" s="213"/>
      <c r="AF13" s="213"/>
      <c r="AG13" s="213"/>
      <c r="AH13" s="213"/>
      <c r="AI13" s="213"/>
      <c r="AJ13" s="213"/>
      <c r="AK13" s="214"/>
      <c r="AL13" s="163"/>
      <c r="AM13" s="163"/>
      <c r="AN13" s="116"/>
    </row>
    <row r="14" spans="3:40" ht="15" thickBot="1" x14ac:dyDescent="0.35">
      <c r="C14" s="180">
        <f t="shared" ref="C14:C65" si="2">+C13+1</f>
        <v>43913</v>
      </c>
      <c r="E14" s="29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487"/>
      <c r="R14" s="6"/>
      <c r="S14" s="6"/>
      <c r="T14" s="6"/>
      <c r="U14" s="295"/>
      <c r="W14">
        <f t="shared" si="1"/>
        <v>4</v>
      </c>
      <c r="Z14" s="1"/>
      <c r="AA14" s="1"/>
      <c r="AB14" s="1"/>
      <c r="AC14" s="215"/>
      <c r="AD14" s="413" t="s">
        <v>49</v>
      </c>
      <c r="AE14" s="414"/>
      <c r="AF14" s="415"/>
      <c r="AG14" s="216"/>
      <c r="AH14" s="411" t="s">
        <v>33</v>
      </c>
      <c r="AI14" s="217"/>
      <c r="AJ14" s="217"/>
      <c r="AK14" s="218"/>
      <c r="AL14" s="116"/>
      <c r="AM14" s="116"/>
      <c r="AN14" s="116"/>
    </row>
    <row r="15" spans="3:40" ht="15" thickBot="1" x14ac:dyDescent="0.35">
      <c r="C15" s="180">
        <f t="shared" si="2"/>
        <v>43914</v>
      </c>
      <c r="E15" s="29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487"/>
      <c r="R15" s="6"/>
      <c r="S15" s="6"/>
      <c r="T15" s="6"/>
      <c r="U15" s="295"/>
      <c r="W15">
        <f t="shared" si="1"/>
        <v>5</v>
      </c>
      <c r="Z15" s="1"/>
      <c r="AA15" s="1"/>
      <c r="AB15" s="1"/>
      <c r="AC15" s="199"/>
      <c r="AD15" s="178"/>
      <c r="AE15" s="178"/>
      <c r="AF15" s="219" t="s">
        <v>21</v>
      </c>
      <c r="AG15" s="220"/>
      <c r="AH15" s="412"/>
      <c r="AI15" s="221"/>
      <c r="AJ15" s="222" t="s">
        <v>4</v>
      </c>
      <c r="AK15" s="223"/>
      <c r="AL15" s="116"/>
      <c r="AM15" s="116"/>
      <c r="AN15" s="116"/>
    </row>
    <row r="16" spans="3:40" x14ac:dyDescent="0.3">
      <c r="C16" s="180">
        <f t="shared" si="2"/>
        <v>43915</v>
      </c>
      <c r="E16" s="29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487"/>
      <c r="R16" s="6"/>
      <c r="S16" s="6"/>
      <c r="T16" s="6"/>
      <c r="U16" s="295"/>
      <c r="W16">
        <f t="shared" si="1"/>
        <v>6</v>
      </c>
      <c r="Z16" s="1"/>
      <c r="AA16" s="1"/>
      <c r="AB16" s="1"/>
      <c r="AC16" s="199"/>
      <c r="AD16" s="211" t="s">
        <v>40</v>
      </c>
      <c r="AE16" s="178"/>
      <c r="AF16" s="211">
        <f>+K67</f>
        <v>498658</v>
      </c>
      <c r="AG16" s="210"/>
      <c r="AH16" s="224">
        <f>+AJ31</f>
        <v>1548.8266408991294</v>
      </c>
      <c r="AI16" s="224"/>
      <c r="AJ16" s="225">
        <f>+S67</f>
        <v>38077</v>
      </c>
      <c r="AK16" s="226"/>
      <c r="AL16" s="116"/>
      <c r="AM16" s="116"/>
      <c r="AN16" s="116"/>
    </row>
    <row r="17" spans="3:41" x14ac:dyDescent="0.3">
      <c r="C17" s="180">
        <f t="shared" si="2"/>
        <v>43916</v>
      </c>
      <c r="E17" s="29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487"/>
      <c r="R17" s="6"/>
      <c r="S17" s="6"/>
      <c r="T17" s="6"/>
      <c r="U17" s="295"/>
      <c r="W17">
        <f t="shared" si="1"/>
        <v>7</v>
      </c>
      <c r="Z17" s="65"/>
      <c r="AA17" s="65"/>
      <c r="AB17" s="10"/>
      <c r="AC17" s="199"/>
      <c r="AD17" s="227" t="s">
        <v>60</v>
      </c>
      <c r="AE17" s="178"/>
      <c r="AF17" s="171">
        <v>76743</v>
      </c>
      <c r="AG17" s="211"/>
      <c r="AH17" s="172">
        <v>1113</v>
      </c>
      <c r="AI17" s="224"/>
      <c r="AJ17" s="171">
        <v>4840</v>
      </c>
      <c r="AK17" s="228"/>
      <c r="AL17" s="116"/>
      <c r="AM17" s="96"/>
      <c r="AN17" s="96"/>
    </row>
    <row r="18" spans="3:41" x14ac:dyDescent="0.3">
      <c r="C18" s="180">
        <f t="shared" si="2"/>
        <v>43917</v>
      </c>
      <c r="E18" s="294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29"/>
      <c r="N18" s="29"/>
      <c r="O18" s="29"/>
      <c r="P18" s="29"/>
      <c r="Q18" s="488"/>
      <c r="R18" s="45"/>
      <c r="S18" s="6"/>
      <c r="T18" s="6"/>
      <c r="U18" s="296"/>
      <c r="W18">
        <f t="shared" si="1"/>
        <v>8</v>
      </c>
      <c r="Z18" s="1"/>
      <c r="AA18" s="1"/>
      <c r="AB18" s="1"/>
      <c r="AC18" s="199"/>
      <c r="AD18" s="211" t="s">
        <v>93</v>
      </c>
      <c r="AE18" s="178"/>
      <c r="AF18" s="171">
        <v>58560</v>
      </c>
      <c r="AG18" s="211"/>
      <c r="AH18" s="172">
        <v>457</v>
      </c>
      <c r="AI18" s="224"/>
      <c r="AJ18" s="171">
        <v>3779</v>
      </c>
      <c r="AK18" s="228"/>
      <c r="AL18" s="116"/>
      <c r="AM18" s="96"/>
      <c r="AN18" s="96"/>
    </row>
    <row r="19" spans="3:41" ht="15" thickBot="1" x14ac:dyDescent="0.35">
      <c r="C19" s="180">
        <f t="shared" si="2"/>
        <v>43918</v>
      </c>
      <c r="E19" s="294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29">
        <f t="shared" ref="M19:M30" si="4">+(K19-K18)/K18</f>
        <v>0.1815252816835832</v>
      </c>
      <c r="N19" s="29"/>
      <c r="O19" s="29"/>
      <c r="P19" s="29"/>
      <c r="Q19" s="493">
        <f>+K19-K18</f>
        <v>9747</v>
      </c>
      <c r="R19" s="45"/>
      <c r="S19" s="7">
        <f>728+140</f>
        <v>868</v>
      </c>
      <c r="T19" s="6"/>
      <c r="U19" s="296">
        <f>+S19/K19</f>
        <v>1.3681788089908893E-2</v>
      </c>
      <c r="W19">
        <f t="shared" si="1"/>
        <v>9</v>
      </c>
      <c r="Z19" s="1"/>
      <c r="AA19" s="1"/>
      <c r="AB19" s="10"/>
      <c r="AC19" s="199"/>
      <c r="AD19" s="178"/>
      <c r="AE19" s="178"/>
      <c r="AF19" s="229">
        <f>SUM(AF16:AF18)</f>
        <v>633961</v>
      </c>
      <c r="AG19" s="211"/>
      <c r="AH19" s="211"/>
      <c r="AI19" s="211"/>
      <c r="AJ19" s="229">
        <f>SUM(AJ16:AJ18)</f>
        <v>46696</v>
      </c>
      <c r="AK19" s="228"/>
      <c r="AL19" s="116"/>
      <c r="AM19" s="96"/>
      <c r="AN19" s="96"/>
    </row>
    <row r="20" spans="3:41" ht="15" thickTop="1" x14ac:dyDescent="0.3">
      <c r="C20" s="180">
        <f t="shared" si="2"/>
        <v>43919</v>
      </c>
      <c r="E20" s="294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29">
        <f t="shared" si="4"/>
        <v>0.14906528797957189</v>
      </c>
      <c r="N20" s="29"/>
      <c r="O20" s="29"/>
      <c r="P20" s="29"/>
      <c r="Q20" s="493">
        <f t="shared" ref="Q20:Q61" si="5">+K20-K19</f>
        <v>9457</v>
      </c>
      <c r="R20" s="45"/>
      <c r="S20" s="7">
        <f>965+161</f>
        <v>1126</v>
      </c>
      <c r="T20" s="6"/>
      <c r="U20" s="296">
        <f t="shared" ref="U20:U52" si="6">+S20/K20</f>
        <v>1.5446028066228617E-2</v>
      </c>
      <c r="W20">
        <f t="shared" si="1"/>
        <v>10</v>
      </c>
      <c r="Z20" s="1"/>
      <c r="AA20" s="1"/>
      <c r="AB20" s="1"/>
      <c r="AC20" s="199"/>
      <c r="AD20" s="178"/>
      <c r="AE20" s="178"/>
      <c r="AF20" s="211"/>
      <c r="AG20" s="211"/>
      <c r="AH20" s="211"/>
      <c r="AI20" s="211"/>
      <c r="AJ20" s="211"/>
      <c r="AK20" s="228"/>
      <c r="AL20" s="116"/>
      <c r="AM20" s="96"/>
      <c r="AN20" s="96"/>
    </row>
    <row r="21" spans="3:41" ht="15" thickBot="1" x14ac:dyDescent="0.35">
      <c r="C21" s="180">
        <f t="shared" si="2"/>
        <v>43920</v>
      </c>
      <c r="E21" s="294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29">
        <f t="shared" si="4"/>
        <v>0.13997448524671122</v>
      </c>
      <c r="N21" s="29"/>
      <c r="O21" s="29"/>
      <c r="P21" s="29"/>
      <c r="Q21" s="493">
        <f t="shared" si="5"/>
        <v>10204</v>
      </c>
      <c r="R21" s="45"/>
      <c r="S21" s="7">
        <f>1218+198</f>
        <v>1416</v>
      </c>
      <c r="T21" s="6"/>
      <c r="U21" s="296">
        <f t="shared" si="6"/>
        <v>1.7039096061514023E-2</v>
      </c>
      <c r="W21">
        <f t="shared" si="1"/>
        <v>11</v>
      </c>
      <c r="Z21" s="1"/>
      <c r="AA21" s="1"/>
      <c r="AB21" s="1"/>
      <c r="AC21" s="199"/>
      <c r="AD21" s="230" t="s">
        <v>30</v>
      </c>
      <c r="AE21" s="178"/>
      <c r="AF21" s="231">
        <f>+AF19/'Main Table'!H65</f>
        <v>0.4706805167112999</v>
      </c>
      <c r="AG21" s="211"/>
      <c r="AH21" s="211"/>
      <c r="AI21" s="211"/>
      <c r="AJ21" s="231">
        <f>+AJ19/'Main Table'!U65</f>
        <v>0.58352494251724485</v>
      </c>
      <c r="AK21" s="228"/>
      <c r="AL21" s="116"/>
      <c r="AM21" s="96"/>
      <c r="AN21" s="96"/>
    </row>
    <row r="22" spans="3:41" ht="15.6" thickTop="1" thickBot="1" x14ac:dyDescent="0.35">
      <c r="C22" s="180">
        <f t="shared" si="2"/>
        <v>43921</v>
      </c>
      <c r="E22" s="294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29">
        <f t="shared" si="4"/>
        <v>0.13703476408793908</v>
      </c>
      <c r="N22" s="29"/>
      <c r="O22" s="29"/>
      <c r="P22" s="29"/>
      <c r="Q22" s="493">
        <f t="shared" si="5"/>
        <v>11388</v>
      </c>
      <c r="R22" s="6"/>
      <c r="S22" s="7">
        <f>1550+267</f>
        <v>1817</v>
      </c>
      <c r="T22" s="6"/>
      <c r="U22" s="296">
        <f t="shared" si="6"/>
        <v>1.9229344593665005E-2</v>
      </c>
      <c r="W22">
        <f t="shared" si="1"/>
        <v>12</v>
      </c>
      <c r="Z22" s="1"/>
      <c r="AA22" s="1"/>
      <c r="AB22" s="1"/>
      <c r="AC22" s="204"/>
      <c r="AD22" s="232"/>
      <c r="AE22" s="205"/>
      <c r="AF22" s="233"/>
      <c r="AG22" s="234"/>
      <c r="AH22" s="234"/>
      <c r="AI22" s="234"/>
      <c r="AJ22" s="233"/>
      <c r="AK22" s="235"/>
      <c r="AL22" s="116"/>
      <c r="AM22" s="96"/>
      <c r="AN22" s="96"/>
    </row>
    <row r="23" spans="3:41" x14ac:dyDescent="0.3">
      <c r="C23" s="180">
        <f t="shared" si="2"/>
        <v>43922</v>
      </c>
      <c r="E23" s="294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29">
        <f t="shared" si="4"/>
        <v>0.12145072017440814</v>
      </c>
      <c r="N23" s="29"/>
      <c r="O23" s="29"/>
      <c r="P23" s="29"/>
      <c r="Q23" s="493">
        <f t="shared" si="5"/>
        <v>11476</v>
      </c>
      <c r="R23" s="6"/>
      <c r="S23" s="7">
        <f>1941+355</f>
        <v>2296</v>
      </c>
      <c r="T23" s="6"/>
      <c r="U23" s="296">
        <f t="shared" si="6"/>
        <v>2.1667122783508075E-2</v>
      </c>
      <c r="W23">
        <f t="shared" si="1"/>
        <v>13</v>
      </c>
      <c r="Z23" s="1"/>
      <c r="AA23" s="1"/>
      <c r="AB23" s="96"/>
      <c r="AC23" s="96"/>
      <c r="AD23" s="101"/>
      <c r="AE23" s="96"/>
      <c r="AF23" s="102"/>
      <c r="AG23" s="96"/>
      <c r="AH23" s="96"/>
      <c r="AI23" s="96"/>
      <c r="AJ23" s="96"/>
      <c r="AK23" s="96"/>
      <c r="AL23" s="102"/>
      <c r="AM23" s="96"/>
      <c r="AN23" s="96"/>
    </row>
    <row r="24" spans="3:41" ht="15" thickBot="1" x14ac:dyDescent="0.35">
      <c r="C24" s="180">
        <f t="shared" si="2"/>
        <v>43923</v>
      </c>
      <c r="E24" s="294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29">
        <f t="shared" si="4"/>
        <v>0.11446016212594487</v>
      </c>
      <c r="N24" s="29"/>
      <c r="O24" s="29"/>
      <c r="P24" s="29"/>
      <c r="Q24" s="493">
        <f t="shared" si="5"/>
        <v>12129</v>
      </c>
      <c r="R24" s="6"/>
      <c r="S24" s="7">
        <f>2373+537</f>
        <v>2910</v>
      </c>
      <c r="T24" s="6"/>
      <c r="U24" s="296">
        <f t="shared" si="6"/>
        <v>2.4640970058257688E-2</v>
      </c>
      <c r="W24">
        <f t="shared" si="1"/>
        <v>14</v>
      </c>
      <c r="Z24" s="1"/>
      <c r="AA24" s="1"/>
      <c r="AB24" s="96"/>
      <c r="AC24" s="96"/>
      <c r="AD24" s="101"/>
      <c r="AE24" s="96"/>
      <c r="AF24" s="96"/>
      <c r="AG24" s="96"/>
      <c r="AH24" s="96"/>
      <c r="AI24" s="96"/>
      <c r="AJ24" s="96"/>
      <c r="AK24" s="96"/>
      <c r="AL24" s="121"/>
      <c r="AM24" s="96"/>
      <c r="AN24" s="96"/>
      <c r="AO24" s="124"/>
    </row>
    <row r="25" spans="3:41" ht="15" thickBot="1" x14ac:dyDescent="0.35">
      <c r="C25" s="180">
        <f t="shared" si="2"/>
        <v>43924</v>
      </c>
      <c r="E25" s="294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29">
        <f t="shared" si="4"/>
        <v>0.12582136566860858</v>
      </c>
      <c r="N25" s="29"/>
      <c r="O25" s="29"/>
      <c r="P25" s="29"/>
      <c r="Q25" s="493">
        <f t="shared" si="5"/>
        <v>14859</v>
      </c>
      <c r="R25" s="6"/>
      <c r="S25" s="7">
        <f>2935+646</f>
        <v>3581</v>
      </c>
      <c r="T25" s="6"/>
      <c r="U25" s="296">
        <f t="shared" si="6"/>
        <v>2.6933925012222179E-2</v>
      </c>
      <c r="W25">
        <f t="shared" si="1"/>
        <v>15</v>
      </c>
      <c r="Z25" s="1"/>
      <c r="AA25" s="413" t="s">
        <v>58</v>
      </c>
      <c r="AB25" s="414"/>
      <c r="AC25" s="414"/>
      <c r="AD25" s="414"/>
      <c r="AE25" s="414"/>
      <c r="AF25" s="414"/>
      <c r="AG25" s="414"/>
      <c r="AH25" s="414"/>
      <c r="AI25" s="414"/>
      <c r="AJ25" s="414"/>
      <c r="AK25" s="415"/>
      <c r="AL25" s="163"/>
      <c r="AM25" s="163"/>
      <c r="AN25" s="96"/>
      <c r="AO25" s="124"/>
    </row>
    <row r="26" spans="3:41" x14ac:dyDescent="0.3">
      <c r="C26" s="180">
        <f t="shared" si="2"/>
        <v>43925</v>
      </c>
      <c r="E26" s="294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29">
        <f t="shared" si="4"/>
        <v>0.1128351697942913</v>
      </c>
      <c r="N26" s="29"/>
      <c r="O26" s="29"/>
      <c r="P26" s="29"/>
      <c r="Q26" s="493">
        <f t="shared" si="5"/>
        <v>15002</v>
      </c>
      <c r="R26" s="6"/>
      <c r="S26" s="7">
        <f>3565+846</f>
        <v>4411</v>
      </c>
      <c r="T26" s="6"/>
      <c r="U26" s="296">
        <f t="shared" si="6"/>
        <v>2.9812715856634021E-2</v>
      </c>
      <c r="W26">
        <f t="shared" si="1"/>
        <v>16</v>
      </c>
      <c r="Z26" s="1"/>
      <c r="AA26" s="195"/>
      <c r="AB26" s="196" t="s">
        <v>54</v>
      </c>
      <c r="AC26" s="197"/>
      <c r="AD26" s="196" t="s">
        <v>21</v>
      </c>
      <c r="AE26" s="197"/>
      <c r="AF26" s="196" t="s">
        <v>55</v>
      </c>
      <c r="AG26" s="197"/>
      <c r="AH26" s="196" t="s">
        <v>57</v>
      </c>
      <c r="AI26" s="197"/>
      <c r="AJ26" s="196" t="s">
        <v>56</v>
      </c>
      <c r="AK26" s="198"/>
      <c r="AL26" s="124"/>
      <c r="AM26" s="124"/>
      <c r="AN26" s="96"/>
      <c r="AO26" s="124"/>
    </row>
    <row r="27" spans="3:41" x14ac:dyDescent="0.3">
      <c r="C27" s="180">
        <f t="shared" si="2"/>
        <v>43926</v>
      </c>
      <c r="E27" s="294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29">
        <f t="shared" si="4"/>
        <v>8.5889819339402665E-2</v>
      </c>
      <c r="N27" s="29"/>
      <c r="O27" s="29"/>
      <c r="P27" s="29"/>
      <c r="Q27" s="493">
        <f t="shared" si="5"/>
        <v>12708</v>
      </c>
      <c r="R27" s="6"/>
      <c r="S27" s="7">
        <f>4150+914</f>
        <v>5064</v>
      </c>
      <c r="T27" s="6"/>
      <c r="U27" s="296">
        <f t="shared" si="6"/>
        <v>3.1518999159742322E-2</v>
      </c>
      <c r="W27">
        <f t="shared" si="1"/>
        <v>17</v>
      </c>
      <c r="Z27" s="1"/>
      <c r="AA27" s="199"/>
      <c r="AB27" s="178" t="s">
        <v>51</v>
      </c>
      <c r="AC27" s="178"/>
      <c r="AD27" s="178">
        <f>+E67</f>
        <v>330407</v>
      </c>
      <c r="AE27" s="178"/>
      <c r="AF27" s="209">
        <v>1712</v>
      </c>
      <c r="AG27" s="178"/>
      <c r="AH27" s="200">
        <f>+AD27/AD$31</f>
        <v>0.57422041324224327</v>
      </c>
      <c r="AI27" s="200"/>
      <c r="AJ27" s="178">
        <f>+AF27*AH27</f>
        <v>983.06534747072044</v>
      </c>
      <c r="AK27" s="201"/>
      <c r="AL27" s="124"/>
      <c r="AM27" s="96"/>
      <c r="AN27" s="96"/>
      <c r="AO27" s="124"/>
    </row>
    <row r="28" spans="3:41" x14ac:dyDescent="0.3">
      <c r="C28" s="180">
        <f t="shared" si="2"/>
        <v>43927</v>
      </c>
      <c r="E28" s="294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29">
        <f t="shared" si="4"/>
        <v>7.4596209504247973E-2</v>
      </c>
      <c r="N28" s="29"/>
      <c r="O28" s="29"/>
      <c r="P28" s="29"/>
      <c r="Q28" s="493">
        <f t="shared" si="5"/>
        <v>11985</v>
      </c>
      <c r="R28" s="6"/>
      <c r="S28" s="7">
        <f>4758+1003</f>
        <v>5761</v>
      </c>
      <c r="T28" s="6"/>
      <c r="U28" s="296">
        <f t="shared" si="6"/>
        <v>3.3368085722560094E-2</v>
      </c>
      <c r="W28">
        <f t="shared" si="1"/>
        <v>18</v>
      </c>
      <c r="Z28" s="1"/>
      <c r="AA28" s="199"/>
      <c r="AB28" s="178" t="s">
        <v>52</v>
      </c>
      <c r="AC28" s="178"/>
      <c r="AD28" s="178">
        <f>+G67</f>
        <v>135840</v>
      </c>
      <c r="AE28" s="178"/>
      <c r="AF28" s="209">
        <v>1547</v>
      </c>
      <c r="AG28" s="178"/>
      <c r="AH28" s="200">
        <f>+AD28/AD$31</f>
        <v>0.23607883893145823</v>
      </c>
      <c r="AI28" s="200"/>
      <c r="AJ28" s="178">
        <f>+AF28*AH28</f>
        <v>365.21396382696588</v>
      </c>
      <c r="AK28" s="201"/>
      <c r="AL28" s="124"/>
      <c r="AM28" s="96"/>
      <c r="AN28" s="96"/>
      <c r="AO28" s="124"/>
    </row>
    <row r="29" spans="3:41" x14ac:dyDescent="0.3">
      <c r="C29" s="180">
        <f t="shared" si="2"/>
        <v>43928</v>
      </c>
      <c r="E29" s="294">
        <v>139876</v>
      </c>
      <c r="F29" s="7"/>
      <c r="G29" s="7">
        <f>44416</f>
        <v>44416</v>
      </c>
      <c r="H29" s="7"/>
      <c r="I29" s="7"/>
      <c r="J29" s="297" t="s">
        <v>41</v>
      </c>
      <c r="K29" s="7">
        <f t="shared" si="3"/>
        <v>184292</v>
      </c>
      <c r="L29" s="6"/>
      <c r="M29" s="29">
        <f t="shared" si="4"/>
        <v>6.7431219229655379E-2</v>
      </c>
      <c r="N29" s="29"/>
      <c r="O29" s="29"/>
      <c r="P29" s="29"/>
      <c r="Q29" s="493">
        <f t="shared" si="5"/>
        <v>11642</v>
      </c>
      <c r="R29" s="6"/>
      <c r="S29" s="7">
        <f>5489+1232+277</f>
        <v>6998</v>
      </c>
      <c r="T29" s="6"/>
      <c r="U29" s="296">
        <f t="shared" si="6"/>
        <v>3.7972348229982855E-2</v>
      </c>
      <c r="W29">
        <f t="shared" si="1"/>
        <v>19</v>
      </c>
      <c r="Z29" s="1"/>
      <c r="AA29" s="199"/>
      <c r="AB29" s="178" t="s">
        <v>53</v>
      </c>
      <c r="AC29" s="178"/>
      <c r="AD29" s="178">
        <f>+I67</f>
        <v>32411</v>
      </c>
      <c r="AE29" s="178"/>
      <c r="AF29" s="209">
        <v>925</v>
      </c>
      <c r="AG29" s="178"/>
      <c r="AH29" s="200">
        <f>+AD29/AD$31</f>
        <v>5.6327674091633487E-2</v>
      </c>
      <c r="AI29" s="200"/>
      <c r="AJ29" s="178">
        <f>+AF29*AH29</f>
        <v>52.103098534760974</v>
      </c>
      <c r="AK29" s="201"/>
      <c r="AL29" s="124"/>
      <c r="AM29" s="96"/>
      <c r="AN29" s="96"/>
      <c r="AO29" s="124"/>
    </row>
    <row r="30" spans="3:41" x14ac:dyDescent="0.3">
      <c r="C30" s="180">
        <f t="shared" si="2"/>
        <v>43929</v>
      </c>
      <c r="E30" s="294">
        <v>151069</v>
      </c>
      <c r="F30" s="7"/>
      <c r="G30" s="7">
        <f>47437</f>
        <v>47437</v>
      </c>
      <c r="H30" s="7"/>
      <c r="I30" s="7">
        <v>8781</v>
      </c>
      <c r="J30" s="297"/>
      <c r="K30" s="7">
        <f>SUM(E30:I30)</f>
        <v>207287</v>
      </c>
      <c r="L30" s="6"/>
      <c r="M30" s="29">
        <f t="shared" si="4"/>
        <v>0.12477481388231719</v>
      </c>
      <c r="N30" s="29"/>
      <c r="O30" s="29"/>
      <c r="P30" s="29"/>
      <c r="Q30" s="493">
        <f t="shared" si="5"/>
        <v>22995</v>
      </c>
      <c r="R30" s="6"/>
      <c r="S30" s="7">
        <f>6268+1504+335</f>
        <v>8107</v>
      </c>
      <c r="T30" s="6"/>
      <c r="U30" s="296">
        <f t="shared" si="6"/>
        <v>3.9110026195564605E-2</v>
      </c>
      <c r="W30">
        <f t="shared" si="1"/>
        <v>20</v>
      </c>
      <c r="Z30" s="1"/>
      <c r="AA30" s="195"/>
      <c r="AB30" s="178" t="s">
        <v>109</v>
      </c>
      <c r="AC30" s="290"/>
      <c r="AD30" s="178">
        <f>+AF17</f>
        <v>76743</v>
      </c>
      <c r="AE30" s="290"/>
      <c r="AF30" s="178">
        <f>+AH17</f>
        <v>1113</v>
      </c>
      <c r="AG30" s="290"/>
      <c r="AH30" s="200">
        <f>+AD30/AD$31</f>
        <v>0.13337307373466503</v>
      </c>
      <c r="AI30" s="290"/>
      <c r="AJ30" s="178">
        <f>+AF30*AH30</f>
        <v>148.44423106668219</v>
      </c>
      <c r="AK30" s="201"/>
      <c r="AL30" s="124"/>
      <c r="AM30" s="96"/>
      <c r="AN30" s="96"/>
      <c r="AO30" s="124"/>
    </row>
    <row r="31" spans="3:41" ht="15" thickBot="1" x14ac:dyDescent="0.35">
      <c r="C31" s="180">
        <f t="shared" si="2"/>
        <v>43930</v>
      </c>
      <c r="E31" s="294">
        <v>161790</v>
      </c>
      <c r="F31" s="7"/>
      <c r="G31" s="7">
        <f>51027</f>
        <v>51027</v>
      </c>
      <c r="H31" s="7"/>
      <c r="I31" s="7">
        <v>9784</v>
      </c>
      <c r="J31" s="297"/>
      <c r="K31" s="7">
        <f t="shared" ref="K31:K52" si="7">SUM(E31:I31)</f>
        <v>222601</v>
      </c>
      <c r="L31" s="6"/>
      <c r="M31" s="29">
        <f>+(K31-K30)/K30</f>
        <v>7.3878246103228851E-2</v>
      </c>
      <c r="N31" s="29"/>
      <c r="O31" s="29"/>
      <c r="P31" s="29"/>
      <c r="Q31" s="493">
        <f t="shared" si="5"/>
        <v>15314</v>
      </c>
      <c r="R31" s="6"/>
      <c r="S31" s="7">
        <f>7067+1209+380</f>
        <v>8656</v>
      </c>
      <c r="T31" s="6"/>
      <c r="U31" s="296">
        <f t="shared" si="6"/>
        <v>3.8885719291467696E-2</v>
      </c>
      <c r="W31">
        <f t="shared" si="1"/>
        <v>21</v>
      </c>
      <c r="Z31" s="1"/>
      <c r="AA31" s="199"/>
      <c r="AB31" s="178"/>
      <c r="AC31" s="178"/>
      <c r="AD31" s="202">
        <f>SUM(AD27:AD30)</f>
        <v>575401</v>
      </c>
      <c r="AE31" s="178"/>
      <c r="AF31" s="178"/>
      <c r="AG31" s="178"/>
      <c r="AH31" s="203">
        <f>SUM(AH27:AH30)</f>
        <v>1</v>
      </c>
      <c r="AI31" s="200"/>
      <c r="AJ31" s="202">
        <f>SUM(AJ27:AJ30)</f>
        <v>1548.8266408991294</v>
      </c>
      <c r="AK31" s="201"/>
      <c r="AL31" s="124"/>
      <c r="AM31" s="96"/>
      <c r="AN31" s="96"/>
      <c r="AO31" s="124"/>
    </row>
    <row r="32" spans="3:41" ht="15.6" thickTop="1" thickBot="1" x14ac:dyDescent="0.35">
      <c r="C32" s="180">
        <f t="shared" si="2"/>
        <v>43931</v>
      </c>
      <c r="E32" s="294">
        <v>174481</v>
      </c>
      <c r="F32" s="7"/>
      <c r="G32" s="7">
        <f>54588</f>
        <v>54588</v>
      </c>
      <c r="H32" s="7"/>
      <c r="I32" s="7">
        <v>10538</v>
      </c>
      <c r="J32" s="297"/>
      <c r="K32" s="7">
        <f t="shared" si="7"/>
        <v>239607</v>
      </c>
      <c r="L32" s="6"/>
      <c r="M32" s="29">
        <f t="shared" ref="M32:M52" si="8">+(K32-K31)/K31</f>
        <v>7.6396781685616866E-2</v>
      </c>
      <c r="N32" s="29"/>
      <c r="O32" s="29"/>
      <c r="P32" s="29"/>
      <c r="Q32" s="493">
        <f t="shared" si="5"/>
        <v>17006</v>
      </c>
      <c r="R32" s="6"/>
      <c r="S32" s="7">
        <f>7884+1932+448</f>
        <v>10264</v>
      </c>
      <c r="T32" s="6"/>
      <c r="U32" s="296">
        <f t="shared" si="6"/>
        <v>4.2836811946228619E-2</v>
      </c>
      <c r="W32">
        <f t="shared" si="1"/>
        <v>22</v>
      </c>
      <c r="Z32" s="1"/>
      <c r="AA32" s="204"/>
      <c r="AB32" s="205"/>
      <c r="AC32" s="205"/>
      <c r="AD32" s="205"/>
      <c r="AE32" s="205"/>
      <c r="AF32" s="205"/>
      <c r="AG32" s="205"/>
      <c r="AH32" s="206"/>
      <c r="AI32" s="206"/>
      <c r="AJ32" s="207"/>
      <c r="AK32" s="208"/>
      <c r="AL32" s="124"/>
      <c r="AM32" s="96"/>
      <c r="AN32" s="96"/>
      <c r="AO32" s="124"/>
    </row>
    <row r="33" spans="3:40" x14ac:dyDescent="0.3">
      <c r="C33" s="180">
        <f t="shared" si="2"/>
        <v>43932</v>
      </c>
      <c r="E33" s="294">
        <v>181825</v>
      </c>
      <c r="F33" s="7"/>
      <c r="G33" s="7">
        <f>58151</f>
        <v>58151</v>
      </c>
      <c r="H33" s="7"/>
      <c r="I33" s="7">
        <v>11510</v>
      </c>
      <c r="J33" s="297"/>
      <c r="K33" s="7">
        <f t="shared" si="7"/>
        <v>251486</v>
      </c>
      <c r="L33" s="6"/>
      <c r="M33" s="29">
        <f t="shared" si="8"/>
        <v>4.9577015696536414E-2</v>
      </c>
      <c r="N33" s="29"/>
      <c r="O33" s="29"/>
      <c r="P33" s="29"/>
      <c r="Q33" s="493">
        <f t="shared" si="5"/>
        <v>11879</v>
      </c>
      <c r="R33" s="6"/>
      <c r="S33" s="7">
        <f>8650+2183+494</f>
        <v>11327</v>
      </c>
      <c r="T33" s="6"/>
      <c r="U33" s="296">
        <f t="shared" si="6"/>
        <v>4.5040280572278379E-2</v>
      </c>
      <c r="W33">
        <f t="shared" si="1"/>
        <v>23</v>
      </c>
    </row>
    <row r="34" spans="3:40" x14ac:dyDescent="0.3">
      <c r="C34" s="180">
        <f t="shared" si="2"/>
        <v>43933</v>
      </c>
      <c r="E34" s="294">
        <v>189033</v>
      </c>
      <c r="F34" s="7"/>
      <c r="G34" s="7">
        <f>61850</f>
        <v>61850</v>
      </c>
      <c r="H34" s="7"/>
      <c r="I34" s="7">
        <v>12035</v>
      </c>
      <c r="J34" s="297"/>
      <c r="K34" s="7">
        <f t="shared" si="7"/>
        <v>262918</v>
      </c>
      <c r="L34" s="6"/>
      <c r="M34" s="29">
        <f t="shared" si="8"/>
        <v>4.5457798843673208E-2</v>
      </c>
      <c r="N34" s="29"/>
      <c r="O34" s="29"/>
      <c r="P34" s="29"/>
      <c r="Q34" s="493">
        <f t="shared" si="5"/>
        <v>11432</v>
      </c>
      <c r="R34" s="6"/>
      <c r="S34" s="7">
        <f>9385+2350+554</f>
        <v>12289</v>
      </c>
      <c r="T34" s="6"/>
      <c r="U34" s="296">
        <f t="shared" si="6"/>
        <v>4.674080892141276E-2</v>
      </c>
      <c r="W34">
        <f t="shared" si="1"/>
        <v>24</v>
      </c>
    </row>
    <row r="35" spans="3:40" ht="15" thickBot="1" x14ac:dyDescent="0.35">
      <c r="C35" s="180">
        <f t="shared" si="2"/>
        <v>43934</v>
      </c>
      <c r="E35" s="294">
        <v>195749</v>
      </c>
      <c r="F35" s="7"/>
      <c r="G35" s="7">
        <f>64584</f>
        <v>64584</v>
      </c>
      <c r="H35" s="7"/>
      <c r="I35" s="7">
        <v>13381</v>
      </c>
      <c r="J35" s="297"/>
      <c r="K35" s="7">
        <f t="shared" si="7"/>
        <v>273714</v>
      </c>
      <c r="L35" s="6"/>
      <c r="M35" s="29">
        <f t="shared" si="8"/>
        <v>4.1062232330992932E-2</v>
      </c>
      <c r="N35" s="29"/>
      <c r="O35" s="29"/>
      <c r="P35" s="29"/>
      <c r="Q35" s="493">
        <f t="shared" si="5"/>
        <v>10796</v>
      </c>
      <c r="R35" s="6"/>
      <c r="S35" s="7">
        <f>10058+2443+602</f>
        <v>13103</v>
      </c>
      <c r="T35" s="6"/>
      <c r="U35" s="296">
        <f t="shared" si="6"/>
        <v>4.7871135564859668E-2</v>
      </c>
      <c r="W35">
        <f t="shared" si="1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6"/>
      <c r="AK35" s="96"/>
      <c r="AL35" s="96"/>
      <c r="AM35" s="96"/>
      <c r="AN35" s="96"/>
    </row>
    <row r="36" spans="3:40" ht="15" thickBot="1" x14ac:dyDescent="0.35">
      <c r="C36" s="180">
        <f t="shared" si="2"/>
        <v>43935</v>
      </c>
      <c r="E36" s="294">
        <v>203020</v>
      </c>
      <c r="F36" s="7"/>
      <c r="G36" s="7">
        <f>68824</f>
        <v>68824</v>
      </c>
      <c r="H36" s="7"/>
      <c r="I36" s="7">
        <v>13989</v>
      </c>
      <c r="J36" s="297"/>
      <c r="K36" s="7">
        <f t="shared" si="7"/>
        <v>285833</v>
      </c>
      <c r="L36" s="6"/>
      <c r="M36" s="29">
        <f t="shared" si="8"/>
        <v>4.4276142250670406E-2</v>
      </c>
      <c r="N36" s="29"/>
      <c r="O36" s="29"/>
      <c r="P36" s="29"/>
      <c r="Q36" s="493">
        <f t="shared" si="5"/>
        <v>12119</v>
      </c>
      <c r="R36" s="6"/>
      <c r="S36" s="7">
        <f>10842+2805+671+3778</f>
        <v>18096</v>
      </c>
      <c r="T36" s="6"/>
      <c r="U36" s="296">
        <f t="shared" si="6"/>
        <v>6.3309694821801543E-2</v>
      </c>
      <c r="W36">
        <f t="shared" si="1"/>
        <v>26</v>
      </c>
      <c r="Z36" s="1"/>
      <c r="AA36" s="408" t="s">
        <v>32</v>
      </c>
      <c r="AB36" s="409"/>
      <c r="AC36" s="409"/>
      <c r="AD36" s="409"/>
      <c r="AE36" s="409"/>
      <c r="AF36" s="409"/>
      <c r="AG36" s="409"/>
      <c r="AH36" s="409"/>
      <c r="AI36" s="410"/>
      <c r="AJ36" s="163"/>
      <c r="AK36" s="163"/>
      <c r="AL36" s="163"/>
      <c r="AM36" s="101"/>
      <c r="AN36" s="101"/>
    </row>
    <row r="37" spans="3:40" x14ac:dyDescent="0.3">
      <c r="C37" s="180">
        <f t="shared" si="2"/>
        <v>43936</v>
      </c>
      <c r="E37" s="294">
        <v>214639</v>
      </c>
      <c r="F37" s="7"/>
      <c r="G37" s="7">
        <f>71030</f>
        <v>71030</v>
      </c>
      <c r="H37" s="7"/>
      <c r="I37" s="7">
        <v>14755</v>
      </c>
      <c r="J37" s="297"/>
      <c r="K37" s="7">
        <f t="shared" si="7"/>
        <v>300424</v>
      </c>
      <c r="L37" s="6"/>
      <c r="M37" s="29">
        <f t="shared" si="8"/>
        <v>5.1047289851066879E-2</v>
      </c>
      <c r="N37" s="29"/>
      <c r="O37" s="29"/>
      <c r="P37" s="29"/>
      <c r="Q37" s="493">
        <f t="shared" si="5"/>
        <v>14591</v>
      </c>
      <c r="R37" s="6"/>
      <c r="S37" s="7">
        <f>11620+3156+868-145</f>
        <v>15499</v>
      </c>
      <c r="T37" s="6"/>
      <c r="U37" s="296">
        <f t="shared" si="6"/>
        <v>5.1590418874657151E-2</v>
      </c>
      <c r="W37">
        <f t="shared" si="1"/>
        <v>27</v>
      </c>
      <c r="Z37" s="1"/>
      <c r="AA37" s="97"/>
      <c r="AB37" s="108"/>
      <c r="AC37" s="108"/>
      <c r="AD37" s="108"/>
      <c r="AE37" s="108"/>
      <c r="AF37" s="186" t="s">
        <v>31</v>
      </c>
      <c r="AG37" s="174"/>
      <c r="AH37" s="105" t="s">
        <v>35</v>
      </c>
      <c r="AI37" s="117"/>
      <c r="AJ37" s="115"/>
      <c r="AK37" s="115"/>
      <c r="AL37" s="116"/>
      <c r="AM37" s="113"/>
      <c r="AN37" s="113"/>
    </row>
    <row r="38" spans="3:40" x14ac:dyDescent="0.3">
      <c r="C38" s="180">
        <f t="shared" si="2"/>
        <v>43937</v>
      </c>
      <c r="E38" s="294">
        <v>223691</v>
      </c>
      <c r="F38" s="7"/>
      <c r="G38" s="7">
        <f>75317</f>
        <v>75317</v>
      </c>
      <c r="H38" s="7"/>
      <c r="I38" s="7">
        <v>15884</v>
      </c>
      <c r="J38" s="297"/>
      <c r="K38" s="7">
        <f t="shared" si="7"/>
        <v>314892</v>
      </c>
      <c r="L38" s="6"/>
      <c r="M38" s="29">
        <f t="shared" si="8"/>
        <v>4.8158602508454718E-2</v>
      </c>
      <c r="N38" s="29"/>
      <c r="O38" s="29"/>
      <c r="P38" s="29"/>
      <c r="Q38" s="493">
        <f t="shared" si="5"/>
        <v>14468</v>
      </c>
      <c r="R38" s="6"/>
      <c r="S38" s="7">
        <f>14832+3518+446</f>
        <v>18796</v>
      </c>
      <c r="T38" s="6"/>
      <c r="U38" s="296">
        <f t="shared" si="6"/>
        <v>5.9690306517790226E-2</v>
      </c>
      <c r="W38">
        <f t="shared" si="1"/>
        <v>28</v>
      </c>
      <c r="Z38" s="1"/>
      <c r="AA38" s="97"/>
      <c r="AB38" s="108" t="s">
        <v>39</v>
      </c>
      <c r="AC38" s="108"/>
      <c r="AD38" s="108"/>
      <c r="AE38" s="108"/>
      <c r="AF38" s="175">
        <v>20100000</v>
      </c>
      <c r="AG38" s="174"/>
      <c r="AH38" s="106">
        <f>+AF38/AF$43</f>
        <v>6.0909090909090906E-2</v>
      </c>
      <c r="AI38" s="117"/>
      <c r="AJ38" s="115"/>
      <c r="AK38" s="115"/>
      <c r="AL38" s="116"/>
      <c r="AM38" s="114"/>
      <c r="AN38" s="114"/>
    </row>
    <row r="39" spans="3:40" x14ac:dyDescent="0.3">
      <c r="C39" s="180">
        <f t="shared" si="2"/>
        <v>43938</v>
      </c>
      <c r="E39" s="294">
        <v>230597</v>
      </c>
      <c r="F39" s="7"/>
      <c r="G39" s="7">
        <f>78467</f>
        <v>78467</v>
      </c>
      <c r="H39" s="7"/>
      <c r="I39" s="7">
        <v>16809</v>
      </c>
      <c r="J39" s="297"/>
      <c r="K39" s="7">
        <f t="shared" si="7"/>
        <v>325873</v>
      </c>
      <c r="L39" s="6"/>
      <c r="M39" s="29">
        <f t="shared" si="8"/>
        <v>3.4872273668432353E-2</v>
      </c>
      <c r="N39" s="29"/>
      <c r="O39" s="29"/>
      <c r="P39" s="29"/>
      <c r="Q39" s="493">
        <f t="shared" si="5"/>
        <v>10981</v>
      </c>
      <c r="R39" s="6"/>
      <c r="S39" s="7">
        <f>17131+3840+1036</f>
        <v>22007</v>
      </c>
      <c r="T39" s="6"/>
      <c r="U39" s="296">
        <f t="shared" si="6"/>
        <v>6.7532443620674315E-2</v>
      </c>
      <c r="W39">
        <f t="shared" si="1"/>
        <v>29</v>
      </c>
      <c r="Z39" s="81"/>
      <c r="AA39" s="97"/>
      <c r="AB39" s="108" t="s">
        <v>60</v>
      </c>
      <c r="AC39" s="108"/>
      <c r="AD39" s="108"/>
      <c r="AE39" s="108"/>
      <c r="AF39" s="174">
        <v>4900000</v>
      </c>
      <c r="AG39" s="174"/>
      <c r="AH39" s="106">
        <f>+AF39/AF$43</f>
        <v>1.4848484848484849E-2</v>
      </c>
      <c r="AI39" s="187"/>
      <c r="AJ39" s="185"/>
      <c r="AK39" s="185"/>
      <c r="AL39" s="116"/>
      <c r="AM39" s="114"/>
      <c r="AN39" s="114"/>
    </row>
    <row r="40" spans="3:40" x14ac:dyDescent="0.3">
      <c r="C40" s="350">
        <f t="shared" si="2"/>
        <v>43939</v>
      </c>
      <c r="D40" s="116"/>
      <c r="E40" s="294">
        <v>238767</v>
      </c>
      <c r="F40" s="7"/>
      <c r="G40" s="7">
        <f>81420</f>
        <v>81420</v>
      </c>
      <c r="H40" s="7"/>
      <c r="I40" s="7">
        <v>17550</v>
      </c>
      <c r="J40" s="297"/>
      <c r="K40" s="7">
        <f t="shared" si="7"/>
        <v>337737</v>
      </c>
      <c r="L40" s="6"/>
      <c r="M40" s="29">
        <f t="shared" si="8"/>
        <v>3.6406821062192937E-2</v>
      </c>
      <c r="N40" s="29"/>
      <c r="O40" s="29"/>
      <c r="P40" s="29"/>
      <c r="Q40" s="493">
        <f t="shared" si="5"/>
        <v>11864</v>
      </c>
      <c r="R40" s="6"/>
      <c r="S40" s="7">
        <f>17671+4070+1086</f>
        <v>22827</v>
      </c>
      <c r="T40" s="6"/>
      <c r="U40" s="296">
        <f t="shared" si="6"/>
        <v>6.7588093694205847E-2</v>
      </c>
      <c r="V40" s="116"/>
      <c r="W40" s="116">
        <f t="shared" si="1"/>
        <v>30</v>
      </c>
      <c r="Z40" s="81"/>
      <c r="AA40" s="97"/>
      <c r="AB40" s="108" t="s">
        <v>94</v>
      </c>
      <c r="AC40" s="108"/>
      <c r="AD40" s="108"/>
      <c r="AE40" s="108"/>
      <c r="AF40" s="174">
        <v>6000000</v>
      </c>
      <c r="AG40" s="174"/>
      <c r="AH40" s="106">
        <f>+AF40/AF$43</f>
        <v>1.8181818181818181E-2</v>
      </c>
      <c r="AI40" s="117"/>
      <c r="AJ40" s="115"/>
      <c r="AK40" s="115"/>
      <c r="AL40" s="116"/>
      <c r="AM40" s="114"/>
      <c r="AN40" s="114"/>
    </row>
    <row r="41" spans="3:40" ht="15" thickBot="1" x14ac:dyDescent="0.35">
      <c r="C41" s="180">
        <f t="shared" si="2"/>
        <v>43940</v>
      </c>
      <c r="E41" s="294">
        <v>242570</v>
      </c>
      <c r="F41" s="7"/>
      <c r="G41" s="7">
        <f>85301</f>
        <v>85301</v>
      </c>
      <c r="H41" s="7"/>
      <c r="I41" s="7">
        <v>17550</v>
      </c>
      <c r="J41" s="297"/>
      <c r="K41" s="7">
        <f t="shared" si="7"/>
        <v>345421</v>
      </c>
      <c r="L41" s="6"/>
      <c r="M41" s="29">
        <f t="shared" si="8"/>
        <v>2.2751430847079236E-2</v>
      </c>
      <c r="N41" s="29"/>
      <c r="O41" s="29"/>
      <c r="P41" s="29"/>
      <c r="Q41" s="493">
        <f t="shared" si="5"/>
        <v>7684</v>
      </c>
      <c r="R41" s="6"/>
      <c r="S41" s="7">
        <f>17428+4362+1086</f>
        <v>22876</v>
      </c>
      <c r="T41" s="6"/>
      <c r="U41" s="296">
        <f t="shared" si="6"/>
        <v>6.6226430935003952E-2</v>
      </c>
      <c r="W41">
        <f t="shared" si="1"/>
        <v>31</v>
      </c>
      <c r="Z41" s="81"/>
      <c r="AA41" s="97"/>
      <c r="AB41" s="174" t="s">
        <v>34</v>
      </c>
      <c r="AC41" s="174"/>
      <c r="AD41" s="174"/>
      <c r="AE41" s="174"/>
      <c r="AF41" s="173">
        <f>SUM(AF38:AG40)</f>
        <v>31000000</v>
      </c>
      <c r="AG41" s="174"/>
      <c r="AH41" s="107">
        <f>+AF41/AF43</f>
        <v>9.3939393939393934E-2</v>
      </c>
      <c r="AI41" s="117"/>
      <c r="AJ41" s="115"/>
      <c r="AK41" s="115"/>
      <c r="AL41" s="116"/>
      <c r="AM41" s="114"/>
      <c r="AN41" s="114"/>
    </row>
    <row r="42" spans="3:40" ht="15" thickTop="1" x14ac:dyDescent="0.3">
      <c r="C42" s="180">
        <f t="shared" si="2"/>
        <v>43941</v>
      </c>
      <c r="E42" s="294">
        <v>253060</v>
      </c>
      <c r="F42" s="7"/>
      <c r="G42" s="7">
        <f>88722</f>
        <v>88722</v>
      </c>
      <c r="H42" s="7"/>
      <c r="I42" s="7">
        <v>19815</v>
      </c>
      <c r="J42" s="297"/>
      <c r="K42" s="7">
        <f t="shared" si="7"/>
        <v>361597</v>
      </c>
      <c r="L42" s="6"/>
      <c r="M42" s="29">
        <f t="shared" si="8"/>
        <v>4.6829810578974645E-2</v>
      </c>
      <c r="N42" s="29"/>
      <c r="O42" s="29"/>
      <c r="P42" s="29"/>
      <c r="Q42" s="493">
        <f t="shared" si="5"/>
        <v>16176</v>
      </c>
      <c r="R42" s="6"/>
      <c r="S42" s="7">
        <f>18611+4496+1331</f>
        <v>24438</v>
      </c>
      <c r="T42" s="6"/>
      <c r="U42" s="296">
        <f t="shared" si="6"/>
        <v>6.7583525305796227E-2</v>
      </c>
      <c r="W42">
        <f t="shared" si="1"/>
        <v>32</v>
      </c>
      <c r="Z42" s="1"/>
      <c r="AA42" s="97"/>
      <c r="AB42" s="108"/>
      <c r="AC42" s="108"/>
      <c r="AD42" s="108"/>
      <c r="AE42" s="108"/>
      <c r="AF42" s="108"/>
      <c r="AG42" s="108"/>
      <c r="AH42" s="108"/>
      <c r="AI42" s="117"/>
      <c r="AJ42" s="115"/>
      <c r="AK42" s="115"/>
      <c r="AL42" s="116"/>
      <c r="AM42" s="115"/>
      <c r="AN42" s="115"/>
    </row>
    <row r="43" spans="3:40" ht="15" thickBot="1" x14ac:dyDescent="0.35">
      <c r="C43" s="180">
        <f t="shared" si="2"/>
        <v>43942</v>
      </c>
      <c r="E43" s="294">
        <v>258361</v>
      </c>
      <c r="F43" s="7"/>
      <c r="G43" s="7">
        <f>92387</f>
        <v>92387</v>
      </c>
      <c r="H43" s="7"/>
      <c r="I43" s="7">
        <v>20360</v>
      </c>
      <c r="J43" s="297"/>
      <c r="K43" s="7">
        <f t="shared" si="7"/>
        <v>371108</v>
      </c>
      <c r="L43" s="6"/>
      <c r="M43" s="29">
        <f t="shared" si="8"/>
        <v>2.6302762467608969E-2</v>
      </c>
      <c r="N43" s="29"/>
      <c r="O43" s="29"/>
      <c r="P43" s="29"/>
      <c r="Q43" s="493">
        <f t="shared" si="5"/>
        <v>9511</v>
      </c>
      <c r="R43" s="6"/>
      <c r="S43" s="7">
        <f>18821+4520+1423</f>
        <v>24764</v>
      </c>
      <c r="T43" s="6"/>
      <c r="U43" s="296">
        <f t="shared" si="6"/>
        <v>6.672990072970672E-2</v>
      </c>
      <c r="W43">
        <f t="shared" si="1"/>
        <v>33</v>
      </c>
      <c r="Z43" s="1"/>
      <c r="AA43" s="97"/>
      <c r="AB43" s="108" t="s">
        <v>42</v>
      </c>
      <c r="AC43" s="108"/>
      <c r="AD43" s="108"/>
      <c r="AE43" s="108"/>
      <c r="AF43" s="173">
        <v>330000000</v>
      </c>
      <c r="AG43" s="174"/>
      <c r="AH43" s="183"/>
      <c r="AI43" s="117"/>
      <c r="AJ43" s="115"/>
      <c r="AK43" s="115"/>
      <c r="AL43" s="115"/>
      <c r="AM43" s="115"/>
      <c r="AN43" s="115"/>
    </row>
    <row r="44" spans="3:40" ht="15.6" thickTop="1" thickBot="1" x14ac:dyDescent="0.35">
      <c r="C44" s="180">
        <f t="shared" si="2"/>
        <v>43943</v>
      </c>
      <c r="E44" s="294">
        <v>263292</v>
      </c>
      <c r="F44" s="7"/>
      <c r="G44" s="7">
        <f>95418</f>
        <v>95418</v>
      </c>
      <c r="H44" s="7"/>
      <c r="I44" s="7">
        <v>22469</v>
      </c>
      <c r="J44" s="297"/>
      <c r="K44" s="7">
        <f t="shared" si="7"/>
        <v>381179</v>
      </c>
      <c r="L44" s="6"/>
      <c r="M44" s="29">
        <f t="shared" si="8"/>
        <v>2.7137652650980306E-2</v>
      </c>
      <c r="N44" s="29"/>
      <c r="O44" s="29"/>
      <c r="P44" s="29"/>
      <c r="Q44" s="493">
        <f t="shared" si="5"/>
        <v>10071</v>
      </c>
      <c r="R44" s="6"/>
      <c r="S44" s="7">
        <f>19413+5129+1544</f>
        <v>26086</v>
      </c>
      <c r="T44" s="6"/>
      <c r="U44" s="296">
        <f t="shared" si="6"/>
        <v>6.8435039705755041E-2</v>
      </c>
      <c r="W44">
        <f t="shared" si="1"/>
        <v>34</v>
      </c>
      <c r="Z44" s="1"/>
      <c r="AA44" s="98"/>
      <c r="AB44" s="109"/>
      <c r="AC44" s="109"/>
      <c r="AD44" s="109"/>
      <c r="AE44" s="109"/>
      <c r="AF44" s="109"/>
      <c r="AG44" s="109"/>
      <c r="AH44" s="188"/>
      <c r="AI44" s="118"/>
      <c r="AJ44" s="115"/>
      <c r="AK44" s="115"/>
      <c r="AL44" s="115"/>
      <c r="AM44" s="115"/>
      <c r="AN44" s="115"/>
    </row>
    <row r="45" spans="3:40" x14ac:dyDescent="0.3">
      <c r="C45" s="180">
        <f t="shared" si="2"/>
        <v>43944</v>
      </c>
      <c r="E45" s="294">
        <v>271145</v>
      </c>
      <c r="F45" s="7"/>
      <c r="G45" s="7">
        <f>99989</f>
        <v>99989</v>
      </c>
      <c r="H45" s="7"/>
      <c r="I45" s="7">
        <v>23128</v>
      </c>
      <c r="J45" s="297"/>
      <c r="K45" s="7">
        <f t="shared" si="7"/>
        <v>394262</v>
      </c>
      <c r="L45" s="6"/>
      <c r="M45" s="29">
        <f t="shared" si="8"/>
        <v>3.4322457428137436E-2</v>
      </c>
      <c r="N45" s="29"/>
      <c r="O45" s="29"/>
      <c r="P45" s="29"/>
      <c r="Q45" s="493">
        <f t="shared" si="5"/>
        <v>13083</v>
      </c>
      <c r="R45" s="6"/>
      <c r="S45" s="7">
        <f>20971+5426+1637</f>
        <v>28034</v>
      </c>
      <c r="T45" s="6"/>
      <c r="U45" s="296">
        <f t="shared" si="6"/>
        <v>7.110500124282837E-2</v>
      </c>
      <c r="W45">
        <f t="shared" si="1"/>
        <v>35</v>
      </c>
      <c r="AG45" s="124"/>
      <c r="AJ45" s="116"/>
      <c r="AK45" s="116"/>
      <c r="AL45" s="116"/>
      <c r="AM45" s="116"/>
      <c r="AN45" s="116"/>
    </row>
    <row r="46" spans="3:40" x14ac:dyDescent="0.3">
      <c r="C46" s="180">
        <f t="shared" si="2"/>
        <v>43945</v>
      </c>
      <c r="E46" s="294">
        <v>271590</v>
      </c>
      <c r="F46" s="7"/>
      <c r="G46" s="7">
        <f>100025</f>
        <v>100025</v>
      </c>
      <c r="H46" s="7"/>
      <c r="I46" s="7">
        <v>23936</v>
      </c>
      <c r="J46" s="297"/>
      <c r="K46" s="7">
        <f t="shared" si="7"/>
        <v>395551</v>
      </c>
      <c r="L46" s="6"/>
      <c r="M46" s="29">
        <f t="shared" si="8"/>
        <v>3.2693995363489254E-3</v>
      </c>
      <c r="N46" s="29"/>
      <c r="O46" s="29"/>
      <c r="P46" s="29"/>
      <c r="Q46" s="493">
        <f t="shared" si="5"/>
        <v>1289</v>
      </c>
      <c r="R46" s="6"/>
      <c r="S46" s="7">
        <f>21349+5426+1767</f>
        <v>28542</v>
      </c>
      <c r="T46" s="6"/>
      <c r="U46" s="296">
        <f t="shared" si="6"/>
        <v>7.2157572601257491E-2</v>
      </c>
      <c r="W46">
        <f t="shared" si="1"/>
        <v>36</v>
      </c>
      <c r="AJ46" s="116"/>
      <c r="AK46" s="116"/>
      <c r="AL46" s="116"/>
      <c r="AM46" s="116"/>
      <c r="AN46" s="116"/>
    </row>
    <row r="47" spans="3:40" x14ac:dyDescent="0.3">
      <c r="C47" s="180">
        <f t="shared" si="2"/>
        <v>43946</v>
      </c>
      <c r="E47" s="294">
        <v>282143</v>
      </c>
      <c r="F47" s="7"/>
      <c r="G47" s="7">
        <f>105498</f>
        <v>105498</v>
      </c>
      <c r="H47" s="7"/>
      <c r="I47" s="7">
        <v>24583</v>
      </c>
      <c r="J47" s="297"/>
      <c r="K47" s="7">
        <f t="shared" si="7"/>
        <v>412224</v>
      </c>
      <c r="L47" s="6"/>
      <c r="M47" s="29">
        <f t="shared" si="8"/>
        <v>4.2151328147318548E-2</v>
      </c>
      <c r="N47" s="29"/>
      <c r="O47" s="29"/>
      <c r="P47" s="29"/>
      <c r="Q47" s="493">
        <f t="shared" si="5"/>
        <v>16673</v>
      </c>
      <c r="R47" s="6"/>
      <c r="S47" s="7">
        <f>22009+5914+1865</f>
        <v>29788</v>
      </c>
      <c r="T47" s="6"/>
      <c r="U47" s="296">
        <f t="shared" si="6"/>
        <v>7.2261682968483149E-2</v>
      </c>
      <c r="W47">
        <f t="shared" si="1"/>
        <v>37</v>
      </c>
    </row>
    <row r="48" spans="3:40" x14ac:dyDescent="0.3">
      <c r="C48" s="180">
        <f t="shared" si="2"/>
        <v>43947</v>
      </c>
      <c r="E48" s="294">
        <v>288045</v>
      </c>
      <c r="F48" s="7"/>
      <c r="G48" s="7">
        <f>109038</f>
        <v>109038</v>
      </c>
      <c r="H48" s="7"/>
      <c r="I48" s="7">
        <v>25269</v>
      </c>
      <c r="J48" s="297"/>
      <c r="K48" s="7">
        <f t="shared" si="7"/>
        <v>422352</v>
      </c>
      <c r="L48" s="6"/>
      <c r="M48" s="29">
        <f t="shared" si="8"/>
        <v>2.456916627852818E-2</v>
      </c>
      <c r="N48" s="29"/>
      <c r="O48" s="29"/>
      <c r="P48" s="29"/>
      <c r="Q48" s="493">
        <f t="shared" si="5"/>
        <v>10128</v>
      </c>
      <c r="R48" s="6"/>
      <c r="S48" s="7">
        <f>22269+5938+1924</f>
        <v>30131</v>
      </c>
      <c r="T48" s="6"/>
      <c r="U48" s="296">
        <f t="shared" si="6"/>
        <v>7.134096677652764E-2</v>
      </c>
      <c r="W48">
        <f t="shared" si="1"/>
        <v>38</v>
      </c>
      <c r="AF48" s="60"/>
    </row>
    <row r="49" spans="3:32" x14ac:dyDescent="0.3">
      <c r="C49" s="180">
        <f t="shared" si="2"/>
        <v>43948</v>
      </c>
      <c r="E49" s="294">
        <v>291996</v>
      </c>
      <c r="F49" s="7"/>
      <c r="G49" s="7">
        <f>111188</f>
        <v>111188</v>
      </c>
      <c r="H49" s="7"/>
      <c r="I49" s="7">
        <v>25269</v>
      </c>
      <c r="J49" s="297"/>
      <c r="K49" s="7">
        <f t="shared" si="7"/>
        <v>428453</v>
      </c>
      <c r="L49" s="6"/>
      <c r="M49" s="29">
        <f t="shared" si="8"/>
        <v>1.4445296814031897E-2</v>
      </c>
      <c r="N49" s="29"/>
      <c r="O49" s="29"/>
      <c r="P49" s="29"/>
      <c r="Q49" s="493">
        <f t="shared" si="5"/>
        <v>6101</v>
      </c>
      <c r="R49" s="6"/>
      <c r="S49" s="7">
        <f>22668+6044+1924</f>
        <v>30636</v>
      </c>
      <c r="T49" s="6"/>
      <c r="U49" s="296">
        <f t="shared" si="6"/>
        <v>7.1503758872034973E-2</v>
      </c>
      <c r="W49">
        <f t="shared" si="1"/>
        <v>39</v>
      </c>
    </row>
    <row r="50" spans="3:32" x14ac:dyDescent="0.3">
      <c r="C50" s="180">
        <f t="shared" si="2"/>
        <v>43949</v>
      </c>
      <c r="E50" s="294">
        <v>295106</v>
      </c>
      <c r="F50" s="7"/>
      <c r="G50" s="7">
        <f>113856</f>
        <v>113856</v>
      </c>
      <c r="H50" s="7"/>
      <c r="I50" s="7">
        <v>26312</v>
      </c>
      <c r="J50" s="297"/>
      <c r="K50" s="7">
        <f t="shared" si="7"/>
        <v>435274</v>
      </c>
      <c r="L50" s="6"/>
      <c r="M50" s="29">
        <f t="shared" si="8"/>
        <v>1.5920065911546891E-2</v>
      </c>
      <c r="N50" s="29"/>
      <c r="O50" s="29"/>
      <c r="P50" s="29"/>
      <c r="Q50" s="493">
        <f t="shared" si="5"/>
        <v>6821</v>
      </c>
      <c r="R50" s="6"/>
      <c r="S50" s="7">
        <f>22912+6442+2087</f>
        <v>31441</v>
      </c>
      <c r="T50" s="6"/>
      <c r="U50" s="296">
        <f t="shared" si="6"/>
        <v>7.223266264467898E-2</v>
      </c>
      <c r="W50">
        <f t="shared" si="1"/>
        <v>40</v>
      </c>
      <c r="AF50" s="283"/>
    </row>
    <row r="51" spans="3:32" x14ac:dyDescent="0.3">
      <c r="C51" s="180">
        <f t="shared" si="2"/>
        <v>43950</v>
      </c>
      <c r="E51" s="294">
        <v>299691</v>
      </c>
      <c r="F51" s="7"/>
      <c r="G51" s="7">
        <f>116365</f>
        <v>116365</v>
      </c>
      <c r="H51" s="7"/>
      <c r="I51" s="7">
        <v>26751</v>
      </c>
      <c r="J51" s="297"/>
      <c r="K51" s="7">
        <f t="shared" si="7"/>
        <v>442807</v>
      </c>
      <c r="L51" s="6"/>
      <c r="M51" s="29">
        <f t="shared" si="8"/>
        <v>1.7306340374109181E-2</v>
      </c>
      <c r="N51" s="29"/>
      <c r="O51" s="29"/>
      <c r="P51" s="29"/>
      <c r="Q51" s="493">
        <f t="shared" si="5"/>
        <v>7533</v>
      </c>
      <c r="R51" s="6"/>
      <c r="S51" s="7">
        <f>23477+6711+2169</f>
        <v>32357</v>
      </c>
      <c r="T51" s="6"/>
      <c r="U51" s="296">
        <f t="shared" si="6"/>
        <v>7.3072467237419461E-2</v>
      </c>
      <c r="W51">
        <f t="shared" si="1"/>
        <v>41</v>
      </c>
    </row>
    <row r="52" spans="3:32" x14ac:dyDescent="0.3">
      <c r="C52" s="180">
        <f t="shared" si="2"/>
        <v>43951</v>
      </c>
      <c r="E52" s="294">
        <v>304372</v>
      </c>
      <c r="F52" s="7"/>
      <c r="G52" s="7">
        <v>118652</v>
      </c>
      <c r="H52" s="7"/>
      <c r="I52" s="7">
        <v>27700</v>
      </c>
      <c r="J52" s="297"/>
      <c r="K52" s="7">
        <f t="shared" si="7"/>
        <v>450724</v>
      </c>
      <c r="L52" s="6"/>
      <c r="M52" s="29">
        <f t="shared" si="8"/>
        <v>1.7879121152104643E-2</v>
      </c>
      <c r="N52" s="29"/>
      <c r="O52" s="29"/>
      <c r="P52" s="29"/>
      <c r="Q52" s="493">
        <f t="shared" si="5"/>
        <v>7917</v>
      </c>
      <c r="R52" s="6"/>
      <c r="S52" s="7">
        <f>23545+7228+2257</f>
        <v>33030</v>
      </c>
      <c r="T52" s="6"/>
      <c r="U52" s="296">
        <f t="shared" si="6"/>
        <v>7.3282097247983249E-2</v>
      </c>
      <c r="W52">
        <f t="shared" si="1"/>
        <v>42</v>
      </c>
    </row>
    <row r="53" spans="3:32" x14ac:dyDescent="0.3">
      <c r="C53" s="180">
        <f t="shared" si="2"/>
        <v>43952</v>
      </c>
      <c r="E53" s="294">
        <v>308314</v>
      </c>
      <c r="F53" s="7"/>
      <c r="G53" s="7">
        <v>121190</v>
      </c>
      <c r="H53" s="7"/>
      <c r="I53" s="7">
        <v>28855</v>
      </c>
      <c r="J53" s="297"/>
      <c r="K53" s="7">
        <f t="shared" ref="K53" si="9">SUM(E53:I53)</f>
        <v>458359</v>
      </c>
      <c r="L53" s="6"/>
      <c r="M53" s="29">
        <f t="shared" ref="M53" si="10">+(K53-K52)/K52</f>
        <v>1.6939413033253164E-2</v>
      </c>
      <c r="N53" s="29"/>
      <c r="O53" s="29"/>
      <c r="P53" s="29"/>
      <c r="Q53" s="493">
        <f t="shared" si="5"/>
        <v>7635</v>
      </c>
      <c r="R53" s="6"/>
      <c r="S53" s="7">
        <f>23981+7538+2341</f>
        <v>33860</v>
      </c>
      <c r="T53" s="6"/>
      <c r="U53" s="296">
        <f t="shared" ref="U53" si="11">+S53/K53</f>
        <v>7.3872226791663304E-2</v>
      </c>
      <c r="W53">
        <f t="shared" si="1"/>
        <v>43</v>
      </c>
    </row>
    <row r="54" spans="3:32" x14ac:dyDescent="0.3">
      <c r="C54" s="180">
        <f t="shared" si="2"/>
        <v>43953</v>
      </c>
      <c r="E54" s="294">
        <v>312977</v>
      </c>
      <c r="F54" s="7"/>
      <c r="G54" s="7">
        <v>123717</v>
      </c>
      <c r="H54" s="7"/>
      <c r="I54" s="7">
        <v>29346</v>
      </c>
      <c r="J54" s="297"/>
      <c r="K54" s="7">
        <f t="shared" ref="K54" si="12">SUM(E54:I54)</f>
        <v>466040</v>
      </c>
      <c r="L54" s="6"/>
      <c r="M54" s="29">
        <f t="shared" ref="M54" si="13">+(K54-K53)/K53</f>
        <v>1.6757607028551856E-2</v>
      </c>
      <c r="N54" s="29"/>
      <c r="O54" s="29"/>
      <c r="P54" s="29"/>
      <c r="Q54" s="493">
        <f t="shared" si="5"/>
        <v>7681</v>
      </c>
      <c r="R54" s="6"/>
      <c r="S54" s="7">
        <f>24198+7742+2437</f>
        <v>34377</v>
      </c>
      <c r="T54" s="6"/>
      <c r="U54" s="296">
        <f t="shared" ref="U54" si="14">+S54/K54</f>
        <v>7.3764054587589042E-2</v>
      </c>
      <c r="W54">
        <f t="shared" si="1"/>
        <v>44</v>
      </c>
    </row>
    <row r="55" spans="3:32" x14ac:dyDescent="0.3">
      <c r="C55" s="180">
        <f t="shared" si="2"/>
        <v>43954</v>
      </c>
      <c r="E55" s="294">
        <v>316415</v>
      </c>
      <c r="F55" s="7"/>
      <c r="G55" s="7">
        <v>126744</v>
      </c>
      <c r="H55" s="7"/>
      <c r="I55" s="7">
        <v>29087</v>
      </c>
      <c r="J55" s="297"/>
      <c r="K55" s="7">
        <f t="shared" ref="K55" si="15">SUM(E55:I55)</f>
        <v>472246</v>
      </c>
      <c r="L55" s="6"/>
      <c r="M55" s="29">
        <f t="shared" ref="M55" si="16">+(K55-K54)/K54</f>
        <v>1.3316453523302721E-2</v>
      </c>
      <c r="N55" s="29"/>
      <c r="O55" s="29"/>
      <c r="P55" s="29"/>
      <c r="Q55" s="493">
        <f t="shared" si="5"/>
        <v>6206</v>
      </c>
      <c r="R55" s="6"/>
      <c r="S55" s="7">
        <f>24708+7871+2436</f>
        <v>35015</v>
      </c>
      <c r="T55" s="6"/>
      <c r="U55" s="296">
        <f t="shared" ref="U55" si="17">+S55/K55</f>
        <v>7.4145678311727359E-2</v>
      </c>
      <c r="W55">
        <f t="shared" si="1"/>
        <v>45</v>
      </c>
    </row>
    <row r="56" spans="3:32" x14ac:dyDescent="0.3">
      <c r="C56" s="180">
        <f t="shared" si="2"/>
        <v>43955</v>
      </c>
      <c r="E56" s="294">
        <v>318953</v>
      </c>
      <c r="F56" s="7"/>
      <c r="G56" s="7">
        <v>128269</v>
      </c>
      <c r="H56" s="7"/>
      <c r="I56" s="7">
        <v>29973</v>
      </c>
      <c r="J56" s="297"/>
      <c r="K56" s="7">
        <f t="shared" ref="K56" si="18">SUM(E56:I56)</f>
        <v>477195</v>
      </c>
      <c r="L56" s="6"/>
      <c r="M56" s="29">
        <f t="shared" ref="M56" si="19">+(K56-K55)/K55</f>
        <v>1.0479707610016813E-2</v>
      </c>
      <c r="N56" s="29"/>
      <c r="O56" s="29"/>
      <c r="P56" s="29"/>
      <c r="Q56" s="493">
        <f t="shared" si="5"/>
        <v>4949</v>
      </c>
      <c r="R56" s="6"/>
      <c r="S56" s="7">
        <f>24999+7910+2556</f>
        <v>35465</v>
      </c>
      <c r="T56" s="6"/>
      <c r="U56" s="296">
        <f t="shared" ref="U56" si="20">+S56/K56</f>
        <v>7.4319722545290706E-2</v>
      </c>
      <c r="W56">
        <f t="shared" si="1"/>
        <v>46</v>
      </c>
    </row>
    <row r="57" spans="3:32" x14ac:dyDescent="0.3">
      <c r="C57" s="180">
        <f t="shared" si="2"/>
        <v>43956</v>
      </c>
      <c r="E57" s="294">
        <v>321192</v>
      </c>
      <c r="F57" s="7"/>
      <c r="G57" s="7">
        <v>130593</v>
      </c>
      <c r="H57" s="7"/>
      <c r="I57" s="7">
        <v>30621</v>
      </c>
      <c r="J57" s="297"/>
      <c r="K57" s="7">
        <f t="shared" ref="K57" si="21">SUM(E57:I57)</f>
        <v>482406</v>
      </c>
      <c r="L57" s="6"/>
      <c r="M57" s="29">
        <f t="shared" ref="M57" si="22">+(K57-K56)/K56</f>
        <v>1.0920064124728884E-2</v>
      </c>
      <c r="N57" s="29"/>
      <c r="O57" s="29"/>
      <c r="P57" s="29"/>
      <c r="Q57" s="493">
        <f t="shared" si="5"/>
        <v>5211</v>
      </c>
      <c r="R57" s="6"/>
      <c r="S57" s="7">
        <f>25124+8244+2633</f>
        <v>36001</v>
      </c>
      <c r="T57" s="6"/>
      <c r="U57" s="296">
        <f t="shared" ref="U57" si="23">+S57/K57</f>
        <v>7.4628010431047706E-2</v>
      </c>
      <c r="W57">
        <f t="shared" si="1"/>
        <v>47</v>
      </c>
    </row>
    <row r="58" spans="3:32" x14ac:dyDescent="0.3">
      <c r="C58" s="180">
        <f t="shared" si="2"/>
        <v>43957</v>
      </c>
      <c r="E58" s="294">
        <v>323978</v>
      </c>
      <c r="F58" s="7"/>
      <c r="G58" s="7">
        <v>131890</v>
      </c>
      <c r="H58" s="7"/>
      <c r="I58" s="7">
        <v>30995</v>
      </c>
      <c r="J58" s="297"/>
      <c r="K58" s="7">
        <f t="shared" ref="K58" si="24">SUM(E58:I58)</f>
        <v>486863</v>
      </c>
      <c r="L58" s="6"/>
      <c r="M58" s="29">
        <f t="shared" ref="M58" si="25">+(K58-K57)/K57</f>
        <v>9.2391056495980568E-3</v>
      </c>
      <c r="N58" s="29"/>
      <c r="O58" s="29"/>
      <c r="P58" s="29"/>
      <c r="Q58" s="493">
        <f t="shared" si="5"/>
        <v>4457</v>
      </c>
      <c r="R58" s="6"/>
      <c r="S58" s="7">
        <f>25346+8549+2718</f>
        <v>36613</v>
      </c>
      <c r="T58" s="6"/>
      <c r="U58" s="296">
        <f t="shared" ref="U58" si="26">+S58/K58</f>
        <v>7.5201853498828214E-2</v>
      </c>
      <c r="W58">
        <f t="shared" si="1"/>
        <v>48</v>
      </c>
    </row>
    <row r="59" spans="3:32" x14ac:dyDescent="0.3">
      <c r="C59" s="180">
        <f t="shared" si="2"/>
        <v>43958</v>
      </c>
      <c r="E59" s="294">
        <v>327469</v>
      </c>
      <c r="F59" s="7"/>
      <c r="G59" s="7">
        <v>133991</v>
      </c>
      <c r="H59" s="7"/>
      <c r="I59" s="7">
        <v>31784</v>
      </c>
      <c r="J59" s="297"/>
      <c r="K59" s="7">
        <f t="shared" ref="K59" si="27">SUM(E59:I59)</f>
        <v>493244</v>
      </c>
      <c r="L59" s="6"/>
      <c r="M59" s="29">
        <f t="shared" ref="M59" si="28">+(K59-K58)/K58</f>
        <v>1.310635640827091E-2</v>
      </c>
      <c r="N59" s="29"/>
      <c r="O59" s="29"/>
      <c r="P59" s="29"/>
      <c r="Q59" s="493">
        <f t="shared" si="5"/>
        <v>6381</v>
      </c>
      <c r="R59" s="6"/>
      <c r="S59" s="7">
        <f>26144+8807+2797</f>
        <v>37748</v>
      </c>
      <c r="T59" s="6"/>
      <c r="U59" s="296">
        <f t="shared" ref="U59" si="29">+S59/K59</f>
        <v>7.6530074364817416E-2</v>
      </c>
      <c r="W59">
        <f t="shared" si="1"/>
        <v>49</v>
      </c>
    </row>
    <row r="60" spans="3:32" x14ac:dyDescent="0.3">
      <c r="C60" s="180">
        <f t="shared" si="2"/>
        <v>43959</v>
      </c>
      <c r="E60" s="294">
        <v>330407</v>
      </c>
      <c r="F60" s="7"/>
      <c r="G60" s="7">
        <v>135840</v>
      </c>
      <c r="H60" s="7"/>
      <c r="I60" s="7">
        <v>32411</v>
      </c>
      <c r="J60" s="297"/>
      <c r="K60" s="7">
        <f t="shared" ref="K60" si="30">SUM(E60:I60)</f>
        <v>498658</v>
      </c>
      <c r="L60" s="6"/>
      <c r="M60" s="29">
        <f t="shared" ref="M60" si="31">+(K60-K59)/K59</f>
        <v>1.0976311926754304E-2</v>
      </c>
      <c r="N60" s="29"/>
      <c r="O60" s="29"/>
      <c r="P60" s="29"/>
      <c r="Q60" s="493">
        <f t="shared" si="5"/>
        <v>5414</v>
      </c>
      <c r="R60" s="6"/>
      <c r="S60" s="7">
        <f>26243+8960+2874</f>
        <v>38077</v>
      </c>
      <c r="T60" s="6"/>
      <c r="U60" s="296">
        <f t="shared" ref="U60" si="32">+S60/K60</f>
        <v>7.6358947414861489E-2</v>
      </c>
      <c r="W60">
        <f t="shared" si="1"/>
        <v>50</v>
      </c>
    </row>
    <row r="61" spans="3:32" x14ac:dyDescent="0.3">
      <c r="C61" s="180">
        <f t="shared" si="2"/>
        <v>43960</v>
      </c>
      <c r="E61" s="294">
        <v>333122</v>
      </c>
      <c r="F61" s="7"/>
      <c r="G61" s="7">
        <v>137397</v>
      </c>
      <c r="H61" s="7"/>
      <c r="I61" s="7">
        <v>32984</v>
      </c>
      <c r="J61" s="297"/>
      <c r="K61" s="7">
        <f t="shared" ref="K61" si="33">SUM(E61:I61)</f>
        <v>503503</v>
      </c>
      <c r="L61" s="6"/>
      <c r="M61" s="29">
        <f t="shared" ref="M61" si="34">+(K61-K60)/K60</f>
        <v>9.7160779532264596E-3</v>
      </c>
      <c r="N61" s="29"/>
      <c r="O61" s="29"/>
      <c r="P61" s="29"/>
      <c r="Q61" s="493">
        <f t="shared" si="5"/>
        <v>4845</v>
      </c>
      <c r="R61" s="6"/>
      <c r="S61" s="7">
        <f>26563+9116+2932</f>
        <v>38611</v>
      </c>
      <c r="T61" s="6"/>
      <c r="U61" s="296">
        <f t="shared" ref="U61" si="35">+S61/K61</f>
        <v>7.6684746664865952E-2</v>
      </c>
      <c r="W61">
        <f t="shared" si="1"/>
        <v>51</v>
      </c>
    </row>
    <row r="62" spans="3:32" x14ac:dyDescent="0.3">
      <c r="C62" s="180">
        <f t="shared" si="2"/>
        <v>43961</v>
      </c>
      <c r="E62" s="294"/>
      <c r="F62" s="7"/>
      <c r="G62" s="7"/>
      <c r="H62" s="7"/>
      <c r="I62" s="7"/>
      <c r="J62" s="297"/>
      <c r="K62" s="7"/>
      <c r="L62" s="6"/>
      <c r="M62" s="29"/>
      <c r="N62" s="29"/>
      <c r="O62" s="29"/>
      <c r="P62" s="29"/>
      <c r="Q62" s="488"/>
      <c r="R62" s="6"/>
      <c r="S62" s="7"/>
      <c r="T62" s="6"/>
      <c r="U62" s="296"/>
      <c r="W62">
        <f t="shared" si="1"/>
        <v>52</v>
      </c>
    </row>
    <row r="63" spans="3:32" x14ac:dyDescent="0.3">
      <c r="C63" s="180">
        <f t="shared" si="2"/>
        <v>43962</v>
      </c>
      <c r="E63" s="294"/>
      <c r="F63" s="7"/>
      <c r="G63" s="7"/>
      <c r="H63" s="7"/>
      <c r="I63" s="7"/>
      <c r="J63" s="297"/>
      <c r="K63" s="7"/>
      <c r="L63" s="6"/>
      <c r="M63" s="29"/>
      <c r="N63" s="29"/>
      <c r="O63" s="29"/>
      <c r="P63" s="29"/>
      <c r="Q63" s="488"/>
      <c r="R63" s="6"/>
      <c r="S63" s="7"/>
      <c r="T63" s="6"/>
      <c r="U63" s="296"/>
      <c r="W63">
        <f t="shared" si="1"/>
        <v>53</v>
      </c>
    </row>
    <row r="64" spans="3:32" x14ac:dyDescent="0.3">
      <c r="C64" s="180">
        <f t="shared" si="2"/>
        <v>43963</v>
      </c>
      <c r="E64" s="294"/>
      <c r="F64" s="7"/>
      <c r="G64" s="7"/>
      <c r="H64" s="7"/>
      <c r="I64" s="7"/>
      <c r="J64" s="297"/>
      <c r="K64" s="7"/>
      <c r="L64" s="6"/>
      <c r="M64" s="29"/>
      <c r="N64" s="29"/>
      <c r="O64" s="29"/>
      <c r="P64" s="29"/>
      <c r="Q64" s="488"/>
      <c r="R64" s="6"/>
      <c r="S64" s="7"/>
      <c r="T64" s="6"/>
      <c r="U64" s="296"/>
      <c r="W64">
        <f t="shared" si="1"/>
        <v>54</v>
      </c>
    </row>
    <row r="65" spans="3:41" ht="15" thickBot="1" x14ac:dyDescent="0.35">
      <c r="C65" s="180">
        <f t="shared" si="2"/>
        <v>43964</v>
      </c>
      <c r="E65" s="298"/>
      <c r="F65" s="299"/>
      <c r="G65" s="299"/>
      <c r="H65" s="299"/>
      <c r="I65" s="299"/>
      <c r="J65" s="299"/>
      <c r="K65" s="299"/>
      <c r="L65" s="300"/>
      <c r="M65" s="301"/>
      <c r="N65" s="301"/>
      <c r="O65" s="301"/>
      <c r="P65" s="301"/>
      <c r="Q65" s="489"/>
      <c r="R65" s="300"/>
      <c r="S65" s="300"/>
      <c r="T65" s="300"/>
      <c r="U65" s="302"/>
      <c r="W65">
        <f t="shared" si="1"/>
        <v>55</v>
      </c>
    </row>
    <row r="66" spans="3:41" x14ac:dyDescent="0.3">
      <c r="E66" s="60"/>
      <c r="F66" s="1"/>
      <c r="G66" s="60"/>
      <c r="H66" s="60"/>
      <c r="I66" s="60"/>
      <c r="J66" s="1"/>
      <c r="K66" s="60"/>
      <c r="S66" s="60"/>
    </row>
    <row r="67" spans="3:41" x14ac:dyDescent="0.3">
      <c r="C67" s="189" t="s">
        <v>84</v>
      </c>
      <c r="E67" s="60">
        <f>+E60</f>
        <v>330407</v>
      </c>
      <c r="F67" s="60">
        <f t="shared" ref="F67" si="36">+F52</f>
        <v>0</v>
      </c>
      <c r="G67" s="60">
        <f t="shared" ref="G67:S67" si="37">+G60</f>
        <v>135840</v>
      </c>
      <c r="H67" s="60">
        <f t="shared" si="37"/>
        <v>0</v>
      </c>
      <c r="I67" s="60">
        <f t="shared" si="37"/>
        <v>32411</v>
      </c>
      <c r="J67" s="60">
        <f t="shared" si="37"/>
        <v>0</v>
      </c>
      <c r="K67" s="60">
        <f t="shared" si="37"/>
        <v>498658</v>
      </c>
      <c r="L67" s="60">
        <f t="shared" si="37"/>
        <v>0</v>
      </c>
      <c r="M67" s="60"/>
      <c r="N67" s="60"/>
      <c r="O67" s="60"/>
      <c r="P67" s="60"/>
      <c r="Q67" s="60"/>
      <c r="R67" s="60">
        <f t="shared" si="37"/>
        <v>0</v>
      </c>
      <c r="S67" s="60">
        <f t="shared" si="37"/>
        <v>38077</v>
      </c>
      <c r="T67" s="60">
        <f t="shared" ref="T67" si="38">+T60</f>
        <v>0</v>
      </c>
    </row>
    <row r="68" spans="3:41" x14ac:dyDescent="0.3">
      <c r="E68" s="60">
        <f>+E60-E61</f>
        <v>-2715</v>
      </c>
      <c r="G68" s="60">
        <f t="shared" ref="G68:S68" si="39">+G60-G61</f>
        <v>-1557</v>
      </c>
      <c r="H68" s="60">
        <f t="shared" si="39"/>
        <v>0</v>
      </c>
      <c r="I68" s="60">
        <f t="shared" si="39"/>
        <v>-573</v>
      </c>
      <c r="J68" s="60">
        <f t="shared" si="39"/>
        <v>0</v>
      </c>
      <c r="K68" s="60">
        <f t="shared" si="39"/>
        <v>-4845</v>
      </c>
      <c r="L68" s="60">
        <f t="shared" si="39"/>
        <v>0</v>
      </c>
      <c r="M68" s="60"/>
      <c r="N68" s="60"/>
      <c r="O68" s="60"/>
      <c r="P68" s="60"/>
      <c r="Q68" s="60"/>
      <c r="R68" s="60">
        <f t="shared" si="39"/>
        <v>0</v>
      </c>
      <c r="S68" s="60">
        <f t="shared" si="39"/>
        <v>-534</v>
      </c>
    </row>
    <row r="69" spans="3:41" x14ac:dyDescent="0.3">
      <c r="E69" s="63"/>
      <c r="K69" s="1"/>
    </row>
    <row r="70" spans="3:41" x14ac:dyDescent="0.3">
      <c r="C70" s="129" t="s">
        <v>41</v>
      </c>
      <c r="D70" s="130"/>
      <c r="E70" s="130" t="s">
        <v>43</v>
      </c>
      <c r="F70" s="10"/>
      <c r="G70" s="10"/>
      <c r="H70" s="10"/>
      <c r="I70" s="65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5" spans="3:41" x14ac:dyDescent="0.3">
      <c r="AO75" s="1">
        <v>3797000</v>
      </c>
    </row>
    <row r="76" spans="3:41" x14ac:dyDescent="0.3">
      <c r="C76" s="1">
        <f>300*100</f>
        <v>30000</v>
      </c>
    </row>
    <row r="77" spans="3:41" x14ac:dyDescent="0.3">
      <c r="C77" s="1">
        <v>3797000</v>
      </c>
      <c r="AO77" s="1">
        <v>30000</v>
      </c>
    </row>
    <row r="78" spans="3:41" x14ac:dyDescent="0.3">
      <c r="C78" s="63">
        <f>+C76/C77</f>
        <v>7.900974453515933E-3</v>
      </c>
    </row>
    <row r="79" spans="3:41" x14ac:dyDescent="0.3">
      <c r="AO79" s="287">
        <f>+AO77/AO75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66"/>
  <sheetViews>
    <sheetView topLeftCell="A3" workbookViewId="0">
      <selection activeCell="T30" sqref="T30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8" t="s">
        <v>5</v>
      </c>
      <c r="C1" s="268"/>
      <c r="D1" s="268"/>
    </row>
    <row r="2" spans="2:28" ht="16.2" thickBot="1" x14ac:dyDescent="0.35">
      <c r="B2" s="268" t="s">
        <v>6</v>
      </c>
      <c r="C2" s="268"/>
      <c r="D2" s="268"/>
    </row>
    <row r="3" spans="2:28" ht="16.2" thickBot="1" x14ac:dyDescent="0.35">
      <c r="B3" s="266" t="s">
        <v>14</v>
      </c>
      <c r="C3" s="266"/>
      <c r="D3" s="176"/>
      <c r="R3" s="425" t="s">
        <v>118</v>
      </c>
      <c r="S3" s="426"/>
      <c r="T3" s="426"/>
      <c r="U3" s="426"/>
      <c r="V3" s="426"/>
      <c r="W3" s="426"/>
      <c r="X3" s="426"/>
      <c r="Y3" s="426"/>
      <c r="Z3" s="426"/>
      <c r="AA3" s="426"/>
      <c r="AB3" s="427"/>
    </row>
    <row r="4" spans="2:28" ht="15.6" x14ac:dyDescent="0.3">
      <c r="B4" s="266"/>
      <c r="C4" s="266"/>
      <c r="D4" s="176"/>
      <c r="R4" s="303"/>
      <c r="S4" s="4" t="s">
        <v>81</v>
      </c>
      <c r="T4" s="6"/>
      <c r="U4" s="4" t="s">
        <v>110</v>
      </c>
      <c r="V4" s="5"/>
      <c r="W4" s="4" t="s">
        <v>111</v>
      </c>
      <c r="X4" s="5"/>
      <c r="Y4" s="4" t="s">
        <v>76</v>
      </c>
      <c r="Z4" s="6"/>
      <c r="AA4" s="304" t="s">
        <v>16</v>
      </c>
      <c r="AB4" s="305"/>
    </row>
    <row r="5" spans="2:28" ht="15.6" x14ac:dyDescent="0.3">
      <c r="B5" s="266"/>
      <c r="C5" t="s">
        <v>95</v>
      </c>
      <c r="D5" s="176"/>
      <c r="E5" t="s">
        <v>96</v>
      </c>
      <c r="R5" s="303"/>
      <c r="S5" s="6"/>
      <c r="T5" s="6"/>
      <c r="U5" s="6"/>
      <c r="V5" s="6"/>
      <c r="W5" s="6"/>
      <c r="X5" s="6"/>
      <c r="Y5" s="6"/>
      <c r="Z5" s="6"/>
      <c r="AA5" s="6"/>
      <c r="AB5" s="305"/>
    </row>
    <row r="6" spans="2:28" ht="15.6" x14ac:dyDescent="0.3">
      <c r="B6" s="266"/>
      <c r="C6" s="266"/>
      <c r="D6" s="179"/>
      <c r="E6" t="s">
        <v>97</v>
      </c>
      <c r="F6" t="s">
        <v>115</v>
      </c>
      <c r="R6" s="303"/>
      <c r="S6" s="306">
        <v>43951</v>
      </c>
      <c r="T6" s="314"/>
      <c r="U6" s="315">
        <v>427734</v>
      </c>
      <c r="V6" s="314"/>
      <c r="W6" s="316">
        <v>0.39100000000000001</v>
      </c>
      <c r="X6" s="314"/>
      <c r="Y6" s="314"/>
      <c r="Z6" s="314"/>
      <c r="AA6" s="314"/>
      <c r="AB6" s="305"/>
    </row>
    <row r="7" spans="2:28" ht="15.6" x14ac:dyDescent="0.3">
      <c r="B7" s="266"/>
      <c r="C7" s="266"/>
      <c r="D7" s="179"/>
      <c r="E7" t="s">
        <v>98</v>
      </c>
      <c r="F7" t="s">
        <v>100</v>
      </c>
      <c r="R7" s="303"/>
      <c r="S7" s="313">
        <f>+S6+1</f>
        <v>43952</v>
      </c>
      <c r="T7" s="314"/>
      <c r="U7" s="315">
        <v>432831</v>
      </c>
      <c r="V7" s="314"/>
      <c r="W7" s="316">
        <v>0.38300000000000001</v>
      </c>
      <c r="X7" s="314"/>
      <c r="Y7" s="308">
        <f>+U6-U7</f>
        <v>-5097</v>
      </c>
      <c r="Z7" s="314"/>
      <c r="AA7" s="314"/>
      <c r="AB7" s="305"/>
    </row>
    <row r="8" spans="2:28" ht="15.6" x14ac:dyDescent="0.3">
      <c r="B8" s="266"/>
      <c r="C8" s="266"/>
      <c r="D8" s="179"/>
      <c r="E8" t="s">
        <v>99</v>
      </c>
      <c r="F8" t="s">
        <v>116</v>
      </c>
      <c r="R8" s="303"/>
      <c r="S8" s="313">
        <f t="shared" ref="S8:S15" si="0">+S7+1</f>
        <v>43953</v>
      </c>
      <c r="T8" s="6"/>
      <c r="U8" s="7">
        <v>433512</v>
      </c>
      <c r="V8" s="6"/>
      <c r="W8" s="45">
        <v>0.373</v>
      </c>
      <c r="X8" s="6"/>
      <c r="Y8" s="308">
        <f t="shared" ref="Y8:Y12" si="1">+U7-U8</f>
        <v>-681</v>
      </c>
      <c r="Z8" s="6"/>
      <c r="AA8" s="6"/>
      <c r="AB8" s="305"/>
    </row>
    <row r="9" spans="2:28" ht="15.6" x14ac:dyDescent="0.3">
      <c r="B9" s="266"/>
      <c r="C9" s="266"/>
      <c r="D9" s="179"/>
      <c r="R9" s="303"/>
      <c r="S9" s="313">
        <f t="shared" si="0"/>
        <v>43954</v>
      </c>
      <c r="T9" s="6"/>
      <c r="U9" s="7">
        <v>434345</v>
      </c>
      <c r="V9" s="6"/>
      <c r="W9" s="45">
        <v>0.36599999999999999</v>
      </c>
      <c r="X9" s="6"/>
      <c r="Y9" s="308">
        <f t="shared" si="1"/>
        <v>-833</v>
      </c>
      <c r="Z9" s="6"/>
      <c r="AA9" s="6"/>
      <c r="AB9" s="305"/>
    </row>
    <row r="10" spans="2:28" ht="15.6" x14ac:dyDescent="0.3">
      <c r="B10" s="266"/>
      <c r="C10" s="288" t="s">
        <v>101</v>
      </c>
      <c r="D10" s="179"/>
      <c r="E10" t="s">
        <v>104</v>
      </c>
      <c r="R10" s="303"/>
      <c r="S10" s="313">
        <f t="shared" si="0"/>
        <v>43955</v>
      </c>
      <c r="T10" s="6"/>
      <c r="U10" s="7">
        <v>458962</v>
      </c>
      <c r="V10" s="6"/>
      <c r="W10" s="45">
        <v>0.378</v>
      </c>
      <c r="X10" s="6"/>
      <c r="Y10" s="308">
        <f t="shared" si="1"/>
        <v>-24617</v>
      </c>
      <c r="Z10" s="6"/>
      <c r="AA10" s="6"/>
      <c r="AB10" s="305"/>
    </row>
    <row r="11" spans="2:28" ht="15.6" x14ac:dyDescent="0.3">
      <c r="B11" s="266"/>
      <c r="C11" s="266"/>
      <c r="D11" s="179"/>
      <c r="E11" t="s">
        <v>97</v>
      </c>
      <c r="F11" t="s">
        <v>102</v>
      </c>
      <c r="R11" s="303"/>
      <c r="S11" s="313">
        <f t="shared" si="0"/>
        <v>43956</v>
      </c>
      <c r="T11" s="6"/>
      <c r="U11" s="307">
        <v>455743</v>
      </c>
      <c r="V11" s="6"/>
      <c r="W11" s="45">
        <v>0.36799999999999999</v>
      </c>
      <c r="X11" s="6"/>
      <c r="Y11" s="308">
        <f t="shared" si="1"/>
        <v>3219</v>
      </c>
      <c r="Z11" s="6"/>
      <c r="AA11" s="312"/>
      <c r="AB11" s="305"/>
    </row>
    <row r="12" spans="2:28" ht="15.6" x14ac:dyDescent="0.3">
      <c r="B12" s="266"/>
      <c r="C12" s="266"/>
      <c r="D12" s="179"/>
      <c r="E12" t="s">
        <v>98</v>
      </c>
      <c r="F12" t="s">
        <v>103</v>
      </c>
      <c r="R12" s="303"/>
      <c r="S12" s="313">
        <f t="shared" si="0"/>
        <v>43957</v>
      </c>
      <c r="T12" s="6"/>
      <c r="U12" s="307">
        <v>454697</v>
      </c>
      <c r="V12" s="6"/>
      <c r="W12" s="45">
        <f>+L36</f>
        <v>0.32578663793903495</v>
      </c>
      <c r="X12" s="6"/>
      <c r="Y12" s="308">
        <f t="shared" si="1"/>
        <v>1046</v>
      </c>
      <c r="Z12" s="6"/>
      <c r="AA12" s="312"/>
      <c r="AB12" s="305"/>
    </row>
    <row r="13" spans="2:28" ht="15.6" x14ac:dyDescent="0.3">
      <c r="B13" s="266"/>
      <c r="C13" s="266"/>
      <c r="D13" s="179"/>
      <c r="R13" s="303"/>
      <c r="S13" s="313">
        <f t="shared" si="0"/>
        <v>43958</v>
      </c>
      <c r="T13" s="6"/>
      <c r="U13" s="307">
        <v>454838</v>
      </c>
      <c r="V13" s="6"/>
      <c r="W13" s="45">
        <f>+L37</f>
        <v>0</v>
      </c>
      <c r="X13" s="6"/>
      <c r="Y13" s="308">
        <f t="shared" ref="Y13" si="2">+U12-U13</f>
        <v>-141</v>
      </c>
      <c r="Z13" s="6"/>
      <c r="AA13" s="312"/>
      <c r="AB13" s="305"/>
    </row>
    <row r="14" spans="2:28" ht="15.6" x14ac:dyDescent="0.3">
      <c r="B14" s="266"/>
      <c r="C14" s="288" t="s">
        <v>105</v>
      </c>
      <c r="D14" s="179"/>
      <c r="E14" t="s">
        <v>106</v>
      </c>
      <c r="R14" s="303"/>
      <c r="S14" s="313">
        <f t="shared" si="0"/>
        <v>43959</v>
      </c>
      <c r="T14" s="6"/>
      <c r="U14" s="307">
        <v>452043</v>
      </c>
      <c r="V14" s="6"/>
      <c r="W14" s="45">
        <f>+L38</f>
        <v>0</v>
      </c>
      <c r="X14" s="6"/>
      <c r="Y14" s="308">
        <f t="shared" ref="Y14" si="3">+U13-U14</f>
        <v>2795</v>
      </c>
      <c r="Z14" s="6"/>
      <c r="AA14" s="312"/>
      <c r="AB14" s="305"/>
    </row>
    <row r="15" spans="2:28" x14ac:dyDescent="0.3">
      <c r="B15" s="266"/>
      <c r="E15" s="428" t="s">
        <v>107</v>
      </c>
      <c r="F15" s="428"/>
      <c r="G15" s="428"/>
      <c r="H15" s="428"/>
      <c r="I15" s="428"/>
      <c r="R15" s="303"/>
      <c r="S15" s="313">
        <f t="shared" si="0"/>
        <v>43960</v>
      </c>
      <c r="T15" s="6"/>
      <c r="U15" s="307">
        <f>+I36</f>
        <v>438803</v>
      </c>
      <c r="V15" s="6"/>
      <c r="W15" s="45">
        <f>+L39</f>
        <v>0</v>
      </c>
      <c r="X15" s="6"/>
      <c r="Y15" s="308">
        <f t="shared" ref="Y15" si="4">+U14-U15</f>
        <v>13240</v>
      </c>
      <c r="Z15" s="6"/>
      <c r="AA15" s="312"/>
      <c r="AB15" s="305"/>
    </row>
    <row r="16" spans="2:28" x14ac:dyDescent="0.3">
      <c r="R16" s="303"/>
      <c r="S16" s="6"/>
      <c r="T16" s="6"/>
      <c r="U16" s="6"/>
      <c r="V16" s="6"/>
      <c r="W16" s="45"/>
      <c r="X16" s="6"/>
      <c r="Y16" s="6"/>
      <c r="Z16" s="6"/>
      <c r="AA16" s="6"/>
      <c r="AB16" s="305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03"/>
      <c r="S17" s="6"/>
      <c r="T17" s="6"/>
      <c r="U17" s="6"/>
      <c r="V17" s="6"/>
      <c r="W17" s="45"/>
      <c r="X17" s="6"/>
      <c r="Y17" s="6"/>
      <c r="Z17" s="6"/>
      <c r="AA17" s="6"/>
      <c r="AB17" s="305"/>
    </row>
    <row r="18" spans="3:28" ht="15" thickBot="1" x14ac:dyDescent="0.35">
      <c r="C18" s="1"/>
      <c r="D18" s="434" t="s">
        <v>47</v>
      </c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6"/>
      <c r="P18" s="96"/>
      <c r="Q18" s="96"/>
      <c r="R18" s="303"/>
      <c r="S18" s="6"/>
      <c r="T18" s="6"/>
      <c r="U18" s="6"/>
      <c r="V18" s="6"/>
      <c r="W18" s="45"/>
      <c r="X18" s="6"/>
      <c r="Y18" s="6"/>
      <c r="Z18" s="6"/>
      <c r="AA18" s="6"/>
      <c r="AB18" s="305"/>
    </row>
    <row r="19" spans="3:28" ht="15" thickBot="1" x14ac:dyDescent="0.35">
      <c r="C19" s="1"/>
      <c r="D19" s="154"/>
      <c r="E19" s="437" t="s">
        <v>78</v>
      </c>
      <c r="F19" s="437"/>
      <c r="G19" s="437"/>
      <c r="H19" s="437"/>
      <c r="I19" s="155" t="s">
        <v>77</v>
      </c>
      <c r="J19" s="156"/>
      <c r="K19" s="442" t="s">
        <v>75</v>
      </c>
      <c r="L19" s="442"/>
      <c r="M19" s="149"/>
      <c r="N19" s="153" t="s">
        <v>76</v>
      </c>
      <c r="O19" s="150"/>
      <c r="P19" s="120"/>
      <c r="Q19" s="120"/>
      <c r="R19" s="303"/>
      <c r="S19" s="6"/>
      <c r="T19" s="6"/>
      <c r="U19" s="6"/>
      <c r="V19" s="6"/>
      <c r="W19" s="45"/>
      <c r="X19" s="6"/>
      <c r="Y19" s="6"/>
      <c r="Z19" s="6"/>
      <c r="AA19" s="6"/>
      <c r="AB19" s="305"/>
    </row>
    <row r="20" spans="3:28" ht="15" thickBot="1" x14ac:dyDescent="0.35">
      <c r="C20" s="1"/>
      <c r="D20" s="133"/>
      <c r="E20" s="134" t="s">
        <v>44</v>
      </c>
      <c r="F20" s="135"/>
      <c r="G20" s="134"/>
      <c r="H20" s="134"/>
      <c r="I20" s="99">
        <f>+'Main Table'!H45</f>
        <v>925038</v>
      </c>
      <c r="J20" s="136"/>
      <c r="K20" s="148"/>
      <c r="L20" s="148"/>
      <c r="M20" s="148"/>
      <c r="N20" s="148"/>
      <c r="O20" s="143"/>
      <c r="P20" s="96"/>
      <c r="Q20" s="96"/>
      <c r="R20" s="309"/>
      <c r="S20" s="300"/>
      <c r="T20" s="300"/>
      <c r="U20" s="300"/>
      <c r="V20" s="300"/>
      <c r="W20" s="310"/>
      <c r="X20" s="300"/>
      <c r="Y20" s="300"/>
      <c r="Z20" s="300"/>
      <c r="AA20" s="300"/>
      <c r="AB20" s="311"/>
    </row>
    <row r="21" spans="3:28" x14ac:dyDescent="0.3">
      <c r="C21" s="1"/>
      <c r="D21" s="133"/>
      <c r="E21" s="134" t="s">
        <v>45</v>
      </c>
      <c r="F21" s="134" t="s">
        <v>4</v>
      </c>
      <c r="G21" s="134"/>
      <c r="H21" s="134"/>
      <c r="I21" s="137">
        <f>+'Main Table'!U65</f>
        <v>80024</v>
      </c>
      <c r="J21" s="136"/>
      <c r="K21" s="148"/>
      <c r="L21" s="148"/>
      <c r="M21" s="148"/>
      <c r="N21" s="148"/>
      <c r="O21" s="143"/>
      <c r="P21" s="96"/>
      <c r="Q21" s="96"/>
      <c r="W21" s="63"/>
    </row>
    <row r="22" spans="3:28" x14ac:dyDescent="0.3">
      <c r="C22" s="1"/>
      <c r="D22" s="133"/>
      <c r="E22" s="134"/>
      <c r="F22" s="134" t="s">
        <v>46</v>
      </c>
      <c r="G22" s="134"/>
      <c r="H22" s="134"/>
      <c r="I22" s="167">
        <v>16938</v>
      </c>
      <c r="J22" s="136"/>
      <c r="K22" s="148"/>
      <c r="L22" s="291">
        <v>16938</v>
      </c>
      <c r="M22" s="148"/>
      <c r="N22" s="168">
        <f>+(I22-L22)/I22</f>
        <v>0</v>
      </c>
      <c r="O22" s="143"/>
      <c r="P22" s="96"/>
      <c r="Q22" s="96"/>
      <c r="W22" s="63"/>
    </row>
    <row r="23" spans="3:28" x14ac:dyDescent="0.3">
      <c r="C23" s="1"/>
      <c r="D23" s="133"/>
      <c r="E23" s="134"/>
      <c r="F23" s="144" t="s">
        <v>73</v>
      </c>
      <c r="G23" s="144"/>
      <c r="H23" s="144"/>
      <c r="I23" s="137">
        <f>+I20-I21-I22</f>
        <v>828076</v>
      </c>
      <c r="J23" s="136"/>
      <c r="K23" s="148"/>
      <c r="L23" s="148"/>
      <c r="M23" s="148"/>
      <c r="N23" s="148"/>
      <c r="O23" s="143"/>
      <c r="P23" s="119"/>
      <c r="Q23" s="119"/>
      <c r="W23" s="63"/>
    </row>
    <row r="24" spans="3:28" x14ac:dyDescent="0.3">
      <c r="C24" s="1"/>
      <c r="D24" s="133"/>
      <c r="E24" s="134" t="s">
        <v>80</v>
      </c>
      <c r="F24" s="136"/>
      <c r="G24" s="136"/>
      <c r="H24" s="136"/>
      <c r="I24" s="138">
        <f>+'Main Table'!AF65</f>
        <v>238078</v>
      </c>
      <c r="J24" s="136"/>
      <c r="K24" s="148"/>
      <c r="L24" s="148"/>
      <c r="M24" s="148"/>
      <c r="N24" s="148"/>
      <c r="O24" s="143"/>
      <c r="P24" s="119"/>
      <c r="Q24" s="119"/>
      <c r="W24" s="63"/>
    </row>
    <row r="25" spans="3:28" x14ac:dyDescent="0.3">
      <c r="C25" s="1"/>
      <c r="D25" s="438" t="s">
        <v>50</v>
      </c>
      <c r="E25" s="439"/>
      <c r="F25" s="439"/>
      <c r="G25" s="439"/>
      <c r="H25" s="439"/>
      <c r="I25" s="139">
        <f>+I23-I24</f>
        <v>589998</v>
      </c>
      <c r="J25" s="136"/>
      <c r="K25" s="148"/>
      <c r="L25" s="148"/>
      <c r="M25" s="148"/>
      <c r="N25" s="148"/>
      <c r="O25" s="143"/>
      <c r="P25" s="119"/>
      <c r="Q25" s="119"/>
      <c r="W25" s="63"/>
    </row>
    <row r="26" spans="3:28" x14ac:dyDescent="0.3">
      <c r="C26" s="1"/>
      <c r="D26" s="133"/>
      <c r="E26" s="134" t="s">
        <v>74</v>
      </c>
      <c r="F26" s="136"/>
      <c r="G26" s="136"/>
      <c r="H26" s="136"/>
      <c r="I26" s="138">
        <f>+I24</f>
        <v>238078</v>
      </c>
      <c r="J26" s="136"/>
      <c r="K26" s="148"/>
      <c r="L26" s="148"/>
      <c r="M26" s="148"/>
      <c r="N26" s="148"/>
      <c r="O26" s="143"/>
      <c r="P26" s="96"/>
      <c r="Q26" s="96"/>
      <c r="W26" s="63"/>
    </row>
    <row r="27" spans="3:28" ht="15" thickBot="1" x14ac:dyDescent="0.35">
      <c r="C27" s="1"/>
      <c r="D27" s="438" t="s">
        <v>47</v>
      </c>
      <c r="E27" s="439"/>
      <c r="F27" s="439"/>
      <c r="G27" s="439"/>
      <c r="H27" s="439"/>
      <c r="I27" s="157">
        <f>+I25+I26</f>
        <v>828076</v>
      </c>
      <c r="J27" s="136"/>
      <c r="K27" s="443">
        <v>790734</v>
      </c>
      <c r="L27" s="443"/>
      <c r="M27" s="148"/>
      <c r="N27" s="158">
        <f>+I27-K27</f>
        <v>37342</v>
      </c>
      <c r="O27" s="143"/>
      <c r="P27" s="96"/>
      <c r="Q27" s="96"/>
      <c r="W27" s="63"/>
    </row>
    <row r="28" spans="3:28" ht="15.6" thickTop="1" thickBot="1" x14ac:dyDescent="0.35">
      <c r="C28" s="10"/>
      <c r="D28" s="142"/>
      <c r="E28" s="440" t="s">
        <v>72</v>
      </c>
      <c r="F28" s="440"/>
      <c r="G28" s="440"/>
      <c r="H28" s="144"/>
      <c r="I28" s="284">
        <f>+I27/I32</f>
        <v>0.61480002643100506</v>
      </c>
      <c r="J28" s="148"/>
      <c r="K28" s="148"/>
      <c r="L28" s="148"/>
      <c r="M28" s="116"/>
      <c r="N28" s="170">
        <f>+N27/K27</f>
        <v>4.7224477510768477E-2</v>
      </c>
      <c r="O28" s="143"/>
      <c r="P28" s="1"/>
      <c r="Q28" s="1"/>
      <c r="W28" s="63"/>
    </row>
    <row r="29" spans="3:28" ht="15.6" thickTop="1" thickBot="1" x14ac:dyDescent="0.35">
      <c r="C29" s="10"/>
      <c r="D29" s="140"/>
      <c r="E29" s="145"/>
      <c r="F29" s="145"/>
      <c r="G29" s="145"/>
      <c r="H29" s="145"/>
      <c r="I29" s="146"/>
      <c r="J29" s="141"/>
      <c r="K29" s="151"/>
      <c r="L29" s="151"/>
      <c r="M29" s="151"/>
      <c r="N29" s="151"/>
      <c r="O29" s="152"/>
      <c r="P29" s="1"/>
      <c r="Q29" s="1"/>
      <c r="W29" s="63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W30" s="63"/>
    </row>
    <row r="31" spans="3:28" ht="16.2" thickBot="1" x14ac:dyDescent="0.35">
      <c r="C31" s="96"/>
      <c r="D31" s="282"/>
      <c r="E31" s="416" t="s">
        <v>118</v>
      </c>
      <c r="F31" s="417"/>
      <c r="G31" s="417"/>
      <c r="H31" s="417"/>
      <c r="I31" s="417"/>
      <c r="J31" s="418"/>
      <c r="K31" s="281"/>
      <c r="L31" s="280" t="s">
        <v>10</v>
      </c>
      <c r="M31" s="279"/>
      <c r="N31" s="278"/>
      <c r="O31" s="116"/>
      <c r="P31" s="96"/>
      <c r="Q31" s="96"/>
      <c r="W31" s="63"/>
    </row>
    <row r="32" spans="3:28" x14ac:dyDescent="0.3">
      <c r="C32" s="10"/>
      <c r="D32" s="269"/>
      <c r="E32" s="270" t="s">
        <v>91</v>
      </c>
      <c r="F32" s="24"/>
      <c r="G32" s="24"/>
      <c r="H32" s="24"/>
      <c r="I32" s="444">
        <f>+'Main Table'!H65</f>
        <v>1346903</v>
      </c>
      <c r="J32" s="444"/>
      <c r="K32" s="24"/>
      <c r="L32" s="25">
        <f>+I32/$I$32</f>
        <v>1</v>
      </c>
      <c r="M32" s="271"/>
      <c r="N32" s="96"/>
      <c r="O32" s="96"/>
      <c r="P32" s="96"/>
      <c r="Q32" s="96"/>
      <c r="W32" s="63"/>
    </row>
    <row r="33" spans="3:23" x14ac:dyDescent="0.3">
      <c r="C33" s="10"/>
      <c r="D33" s="269"/>
      <c r="E33" s="270"/>
      <c r="F33" s="24"/>
      <c r="G33" s="24"/>
      <c r="H33" s="24"/>
      <c r="I33" s="24"/>
      <c r="J33" s="24"/>
      <c r="K33" s="24"/>
      <c r="L33" s="24"/>
      <c r="M33" s="271"/>
      <c r="N33" s="96"/>
      <c r="O33" s="96"/>
      <c r="P33" s="96"/>
      <c r="Q33" s="96"/>
      <c r="W33" s="63"/>
    </row>
    <row r="34" spans="3:23" x14ac:dyDescent="0.3">
      <c r="D34" s="272"/>
      <c r="E34" s="22"/>
      <c r="F34" s="273" t="s">
        <v>117</v>
      </c>
      <c r="G34" s="273"/>
      <c r="H34" s="22"/>
      <c r="I34" s="445">
        <f>+I27</f>
        <v>828076</v>
      </c>
      <c r="J34" s="446"/>
      <c r="K34" s="22"/>
      <c r="L34" s="25">
        <f>+I34/$I$32</f>
        <v>0.61480002643100506</v>
      </c>
      <c r="M34" s="274"/>
      <c r="P34" s="242"/>
      <c r="Q34" s="242"/>
      <c r="W34" s="63"/>
    </row>
    <row r="35" spans="3:23" x14ac:dyDescent="0.3">
      <c r="D35" s="272"/>
      <c r="E35" s="22"/>
      <c r="F35" s="22" t="s">
        <v>92</v>
      </c>
      <c r="G35" s="22"/>
      <c r="H35" s="22"/>
      <c r="I35" s="419">
        <f>+I21</f>
        <v>80024</v>
      </c>
      <c r="J35" s="420"/>
      <c r="K35" s="22"/>
      <c r="L35" s="25">
        <f>+I35/$I$32</f>
        <v>5.9413335629959992E-2</v>
      </c>
      <c r="M35" s="274"/>
      <c r="P35" s="283"/>
      <c r="Q35" s="283"/>
      <c r="W35" s="63"/>
    </row>
    <row r="36" spans="3:23" ht="15" thickBot="1" x14ac:dyDescent="0.35">
      <c r="D36" s="272"/>
      <c r="E36" s="441" t="s">
        <v>118</v>
      </c>
      <c r="F36" s="441"/>
      <c r="G36" s="441"/>
      <c r="H36" s="285"/>
      <c r="I36" s="447">
        <f>+I32-I34-I35</f>
        <v>438803</v>
      </c>
      <c r="J36" s="448"/>
      <c r="K36" s="317"/>
      <c r="L36" s="286">
        <f>+I36/$I$32</f>
        <v>0.32578663793903495</v>
      </c>
      <c r="M36" s="274"/>
    </row>
    <row r="37" spans="3:23" ht="15.6" thickTop="1" thickBot="1" x14ac:dyDescent="0.35">
      <c r="D37" s="275"/>
      <c r="E37" s="276"/>
      <c r="F37" s="276"/>
      <c r="G37" s="276"/>
      <c r="H37" s="276"/>
      <c r="I37" s="276"/>
      <c r="J37" s="276"/>
      <c r="K37" s="276"/>
      <c r="L37" s="276"/>
      <c r="M37" s="277"/>
    </row>
    <row r="39" spans="3:23" ht="15" thickBot="1" x14ac:dyDescent="0.35"/>
    <row r="40" spans="3:23" ht="15" thickBot="1" x14ac:dyDescent="0.35">
      <c r="D40" s="429" t="s">
        <v>120</v>
      </c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1"/>
    </row>
    <row r="41" spans="3:23" ht="15" thickBot="1" x14ac:dyDescent="0.35">
      <c r="D41" s="335"/>
      <c r="E41" s="432" t="s">
        <v>78</v>
      </c>
      <c r="F41" s="432"/>
      <c r="G41" s="432"/>
      <c r="H41" s="432"/>
      <c r="I41" s="318" t="s">
        <v>77</v>
      </c>
      <c r="J41" s="319"/>
      <c r="K41" s="433" t="s">
        <v>38</v>
      </c>
      <c r="L41" s="433"/>
      <c r="M41" s="320"/>
      <c r="N41" s="321" t="s">
        <v>76</v>
      </c>
      <c r="O41" s="336"/>
    </row>
    <row r="42" spans="3:23" x14ac:dyDescent="0.3">
      <c r="D42" s="337"/>
      <c r="E42" s="322" t="s">
        <v>44</v>
      </c>
      <c r="F42" s="323"/>
      <c r="G42" s="322"/>
      <c r="H42" s="322"/>
      <c r="I42" s="499">
        <v>18042</v>
      </c>
      <c r="J42" s="499"/>
      <c r="K42" s="500"/>
      <c r="L42" s="500"/>
      <c r="M42" s="500"/>
      <c r="N42" s="500"/>
      <c r="O42" s="329"/>
    </row>
    <row r="43" spans="3:23" x14ac:dyDescent="0.3">
      <c r="D43" s="337"/>
      <c r="E43" s="322" t="s">
        <v>45</v>
      </c>
      <c r="F43" s="322" t="s">
        <v>4</v>
      </c>
      <c r="G43" s="322"/>
      <c r="H43" s="322"/>
      <c r="I43" s="499">
        <v>1306</v>
      </c>
      <c r="J43" s="499"/>
      <c r="K43" s="500"/>
      <c r="L43" s="500"/>
      <c r="M43" s="500"/>
      <c r="N43" s="500"/>
      <c r="O43" s="329"/>
    </row>
    <row r="44" spans="3:23" x14ac:dyDescent="0.3">
      <c r="D44" s="337"/>
      <c r="E44" s="322"/>
      <c r="F44" s="322" t="s">
        <v>46</v>
      </c>
      <c r="G44" s="322"/>
      <c r="H44" s="322"/>
      <c r="I44" s="501">
        <v>1200</v>
      </c>
      <c r="J44" s="499"/>
      <c r="K44" s="500"/>
      <c r="L44" s="499"/>
      <c r="M44" s="500"/>
      <c r="N44" s="502"/>
      <c r="O44" s="329"/>
    </row>
    <row r="45" spans="3:23" x14ac:dyDescent="0.3">
      <c r="D45" s="337"/>
      <c r="E45" s="322"/>
      <c r="F45" s="326" t="s">
        <v>73</v>
      </c>
      <c r="G45" s="326"/>
      <c r="H45" s="326"/>
      <c r="I45" s="499">
        <f>+I42-I43-I44</f>
        <v>15536</v>
      </c>
      <c r="J45" s="499"/>
      <c r="K45" s="500"/>
      <c r="L45" s="500"/>
      <c r="M45" s="500"/>
      <c r="N45" s="500"/>
      <c r="O45" s="329"/>
    </row>
    <row r="46" spans="3:23" x14ac:dyDescent="0.3">
      <c r="D46" s="337"/>
      <c r="E46" s="322" t="s">
        <v>80</v>
      </c>
      <c r="F46" s="324"/>
      <c r="G46" s="324"/>
      <c r="H46" s="324"/>
      <c r="I46" s="501">
        <f>+'Main Table'!AF87</f>
        <v>0</v>
      </c>
      <c r="J46" s="499"/>
      <c r="K46" s="500"/>
      <c r="L46" s="500"/>
      <c r="M46" s="500"/>
      <c r="N46" s="500"/>
      <c r="O46" s="329"/>
    </row>
    <row r="47" spans="3:23" x14ac:dyDescent="0.3">
      <c r="D47" s="422" t="s">
        <v>50</v>
      </c>
      <c r="E47" s="423"/>
      <c r="F47" s="423"/>
      <c r="G47" s="423"/>
      <c r="H47" s="423"/>
      <c r="I47" s="327">
        <f>+I45-I46</f>
        <v>15536</v>
      </c>
      <c r="J47" s="499"/>
      <c r="K47" s="500"/>
      <c r="L47" s="500"/>
      <c r="M47" s="500"/>
      <c r="N47" s="500"/>
      <c r="O47" s="329"/>
    </row>
    <row r="48" spans="3:23" x14ac:dyDescent="0.3">
      <c r="D48" s="337"/>
      <c r="E48" s="322" t="s">
        <v>74</v>
      </c>
      <c r="F48" s="324"/>
      <c r="G48" s="324"/>
      <c r="H48" s="324"/>
      <c r="I48" s="501">
        <f>+I46</f>
        <v>0</v>
      </c>
      <c r="J48" s="499"/>
      <c r="K48" s="500"/>
      <c r="L48" s="500"/>
      <c r="M48" s="500"/>
      <c r="N48" s="500"/>
      <c r="O48" s="329"/>
    </row>
    <row r="49" spans="4:17" ht="15" thickBot="1" x14ac:dyDescent="0.35">
      <c r="D49" s="422" t="s">
        <v>47</v>
      </c>
      <c r="E49" s="423"/>
      <c r="F49" s="423"/>
      <c r="G49" s="423"/>
      <c r="H49" s="423"/>
      <c r="I49" s="503">
        <f>+I47+I48</f>
        <v>15536</v>
      </c>
      <c r="J49" s="499"/>
      <c r="K49" s="504">
        <f>23016-1137</f>
        <v>21879</v>
      </c>
      <c r="L49" s="504"/>
      <c r="M49" s="500"/>
      <c r="N49" s="505">
        <f>+K49-I49</f>
        <v>6343</v>
      </c>
      <c r="O49" s="329"/>
      <c r="Q49" s="60"/>
    </row>
    <row r="50" spans="4:17" ht="15.6" thickTop="1" thickBot="1" x14ac:dyDescent="0.35">
      <c r="D50" s="328"/>
      <c r="E50" s="424" t="s">
        <v>72</v>
      </c>
      <c r="F50" s="424"/>
      <c r="G50" s="424"/>
      <c r="H50" s="326"/>
      <c r="I50" s="506">
        <f>+I49/K49</f>
        <v>0.71008729832259243</v>
      </c>
      <c r="J50" s="500"/>
      <c r="K50" s="500"/>
      <c r="L50" s="500"/>
      <c r="M50" s="500"/>
      <c r="N50" s="507">
        <f>+N49/K49</f>
        <v>0.28991270167740757</v>
      </c>
      <c r="O50" s="329"/>
      <c r="Q50" s="60"/>
    </row>
    <row r="51" spans="4:17" ht="15.6" thickTop="1" thickBot="1" x14ac:dyDescent="0.35">
      <c r="D51" s="338"/>
      <c r="E51" s="339"/>
      <c r="F51" s="339"/>
      <c r="G51" s="339"/>
      <c r="H51" s="339"/>
      <c r="I51" s="508"/>
      <c r="J51" s="509"/>
      <c r="K51" s="510"/>
      <c r="L51" s="510"/>
      <c r="M51" s="510"/>
      <c r="N51" s="510"/>
      <c r="O51" s="332"/>
    </row>
    <row r="52" spans="4:17" ht="15" thickBot="1" x14ac:dyDescent="0.35">
      <c r="D52" s="96"/>
      <c r="E52" s="160"/>
      <c r="F52" s="160"/>
      <c r="G52" s="160"/>
      <c r="H52" s="160"/>
      <c r="I52" s="453"/>
      <c r="J52" s="96"/>
      <c r="K52" s="116"/>
      <c r="L52" s="116"/>
      <c r="M52" s="467"/>
      <c r="N52" s="116"/>
      <c r="O52" s="116"/>
      <c r="P52" s="65"/>
    </row>
    <row r="53" spans="4:17" ht="16.2" thickBot="1" x14ac:dyDescent="0.35">
      <c r="D53" s="468"/>
      <c r="E53" s="472" t="s">
        <v>121</v>
      </c>
      <c r="F53" s="473"/>
      <c r="G53" s="473"/>
      <c r="H53" s="473"/>
      <c r="I53" s="473"/>
      <c r="J53" s="474"/>
      <c r="K53" s="469"/>
      <c r="L53" s="475" t="s">
        <v>10</v>
      </c>
      <c r="M53" s="471"/>
      <c r="N53" s="116"/>
      <c r="O53" s="116"/>
      <c r="P53" s="65"/>
    </row>
    <row r="54" spans="4:17" x14ac:dyDescent="0.3">
      <c r="D54" s="337"/>
      <c r="E54" s="454" t="s">
        <v>91</v>
      </c>
      <c r="F54" s="324"/>
      <c r="G54" s="324"/>
      <c r="H54" s="324"/>
      <c r="I54" s="455">
        <f>+K49</f>
        <v>21879</v>
      </c>
      <c r="J54" s="455"/>
      <c r="K54" s="324"/>
      <c r="L54" s="456">
        <f>+I54/$I$54</f>
        <v>1</v>
      </c>
      <c r="M54" s="470"/>
      <c r="N54" s="116"/>
      <c r="O54" s="116"/>
      <c r="P54" s="65"/>
    </row>
    <row r="55" spans="4:17" x14ac:dyDescent="0.3">
      <c r="D55" s="337"/>
      <c r="E55" s="454"/>
      <c r="F55" s="324"/>
      <c r="G55" s="324"/>
      <c r="H55" s="324"/>
      <c r="I55" s="324"/>
      <c r="J55" s="324"/>
      <c r="K55" s="324"/>
      <c r="L55" s="324"/>
      <c r="M55" s="470"/>
      <c r="N55" s="116"/>
      <c r="O55" s="116"/>
      <c r="P55" s="65"/>
    </row>
    <row r="56" spans="4:17" x14ac:dyDescent="0.3">
      <c r="D56" s="328"/>
      <c r="E56" s="325"/>
      <c r="F56" s="457" t="s">
        <v>117</v>
      </c>
      <c r="G56" s="457"/>
      <c r="H56" s="325"/>
      <c r="I56" s="458">
        <f>+I49</f>
        <v>15536</v>
      </c>
      <c r="J56" s="459"/>
      <c r="K56" s="325"/>
      <c r="L56" s="456">
        <f t="shared" ref="L56:L57" si="5">+I56/$I$54</f>
        <v>0.71008729832259243</v>
      </c>
      <c r="M56" s="329"/>
      <c r="N56" s="116"/>
      <c r="O56" s="116"/>
      <c r="P56" s="65"/>
    </row>
    <row r="57" spans="4:17" x14ac:dyDescent="0.3">
      <c r="D57" s="328"/>
      <c r="E57" s="325"/>
      <c r="F57" s="325" t="s">
        <v>92</v>
      </c>
      <c r="G57" s="325"/>
      <c r="H57" s="325"/>
      <c r="I57" s="460">
        <f>+I43</f>
        <v>1306</v>
      </c>
      <c r="J57" s="461"/>
      <c r="K57" s="325"/>
      <c r="L57" s="456">
        <f t="shared" si="5"/>
        <v>5.969194204488322E-2</v>
      </c>
      <c r="M57" s="329"/>
      <c r="N57" s="116"/>
      <c r="O57" s="116"/>
      <c r="P57" s="65"/>
    </row>
    <row r="58" spans="4:17" ht="15" thickBot="1" x14ac:dyDescent="0.35">
      <c r="D58" s="328"/>
      <c r="E58" s="462" t="s">
        <v>118</v>
      </c>
      <c r="F58" s="462"/>
      <c r="G58" s="462"/>
      <c r="H58" s="325"/>
      <c r="I58" s="463">
        <f>+I54-I56-I57</f>
        <v>5037</v>
      </c>
      <c r="J58" s="464"/>
      <c r="K58" s="465"/>
      <c r="L58" s="466">
        <f>+I58/$I$54</f>
        <v>0.23022075963252434</v>
      </c>
      <c r="M58" s="329"/>
      <c r="N58" s="116"/>
      <c r="O58" s="116"/>
      <c r="P58" s="65"/>
    </row>
    <row r="59" spans="4:17" ht="15" thickTop="1" x14ac:dyDescent="0.3">
      <c r="D59" s="328"/>
      <c r="E59" s="494"/>
      <c r="F59" s="494"/>
      <c r="G59" s="494"/>
      <c r="H59" s="325"/>
      <c r="I59" s="495"/>
      <c r="J59" s="494"/>
      <c r="K59" s="465"/>
      <c r="L59" s="496"/>
      <c r="M59" s="329"/>
      <c r="N59" s="116"/>
      <c r="O59" s="116"/>
      <c r="P59" s="65"/>
    </row>
    <row r="60" spans="4:17" ht="15" thickBot="1" x14ac:dyDescent="0.35">
      <c r="D60" s="330"/>
      <c r="E60" s="331"/>
      <c r="F60" s="331"/>
      <c r="G60" s="331"/>
      <c r="H60" s="331"/>
      <c r="I60" s="331"/>
      <c r="J60" s="331"/>
      <c r="K60" s="331"/>
      <c r="L60" s="331"/>
      <c r="M60" s="332"/>
      <c r="N60" s="116"/>
      <c r="O60" s="116"/>
      <c r="P60" s="65"/>
    </row>
    <row r="61" spans="4:17" ht="15" thickBot="1" x14ac:dyDescent="0.35"/>
    <row r="62" spans="4:17" ht="15" thickBot="1" x14ac:dyDescent="0.35">
      <c r="E62" s="472" t="s">
        <v>123</v>
      </c>
      <c r="F62" s="473"/>
      <c r="G62" s="473"/>
      <c r="H62" s="473"/>
      <c r="I62" s="473"/>
      <c r="J62" s="473"/>
      <c r="K62" s="473"/>
      <c r="L62" s="473"/>
      <c r="M62" s="474"/>
      <c r="P62" s="481">
        <f>+I54/P63</f>
        <v>187.15996578272026</v>
      </c>
    </row>
    <row r="63" spans="4:17" x14ac:dyDescent="0.3">
      <c r="E63" s="476"/>
      <c r="F63" s="333" t="s">
        <v>113</v>
      </c>
      <c r="G63" s="333"/>
      <c r="H63" s="333"/>
      <c r="I63" s="421">
        <v>11690000</v>
      </c>
      <c r="J63" s="421"/>
      <c r="K63" s="421"/>
      <c r="L63" s="421"/>
      <c r="M63" s="477"/>
      <c r="P63">
        <f>+I63/100000</f>
        <v>116.9</v>
      </c>
    </row>
    <row r="64" spans="4:17" x14ac:dyDescent="0.3">
      <c r="E64" s="476"/>
      <c r="F64" s="333" t="s">
        <v>114</v>
      </c>
      <c r="G64" s="333"/>
      <c r="H64" s="333"/>
      <c r="I64" s="333"/>
      <c r="J64" s="333"/>
      <c r="K64" s="333"/>
      <c r="L64" s="334">
        <f>+I58/I63</f>
        <v>4.3088109495295125E-4</v>
      </c>
      <c r="M64" s="477"/>
    </row>
    <row r="65" spans="5:13" x14ac:dyDescent="0.3">
      <c r="E65" s="476"/>
      <c r="F65" s="497" t="s">
        <v>112</v>
      </c>
      <c r="G65" s="497"/>
      <c r="H65" s="333"/>
      <c r="I65" s="333"/>
      <c r="J65" s="333"/>
      <c r="K65" s="333"/>
      <c r="L65" s="498">
        <f>+I58/(I63/100000)</f>
        <v>43.088109495295122</v>
      </c>
      <c r="M65" s="477"/>
    </row>
    <row r="66" spans="5:13" ht="15" thickBot="1" x14ac:dyDescent="0.35">
      <c r="E66" s="478"/>
      <c r="F66" s="479"/>
      <c r="G66" s="479"/>
      <c r="H66" s="479"/>
      <c r="I66" s="479"/>
      <c r="J66" s="479"/>
      <c r="K66" s="479"/>
      <c r="L66" s="479"/>
      <c r="M66" s="480"/>
    </row>
  </sheetData>
  <mergeCells count="31"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W29" sqref="W29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383" t="s">
        <v>5</v>
      </c>
      <c r="C1" s="383"/>
      <c r="D1" s="383"/>
    </row>
    <row r="2" spans="2:31" ht="15.6" x14ac:dyDescent="0.3">
      <c r="B2" s="383" t="s">
        <v>6</v>
      </c>
      <c r="C2" s="383"/>
      <c r="D2" s="383"/>
    </row>
    <row r="3" spans="2:31" ht="15.6" x14ac:dyDescent="0.3">
      <c r="B3" s="266" t="s">
        <v>14</v>
      </c>
      <c r="C3" s="266"/>
      <c r="D3" s="176"/>
    </row>
    <row r="4" spans="2:31" ht="15.6" x14ac:dyDescent="0.3">
      <c r="B4" s="177"/>
      <c r="C4" s="177"/>
      <c r="D4" s="176"/>
    </row>
    <row r="5" spans="2:31" ht="15.6" x14ac:dyDescent="0.3">
      <c r="B5" s="177"/>
      <c r="C5" s="177"/>
      <c r="D5" s="176" t="s">
        <v>86</v>
      </c>
      <c r="F5" s="267" t="s">
        <v>87</v>
      </c>
    </row>
    <row r="6" spans="2:31" ht="15.6" x14ac:dyDescent="0.3">
      <c r="B6" s="177"/>
      <c r="C6" s="177"/>
      <c r="D6" s="176"/>
      <c r="F6" t="s">
        <v>90</v>
      </c>
    </row>
    <row r="7" spans="2:31" ht="15.6" x14ac:dyDescent="0.3">
      <c r="B7" s="177"/>
      <c r="C7" s="177"/>
      <c r="D7" s="176"/>
      <c r="F7" s="267" t="s">
        <v>89</v>
      </c>
    </row>
    <row r="8" spans="2:31" ht="15.6" x14ac:dyDescent="0.3">
      <c r="B8" s="177"/>
      <c r="C8" s="177"/>
      <c r="D8" s="176"/>
      <c r="F8" s="267" t="s">
        <v>88</v>
      </c>
    </row>
    <row r="9" spans="2:31" ht="15.6" x14ac:dyDescent="0.3">
      <c r="B9" s="177"/>
      <c r="C9" s="177"/>
      <c r="D9" s="176"/>
      <c r="F9" s="267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450" t="s">
        <v>24</v>
      </c>
      <c r="E12" s="451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1"/>
      <c r="T12" s="451"/>
      <c r="U12" s="452"/>
      <c r="V12" s="63"/>
    </row>
    <row r="13" spans="2:31" ht="15" thickBot="1" x14ac:dyDescent="0.35">
      <c r="D13" s="236" t="s">
        <v>20</v>
      </c>
      <c r="E13" s="82"/>
      <c r="F13" s="237" t="s">
        <v>21</v>
      </c>
      <c r="G13" s="83"/>
      <c r="H13" s="83"/>
      <c r="I13" s="83"/>
      <c r="J13" s="238" t="s">
        <v>22</v>
      </c>
      <c r="K13" s="83"/>
      <c r="L13" s="237" t="s">
        <v>19</v>
      </c>
      <c r="M13" s="84"/>
      <c r="N13" s="84"/>
      <c r="O13" s="84"/>
      <c r="P13" s="237" t="s">
        <v>21</v>
      </c>
      <c r="Q13" s="84"/>
      <c r="R13" s="84"/>
      <c r="S13" s="84"/>
      <c r="T13" s="237" t="s">
        <v>23</v>
      </c>
      <c r="U13" s="239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41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41">
        <f>+'Main Table'!J65</f>
        <v>1.9316184077391878E-2</v>
      </c>
      <c r="U14" s="239"/>
      <c r="V14" s="1"/>
      <c r="X14" s="243"/>
      <c r="Y14" s="449" t="s">
        <v>64</v>
      </c>
      <c r="Z14" s="449"/>
      <c r="AA14" s="449"/>
      <c r="AB14" s="449"/>
      <c r="AC14" s="449"/>
      <c r="AD14" s="244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4" si="2">+J14</f>
        <v>0.25251059213323362</v>
      </c>
      <c r="K15" s="87"/>
      <c r="L15" s="87">
        <f t="shared" ref="L15:L54" si="3">+L14+1</f>
        <v>1</v>
      </c>
      <c r="M15" s="87"/>
      <c r="N15" s="87"/>
      <c r="O15" s="87"/>
      <c r="P15" s="87">
        <f t="shared" ref="P15:P49" si="4">+P14*(1+T14)</f>
        <v>87085.27818665198</v>
      </c>
      <c r="Q15" s="87"/>
      <c r="R15" s="87"/>
      <c r="S15" s="87"/>
      <c r="T15" s="88">
        <f t="shared" ref="T15:T54" si="5">+T14</f>
        <v>1.9316184077391878E-2</v>
      </c>
      <c r="U15" s="239"/>
      <c r="V15" s="1"/>
      <c r="X15" s="245"/>
      <c r="Y15" s="246" t="s">
        <v>65</v>
      </c>
      <c r="Z15" s="247"/>
      <c r="AA15" s="246" t="s">
        <v>66</v>
      </c>
      <c r="AB15" s="248"/>
      <c r="AC15" s="249" t="s">
        <v>10</v>
      </c>
      <c r="AD15" s="250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88767.433450536235</v>
      </c>
      <c r="Q16" s="87"/>
      <c r="R16" s="87"/>
      <c r="S16" s="87"/>
      <c r="T16" s="88">
        <f t="shared" si="5"/>
        <v>1.9316184077391878E-2</v>
      </c>
      <c r="U16" s="239"/>
      <c r="V16" s="1"/>
      <c r="X16" s="245"/>
      <c r="Y16" s="251" t="s">
        <v>61</v>
      </c>
      <c r="Z16" s="251"/>
      <c r="AA16" s="252">
        <v>330</v>
      </c>
      <c r="AB16" s="251"/>
      <c r="AC16" s="253">
        <f>+AA16/AA16</f>
        <v>1</v>
      </c>
      <c r="AD16" s="250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90482.081535144433</v>
      </c>
      <c r="Q17" s="87"/>
      <c r="R17" s="87"/>
      <c r="S17" s="87"/>
      <c r="T17" s="88">
        <f t="shared" si="5"/>
        <v>1.9316184077391878E-2</v>
      </c>
      <c r="U17" s="239"/>
      <c r="V17" s="1"/>
      <c r="X17" s="245"/>
      <c r="Y17" s="254" t="s">
        <v>63</v>
      </c>
      <c r="Z17" s="251"/>
      <c r="AA17" s="255">
        <v>53.42</v>
      </c>
      <c r="AB17" s="251"/>
      <c r="AC17" s="253">
        <f>+AA17/AA16</f>
        <v>0.16187878787878787</v>
      </c>
      <c r="AD17" s="250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92229.850077782859</v>
      </c>
      <c r="Q18" s="87"/>
      <c r="R18" s="87"/>
      <c r="S18" s="87"/>
      <c r="T18" s="88">
        <f t="shared" si="5"/>
        <v>1.9316184077391878E-2</v>
      </c>
      <c r="U18" s="239"/>
      <c r="V18" s="1"/>
      <c r="X18" s="245"/>
      <c r="Y18" s="256" t="s">
        <v>67</v>
      </c>
      <c r="Z18" s="256"/>
      <c r="AA18" s="252">
        <f>+AC18*AA17</f>
        <v>11.37846</v>
      </c>
      <c r="AB18" s="251"/>
      <c r="AC18" s="253">
        <v>0.21299999999999999</v>
      </c>
      <c r="AD18" s="250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94011.37883931557</v>
      </c>
      <c r="Q19" s="87"/>
      <c r="R19" s="87"/>
      <c r="S19" s="87"/>
      <c r="T19" s="88">
        <f t="shared" si="5"/>
        <v>1.9316184077391878E-2</v>
      </c>
      <c r="U19" s="239"/>
      <c r="V19" s="1"/>
      <c r="X19" s="257"/>
      <c r="Y19" s="258" t="s">
        <v>68</v>
      </c>
      <c r="Z19" s="258"/>
      <c r="AA19" s="259"/>
      <c r="AB19" s="260"/>
      <c r="AC19" s="259">
        <f>+AA18/AA16</f>
        <v>3.448018181818182E-2</v>
      </c>
      <c r="AD19" s="261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95827.319938345216</v>
      </c>
      <c r="Q20" s="87"/>
      <c r="R20" s="87"/>
      <c r="S20" s="87"/>
      <c r="T20" s="88">
        <f t="shared" si="5"/>
        <v>1.9316184077391878E-2</v>
      </c>
      <c r="U20" s="239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97678.338089917423</v>
      </c>
      <c r="Q21" s="87"/>
      <c r="R21" s="87"/>
      <c r="S21" s="87"/>
      <c r="T21" s="88">
        <f t="shared" si="5"/>
        <v>1.9316184077391878E-2</v>
      </c>
      <c r="U21" s="239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99565.11084883599</v>
      </c>
      <c r="Q22" s="87"/>
      <c r="R22" s="87"/>
      <c r="S22" s="87"/>
      <c r="T22" s="88">
        <f t="shared" si="5"/>
        <v>1.9316184077391878E-2</v>
      </c>
      <c r="U22" s="239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101488.32885767803</v>
      </c>
      <c r="Q23" s="87"/>
      <c r="R23" s="87"/>
      <c r="S23" s="87"/>
      <c r="T23" s="88">
        <f t="shared" si="5"/>
        <v>1.9316184077391878E-2</v>
      </c>
      <c r="U23" s="239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103448.69609959982</v>
      </c>
      <c r="Q24" s="87"/>
      <c r="R24" s="87"/>
      <c r="S24" s="87"/>
      <c r="T24" s="88">
        <f t="shared" si="5"/>
        <v>1.9316184077391878E-2</v>
      </c>
      <c r="U24" s="239"/>
      <c r="V24" s="1"/>
      <c r="X24" s="116"/>
      <c r="Y24" s="120"/>
      <c r="Z24" s="265"/>
      <c r="AA24" s="265"/>
      <c r="AB24" s="265"/>
      <c r="AC24" s="265"/>
      <c r="AD24" s="265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105446.93015602586</v>
      </c>
      <c r="Q25" s="87"/>
      <c r="R25" s="87"/>
      <c r="S25" s="87"/>
      <c r="T25" s="88">
        <f t="shared" si="5"/>
        <v>1.9316184077391878E-2</v>
      </c>
      <c r="U25" s="239"/>
      <c r="V25" s="1"/>
      <c r="X25" s="116"/>
      <c r="Y25" s="264"/>
      <c r="Z25" s="264"/>
      <c r="AA25" s="264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107483.76246931554</v>
      </c>
      <c r="Q26" s="87"/>
      <c r="R26" s="87"/>
      <c r="S26" s="87"/>
      <c r="T26" s="88">
        <f t="shared" si="5"/>
        <v>1.9316184077391878E-2</v>
      </c>
      <c r="U26" s="239"/>
      <c r="V26" s="1"/>
      <c r="X26" s="116"/>
      <c r="Y26" s="120"/>
      <c r="Z26" s="120"/>
      <c r="AA26" s="120"/>
      <c r="AB26" s="116"/>
      <c r="AC26" s="262"/>
      <c r="AD26" s="116"/>
      <c r="AE26" s="263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109559.93861050351</v>
      </c>
      <c r="Q27" s="87"/>
      <c r="R27" s="87"/>
      <c r="S27" s="87"/>
      <c r="T27" s="88">
        <f t="shared" si="5"/>
        <v>1.9316184077391878E-2</v>
      </c>
      <c r="U27" s="239"/>
      <c r="V27" s="1"/>
      <c r="X27" s="116"/>
      <c r="Y27" s="120"/>
      <c r="Z27" s="120"/>
      <c r="AA27" s="120"/>
      <c r="AB27" s="116"/>
      <c r="AC27" s="262"/>
      <c r="AD27" s="116"/>
      <c r="AE27" s="263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111676.21855221175</v>
      </c>
      <c r="Q28" s="87"/>
      <c r="R28" s="87"/>
      <c r="S28" s="87"/>
      <c r="T28" s="88">
        <f t="shared" si="5"/>
        <v>1.9316184077391878E-2</v>
      </c>
      <c r="U28" s="239"/>
      <c r="V28" s="1"/>
      <c r="X28" s="116"/>
      <c r="Y28" s="265"/>
      <c r="Z28" s="265"/>
      <c r="AA28" s="265"/>
      <c r="AB28" s="116"/>
      <c r="AC28" s="262"/>
      <c r="AD28" s="116"/>
      <c r="AE28" s="263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113833.37694683332</v>
      </c>
      <c r="Q29" s="87"/>
      <c r="R29" s="87"/>
      <c r="S29" s="87"/>
      <c r="T29" s="88">
        <f t="shared" si="5"/>
        <v>1.9316184077391878E-2</v>
      </c>
      <c r="U29" s="239"/>
      <c r="V29" s="94"/>
      <c r="X29" s="116"/>
      <c r="Y29" s="265"/>
      <c r="Z29" s="265"/>
      <c r="AA29" s="265"/>
      <c r="AB29" s="116"/>
      <c r="AC29" s="263"/>
      <c r="AD29" s="116"/>
      <c r="AE29" s="263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116032.2034100895</v>
      </c>
      <c r="Q30" s="87"/>
      <c r="R30" s="87"/>
      <c r="S30" s="87"/>
      <c r="T30" s="88">
        <f t="shared" si="5"/>
        <v>1.9316184077391878E-2</v>
      </c>
      <c r="U30" s="239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118273.50281006416</v>
      </c>
      <c r="Q31" s="87"/>
      <c r="R31" s="87"/>
      <c r="S31" s="87"/>
      <c r="T31" s="88">
        <f t="shared" si="5"/>
        <v>1.9316184077391878E-2</v>
      </c>
      <c r="U31" s="239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120558.09556182129</v>
      </c>
      <c r="Q32" s="87"/>
      <c r="R32" s="87"/>
      <c r="S32" s="87"/>
      <c r="T32" s="88">
        <f t="shared" si="5"/>
        <v>1.9316184077391878E-2</v>
      </c>
      <c r="U32" s="239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122886.81792771323</v>
      </c>
      <c r="Q33" s="87"/>
      <c r="R33" s="87"/>
      <c r="S33" s="87"/>
      <c r="T33" s="88">
        <f t="shared" si="5"/>
        <v>1.9316184077391878E-2</v>
      </c>
      <c r="U33" s="239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125260.52232348987</v>
      </c>
      <c r="Q34" s="87"/>
      <c r="R34" s="87"/>
      <c r="S34" s="87"/>
      <c r="T34" s="88">
        <f t="shared" si="5"/>
        <v>1.9316184077391878E-2</v>
      </c>
      <c r="U34" s="239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127680.07763032067</v>
      </c>
      <c r="Q35" s="87"/>
      <c r="R35" s="87"/>
      <c r="S35" s="87"/>
      <c r="T35" s="88">
        <f t="shared" si="5"/>
        <v>1.9316184077391878E-2</v>
      </c>
      <c r="U35" s="239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130146.36951284362</v>
      </c>
      <c r="Q36" s="87"/>
      <c r="R36" s="87"/>
      <c r="S36" s="87"/>
      <c r="T36" s="88">
        <f t="shared" si="5"/>
        <v>1.9316184077391878E-2</v>
      </c>
      <c r="U36" s="239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132660.30074335798</v>
      </c>
      <c r="Q37" s="87"/>
      <c r="R37" s="87"/>
      <c r="S37" s="87"/>
      <c r="T37" s="88">
        <f t="shared" si="5"/>
        <v>1.9316184077391878E-2</v>
      </c>
      <c r="U37" s="239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135222.79153227885</v>
      </c>
      <c r="Q38" s="87"/>
      <c r="R38" s="87"/>
      <c r="S38" s="87"/>
      <c r="T38" s="88">
        <f t="shared" si="5"/>
        <v>1.9316184077391878E-2</v>
      </c>
      <c r="U38" s="239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137834.77986497513</v>
      </c>
      <c r="Q39" s="87"/>
      <c r="R39" s="87"/>
      <c r="S39" s="87"/>
      <c r="T39" s="88">
        <f t="shared" si="5"/>
        <v>1.9316184077391878E-2</v>
      </c>
      <c r="U39" s="239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140497.22184511379</v>
      </c>
      <c r="Q40" s="87"/>
      <c r="R40" s="87"/>
      <c r="S40" s="87"/>
      <c r="T40" s="88">
        <f t="shared" si="5"/>
        <v>1.9316184077391878E-2</v>
      </c>
      <c r="U40" s="239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143211.09204463617</v>
      </c>
      <c r="Q41" s="87"/>
      <c r="R41" s="87"/>
      <c r="S41" s="87"/>
      <c r="T41" s="88">
        <f t="shared" si="5"/>
        <v>1.9316184077391878E-2</v>
      </c>
      <c r="U41" s="239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145977.38386049468</v>
      </c>
      <c r="Q42" s="87"/>
      <c r="R42" s="87"/>
      <c r="S42" s="87"/>
      <c r="T42" s="88">
        <f t="shared" si="5"/>
        <v>1.9316184077391878E-2</v>
      </c>
      <c r="U42" s="239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148797.10987828008</v>
      </c>
      <c r="Q43" s="87"/>
      <c r="R43" s="87"/>
      <c r="S43" s="87"/>
      <c r="T43" s="88">
        <f t="shared" si="5"/>
        <v>1.9316184077391878E-2</v>
      </c>
      <c r="U43" s="239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151671.30224287286</v>
      </c>
      <c r="Q44" s="87"/>
      <c r="R44" s="87"/>
      <c r="S44" s="87"/>
      <c r="T44" s="88">
        <f t="shared" si="5"/>
        <v>1.9316184077391878E-2</v>
      </c>
      <c r="U44" s="239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154601.01303625392</v>
      </c>
      <c r="Q45" s="87"/>
      <c r="R45" s="87"/>
      <c r="S45" s="87"/>
      <c r="T45" s="88">
        <f t="shared" si="5"/>
        <v>1.9316184077391878E-2</v>
      </c>
      <c r="U45" s="239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157587.31466261347</v>
      </c>
      <c r="Q46" s="87"/>
      <c r="R46" s="87"/>
      <c r="S46" s="87"/>
      <c r="T46" s="88">
        <f t="shared" si="5"/>
        <v>1.9316184077391878E-2</v>
      </c>
      <c r="U46" s="239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160631.30024089839</v>
      </c>
      <c r="Q47" s="87"/>
      <c r="R47" s="87"/>
      <c r="S47" s="87"/>
      <c r="T47" s="88">
        <f t="shared" si="5"/>
        <v>1.9316184077391878E-2</v>
      </c>
      <c r="U47" s="239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163734.08400494239</v>
      </c>
      <c r="Q48" s="87"/>
      <c r="R48" s="87"/>
      <c r="S48" s="87"/>
      <c r="T48" s="88">
        <f t="shared" si="5"/>
        <v>1.9316184077391878E-2</v>
      </c>
      <c r="U48" s="239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166896.80171132501</v>
      </c>
      <c r="Q49" s="87"/>
      <c r="R49" s="87"/>
      <c r="S49" s="87"/>
      <c r="T49" s="88">
        <f t="shared" si="5"/>
        <v>1.9316184077391878E-2</v>
      </c>
      <c r="U49" s="239"/>
      <c r="V49" s="10"/>
    </row>
    <row r="50" spans="4:22" x14ac:dyDescent="0.3">
      <c r="D50" s="85">
        <f t="shared" si="0"/>
        <v>43952</v>
      </c>
      <c r="E50" s="86"/>
      <c r="F50" s="87">
        <f t="shared" ref="F50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" si="7">+P49*(1+T49)</f>
        <v>170120.61105510892</v>
      </c>
      <c r="Q50" s="87"/>
      <c r="R50" s="87"/>
      <c r="S50" s="87"/>
      <c r="T50" s="88">
        <f t="shared" si="5"/>
        <v>1.9316184077391878E-2</v>
      </c>
      <c r="U50" s="239"/>
      <c r="V50" s="10"/>
    </row>
    <row r="51" spans="4:22" x14ac:dyDescent="0.3">
      <c r="D51" s="85">
        <f t="shared" si="0"/>
        <v>43953</v>
      </c>
      <c r="E51" s="86"/>
      <c r="F51" s="87">
        <f t="shared" ref="F51" si="8">+F50*(1+J50)</f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ref="P51" si="9">+P50*(1+T50)</f>
        <v>173406.69209360779</v>
      </c>
      <c r="Q51" s="87"/>
      <c r="R51" s="87"/>
      <c r="S51" s="87"/>
      <c r="T51" s="88">
        <f t="shared" si="5"/>
        <v>1.9316184077391878E-2</v>
      </c>
      <c r="U51" s="239"/>
      <c r="V51" s="10"/>
    </row>
    <row r="52" spans="4:22" x14ac:dyDescent="0.3">
      <c r="D52" s="85">
        <f t="shared" si="0"/>
        <v>43954</v>
      </c>
      <c r="E52" s="86"/>
      <c r="F52" s="87">
        <f t="shared" ref="F52" si="10">+F51*(1+J51)</f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ref="P52" si="11">+P51*(1+T51)</f>
        <v>176756.24767833954</v>
      </c>
      <c r="Q52" s="87"/>
      <c r="R52" s="87"/>
      <c r="S52" s="87"/>
      <c r="T52" s="88">
        <f t="shared" si="5"/>
        <v>1.9316184077391878E-2</v>
      </c>
      <c r="U52" s="239"/>
      <c r="V52" s="10"/>
    </row>
    <row r="53" spans="4:22" x14ac:dyDescent="0.3">
      <c r="D53" s="85">
        <f t="shared" si="0"/>
        <v>43955</v>
      </c>
      <c r="E53" s="86"/>
      <c r="F53" s="87">
        <f t="shared" ref="F53" si="12">+F52*(1+J52)</f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ref="P53" si="13">+P52*(1+T52)</f>
        <v>180170.50389532343</v>
      </c>
      <c r="Q53" s="87"/>
      <c r="R53" s="87"/>
      <c r="S53" s="87"/>
      <c r="T53" s="88">
        <f t="shared" si="5"/>
        <v>1.9316184077391878E-2</v>
      </c>
      <c r="U53" s="239"/>
      <c r="V53" s="10"/>
    </row>
    <row r="54" spans="4:22" x14ac:dyDescent="0.3">
      <c r="D54" s="85">
        <f t="shared" si="0"/>
        <v>43956</v>
      </c>
      <c r="E54" s="86"/>
      <c r="F54" s="87">
        <f t="shared" ref="F54" si="14">+F53*(1+J53)</f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ref="P54" si="15">+P53*(1+T53)</f>
        <v>183650.71051388196</v>
      </c>
      <c r="Q54" s="87"/>
      <c r="R54" s="87"/>
      <c r="S54" s="87"/>
      <c r="T54" s="88">
        <f t="shared" si="5"/>
        <v>1.9316184077391878E-2</v>
      </c>
      <c r="U54" s="239"/>
      <c r="V54" s="10"/>
    </row>
    <row r="55" spans="4:22" x14ac:dyDescent="0.3">
      <c r="D55" s="85">
        <f t="shared" si="0"/>
        <v>43957</v>
      </c>
      <c r="E55" s="86"/>
      <c r="F55" s="87"/>
      <c r="G55" s="87"/>
      <c r="H55" s="87"/>
      <c r="I55" s="87"/>
      <c r="J55" s="88"/>
      <c r="K55" s="87"/>
      <c r="L55" s="87"/>
      <c r="M55" s="87"/>
      <c r="N55" s="87"/>
      <c r="O55" s="87"/>
      <c r="P55" s="87"/>
      <c r="Q55" s="87"/>
      <c r="R55" s="87"/>
      <c r="S55" s="87"/>
      <c r="T55" s="88"/>
      <c r="U55" s="239"/>
      <c r="V55" s="10"/>
    </row>
    <row r="56" spans="4:22" x14ac:dyDescent="0.3">
      <c r="D56" s="85">
        <f t="shared" si="0"/>
        <v>43958</v>
      </c>
      <c r="E56" s="86"/>
      <c r="F56" s="87"/>
      <c r="G56" s="87"/>
      <c r="H56" s="87"/>
      <c r="I56" s="87"/>
      <c r="J56" s="88"/>
      <c r="K56" s="87"/>
      <c r="L56" s="87"/>
      <c r="M56" s="87"/>
      <c r="N56" s="87"/>
      <c r="O56" s="87"/>
      <c r="P56" s="87"/>
      <c r="Q56" s="87"/>
      <c r="R56" s="87"/>
      <c r="S56" s="87"/>
      <c r="T56" s="88"/>
      <c r="U56" s="239"/>
      <c r="V56" s="10"/>
    </row>
    <row r="57" spans="4:22" x14ac:dyDescent="0.3">
      <c r="D57" s="85">
        <f t="shared" si="0"/>
        <v>43959</v>
      </c>
      <c r="E57" s="86"/>
      <c r="F57" s="87"/>
      <c r="G57" s="87"/>
      <c r="H57" s="87"/>
      <c r="I57" s="87"/>
      <c r="J57" s="88"/>
      <c r="K57" s="87"/>
      <c r="L57" s="87"/>
      <c r="M57" s="87"/>
      <c r="N57" s="87"/>
      <c r="O57" s="87"/>
      <c r="P57" s="87"/>
      <c r="Q57" s="87"/>
      <c r="R57" s="87"/>
      <c r="S57" s="87"/>
      <c r="T57" s="88"/>
      <c r="U57" s="239"/>
      <c r="V57" s="10"/>
    </row>
    <row r="58" spans="4:22" x14ac:dyDescent="0.3">
      <c r="D58" s="85">
        <f t="shared" si="0"/>
        <v>43960</v>
      </c>
      <c r="E58" s="86"/>
      <c r="F58" s="87"/>
      <c r="G58" s="87"/>
      <c r="H58" s="87"/>
      <c r="I58" s="87"/>
      <c r="J58" s="88"/>
      <c r="K58" s="87"/>
      <c r="L58" s="87"/>
      <c r="M58" s="87"/>
      <c r="N58" s="87"/>
      <c r="O58" s="87"/>
      <c r="P58" s="87"/>
      <c r="Q58" s="87"/>
      <c r="R58" s="87"/>
      <c r="S58" s="87"/>
      <c r="T58" s="88"/>
      <c r="U58" s="239"/>
      <c r="V58" s="10"/>
    </row>
    <row r="59" spans="4:22" x14ac:dyDescent="0.3">
      <c r="D59" s="85">
        <f t="shared" si="0"/>
        <v>43961</v>
      </c>
      <c r="E59" s="86"/>
      <c r="F59" s="87"/>
      <c r="G59" s="87"/>
      <c r="H59" s="87"/>
      <c r="I59" s="87"/>
      <c r="J59" s="88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239"/>
      <c r="V59" s="10"/>
    </row>
    <row r="60" spans="4:22" ht="15" thickBot="1" x14ac:dyDescent="0.35">
      <c r="D60" s="289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40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8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2020-05-10T00:29:24Z</dcterms:modified>
</cp:coreProperties>
</file>