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BA5A6FC3-BF1E-4A47-8EF1-3A12D7425514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5" i="1" l="1"/>
  <c r="I20" i="3" l="1"/>
  <c r="BH95" i="1" l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O95" i="1"/>
  <c r="N95" i="1"/>
  <c r="M95" i="1"/>
  <c r="L95" i="1"/>
  <c r="K95" i="1"/>
  <c r="J95" i="1"/>
  <c r="I95" i="1"/>
  <c r="H95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D95" i="1"/>
  <c r="D94" i="1"/>
  <c r="S89" i="2"/>
  <c r="U90" i="2"/>
  <c r="S90" i="2"/>
  <c r="K90" i="2"/>
  <c r="BJ82" i="1"/>
  <c r="BL82" i="1" s="1"/>
  <c r="BL75" i="1"/>
  <c r="BJ75" i="1"/>
  <c r="BJ68" i="1"/>
  <c r="BL68" i="1" s="1"/>
  <c r="BJ61" i="1"/>
  <c r="BL61" i="1" s="1"/>
  <c r="BJ54" i="1"/>
  <c r="BL54" i="1" s="1"/>
  <c r="BJ47" i="1"/>
  <c r="BL47" i="1" s="1"/>
  <c r="BJ40" i="1"/>
  <c r="BL40" i="1" s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V89" i="1"/>
  <c r="BM89" i="1"/>
  <c r="BD89" i="1"/>
  <c r="AZ89" i="1"/>
  <c r="AW89" i="1"/>
  <c r="AK89" i="1"/>
  <c r="AQ89" i="1" s="1"/>
  <c r="AF89" i="1"/>
  <c r="P89" i="1"/>
  <c r="R89" i="1" s="1"/>
  <c r="AH89" i="1" l="1"/>
  <c r="AH33" i="1"/>
  <c r="BF89" i="1"/>
  <c r="BN95" i="1"/>
  <c r="BK95" i="1"/>
  <c r="BI95" i="1"/>
  <c r="BN94" i="1"/>
  <c r="BK94" i="1"/>
  <c r="BI94" i="1"/>
  <c r="BM88" i="1"/>
  <c r="BM95" i="1" s="1"/>
  <c r="BD88" i="1"/>
  <c r="AZ88" i="1"/>
  <c r="AW88" i="1"/>
  <c r="AK88" i="1"/>
  <c r="AQ88" i="1" s="1"/>
  <c r="Z88" i="1"/>
  <c r="Z89" i="1" s="1"/>
  <c r="AD89" i="1" s="1"/>
  <c r="J88" i="1"/>
  <c r="H88" i="1"/>
  <c r="K89" i="2"/>
  <c r="Q89" i="2" s="1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E94" i="2"/>
  <c r="Q90" i="2" l="1"/>
  <c r="M90" i="2"/>
  <c r="X89" i="2"/>
  <c r="Y90" i="2" s="1"/>
  <c r="Y91" i="2" s="1"/>
  <c r="Y92" i="2" s="1"/>
  <c r="BJ89" i="1"/>
  <c r="BL89" i="1" s="1"/>
  <c r="N88" i="1"/>
  <c r="J89" i="1"/>
  <c r="H89" i="1"/>
  <c r="AB88" i="1"/>
  <c r="BM94" i="1"/>
  <c r="BF88" i="1"/>
  <c r="BO88" i="1"/>
  <c r="BO89" i="1" s="1"/>
  <c r="BQ89" i="1" s="1"/>
  <c r="AU88" i="1"/>
  <c r="AD88" i="1"/>
  <c r="M89" i="2"/>
  <c r="U89" i="2"/>
  <c r="S95" i="2"/>
  <c r="S88" i="2"/>
  <c r="BJ95" i="1" l="1"/>
  <c r="BJ94" i="1"/>
  <c r="N89" i="1"/>
  <c r="AU89" i="1"/>
  <c r="AB89" i="1"/>
  <c r="BQ88" i="1"/>
  <c r="BO94" i="1"/>
  <c r="BO95" i="1"/>
  <c r="BL94" i="1"/>
  <c r="BM87" i="1"/>
  <c r="BD87" i="1"/>
  <c r="BO87" i="1" s="1"/>
  <c r="BQ87" i="1" s="1"/>
  <c r="AZ87" i="1"/>
  <c r="AW87" i="1"/>
  <c r="AK87" i="1"/>
  <c r="AQ87" i="1" s="1"/>
  <c r="Z87" i="1"/>
  <c r="AD87" i="1" s="1"/>
  <c r="J87" i="1"/>
  <c r="H87" i="1"/>
  <c r="AU87" i="1" s="1"/>
  <c r="K88" i="2"/>
  <c r="Q88" i="2" s="1"/>
  <c r="AB87" i="1" l="1"/>
  <c r="BF87" i="1"/>
  <c r="N87" i="1"/>
  <c r="BL95" i="1"/>
  <c r="U88" i="2"/>
  <c r="M88" i="2"/>
  <c r="S87" i="2"/>
  <c r="U87" i="2"/>
  <c r="Q87" i="2"/>
  <c r="M87" i="2"/>
  <c r="K87" i="2"/>
  <c r="W87" i="2"/>
  <c r="W88" i="2" s="1"/>
  <c r="W89" i="2" s="1"/>
  <c r="W90" i="2" s="1"/>
  <c r="W91" i="2" s="1"/>
  <c r="W92" i="2" s="1"/>
  <c r="C87" i="2"/>
  <c r="C88" i="2" s="1"/>
  <c r="C89" i="2" s="1"/>
  <c r="C90" i="2" s="1"/>
  <c r="C91" i="2" s="1"/>
  <c r="C92" i="2" s="1"/>
  <c r="BV87" i="1"/>
  <c r="BV88" i="1" s="1"/>
  <c r="BV90" i="1" s="1"/>
  <c r="BV91" i="1" s="1"/>
  <c r="BV92" i="1" s="1"/>
  <c r="B87" i="1"/>
  <c r="B88" i="1" s="1"/>
  <c r="B89" i="1" s="1"/>
  <c r="B90" i="1" s="1"/>
  <c r="B91" i="1" s="1"/>
  <c r="B92" i="1" s="1"/>
  <c r="BD86" i="1"/>
  <c r="AZ86" i="1"/>
  <c r="AK86" i="1"/>
  <c r="AQ86" i="1" s="1"/>
  <c r="BF86" i="1" l="1"/>
  <c r="S86" i="2"/>
  <c r="BD85" i="1" l="1"/>
  <c r="AZ85" i="1"/>
  <c r="AK85" i="1"/>
  <c r="AQ85" i="1" s="1"/>
  <c r="K86" i="2"/>
  <c r="Q86" i="2" s="1"/>
  <c r="BF85" i="1" l="1"/>
  <c r="U86" i="2"/>
  <c r="M86" i="2"/>
  <c r="S85" i="2"/>
  <c r="K85" i="2" l="1"/>
  <c r="Q85" i="2" s="1"/>
  <c r="BD84" i="1"/>
  <c r="AZ84" i="1"/>
  <c r="AK84" i="1"/>
  <c r="AQ84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U85" i="2" l="1"/>
  <c r="M85" i="2"/>
  <c r="BF84" i="1"/>
  <c r="BD83" i="1" l="1"/>
  <c r="AZ83" i="1"/>
  <c r="AK83" i="1"/>
  <c r="AQ83" i="1" s="1"/>
  <c r="S84" i="2"/>
  <c r="K84" i="2"/>
  <c r="Q84" i="2" s="1"/>
  <c r="F119" i="3"/>
  <c r="F116" i="3"/>
  <c r="S83" i="2"/>
  <c r="BF83" i="1" l="1"/>
  <c r="U84" i="2"/>
  <c r="M84" i="2"/>
  <c r="V78" i="1" l="1"/>
  <c r="K83" i="2"/>
  <c r="U83" i="2" s="1"/>
  <c r="BD82" i="1"/>
  <c r="AZ82" i="1"/>
  <c r="AK82" i="1"/>
  <c r="S82" i="2"/>
  <c r="K82" i="2"/>
  <c r="M82" i="2" s="1"/>
  <c r="BD81" i="1"/>
  <c r="AZ81" i="1"/>
  <c r="AK81" i="1"/>
  <c r="AQ82" i="1" l="1"/>
  <c r="BF82" i="1"/>
  <c r="M83" i="2"/>
  <c r="Q83" i="2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F80" i="1" l="1"/>
  <c r="S80" i="2"/>
  <c r="K80" i="2"/>
  <c r="U80" i="2" s="1"/>
  <c r="BD79" i="1"/>
  <c r="AZ79" i="1"/>
  <c r="AK79" i="1"/>
  <c r="AQ79" i="1" l="1"/>
  <c r="M80" i="2"/>
  <c r="Q80" i="2"/>
  <c r="BF79" i="1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23" i="1" l="1"/>
  <c r="BD75" i="1"/>
  <c r="AZ75" i="1"/>
  <c r="AK75" i="1"/>
  <c r="AQ75" i="1" s="1"/>
  <c r="K76" i="2"/>
  <c r="M76" i="2" s="1"/>
  <c r="BF75" i="1" l="1"/>
  <c r="U76" i="2"/>
  <c r="Q76" i="2"/>
  <c r="D127" i="1"/>
  <c r="D126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09" i="1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K69" i="2" l="1"/>
  <c r="Q69" i="2" s="1"/>
  <c r="BD68" i="1"/>
  <c r="AZ68" i="1"/>
  <c r="AK68" i="1"/>
  <c r="AQ68" i="1" s="1"/>
  <c r="U69" i="2" l="1"/>
  <c r="M69" i="2"/>
  <c r="BF68" i="1"/>
  <c r="S68" i="2"/>
  <c r="D65" i="1"/>
  <c r="Q67" i="2"/>
  <c r="K68" i="2"/>
  <c r="M68" i="2" s="1"/>
  <c r="BD67" i="1"/>
  <c r="AZ67" i="1"/>
  <c r="AK67" i="1"/>
  <c r="AQ67" i="1" l="1"/>
  <c r="Q68" i="2"/>
  <c r="U68" i="2"/>
  <c r="BF67" i="1"/>
  <c r="D117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AK62" i="1"/>
  <c r="AQ62" i="1" s="1"/>
  <c r="K63" i="2"/>
  <c r="M63" i="2" s="1"/>
  <c r="X17" i="3"/>
  <c r="BF62" i="1" l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94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S55" i="2"/>
  <c r="L52" i="7"/>
  <c r="K55" i="2"/>
  <c r="U55" i="2" s="1"/>
  <c r="BD54" i="1"/>
  <c r="AZ54" i="1"/>
  <c r="AK54" i="1"/>
  <c r="AQ54" i="1" s="1"/>
  <c r="M55" i="2" l="1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06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94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W77" i="2" l="1"/>
  <c r="W78" i="2" s="1"/>
  <c r="W79" i="2" s="1"/>
  <c r="W80" i="2" s="1"/>
  <c r="W81" i="2" s="1"/>
  <c r="W82" i="2" s="1"/>
  <c r="W83" i="2" s="1"/>
  <c r="W84" i="2" s="1"/>
  <c r="W85" i="2" s="1"/>
  <c r="W86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AK48" i="1"/>
  <c r="AQ48" i="1" s="1"/>
  <c r="B143" i="1"/>
  <c r="B146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AD34" i="1" s="1"/>
  <c r="H31" i="1"/>
  <c r="J31" i="1"/>
  <c r="AU30" i="1"/>
  <c r="AB30" i="1"/>
  <c r="BV80" i="1" l="1"/>
  <c r="BM79" i="1"/>
  <c r="AW79" i="1"/>
  <c r="BM78" i="1"/>
  <c r="AW78" i="1"/>
  <c r="J32" i="1"/>
  <c r="N31" i="1"/>
  <c r="BQ53" i="1"/>
  <c r="BO54" i="1"/>
  <c r="H32" i="1"/>
  <c r="AB31" i="1"/>
  <c r="AU31" i="1"/>
  <c r="Z35" i="1"/>
  <c r="AD35" i="1" s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N34" i="1" s="1"/>
  <c r="BQ55" i="1"/>
  <c r="BO56" i="1"/>
  <c r="J34" i="1"/>
  <c r="Z37" i="1"/>
  <c r="AD37" i="1" s="1"/>
  <c r="BV83" i="1" l="1"/>
  <c r="BV84" i="1" s="1"/>
  <c r="BM82" i="1"/>
  <c r="AW82" i="1"/>
  <c r="AB34" i="1"/>
  <c r="J35" i="1"/>
  <c r="H35" i="1"/>
  <c r="N35" i="1" s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M85" i="1"/>
  <c r="AW85" i="1"/>
  <c r="J37" i="1"/>
  <c r="H37" i="1"/>
  <c r="N37" i="1" s="1"/>
  <c r="AU36" i="1"/>
  <c r="AB36" i="1"/>
  <c r="BQ58" i="1"/>
  <c r="BO59" i="1"/>
  <c r="Z40" i="1"/>
  <c r="AD40" i="1" s="1"/>
  <c r="AB37" i="1" l="1"/>
  <c r="AW86" i="1"/>
  <c r="BM86" i="1"/>
  <c r="AU37" i="1"/>
  <c r="H38" i="1"/>
  <c r="N38" i="1" s="1"/>
  <c r="J38" i="1"/>
  <c r="BQ59" i="1"/>
  <c r="BO60" i="1"/>
  <c r="Z41" i="1"/>
  <c r="AD41" i="1" s="1"/>
  <c r="AB38" i="1" l="1"/>
  <c r="AU38" i="1"/>
  <c r="J39" i="1"/>
  <c r="H39" i="1"/>
  <c r="N39" i="1" s="1"/>
  <c r="BQ60" i="1"/>
  <c r="BO61" i="1"/>
  <c r="H40" i="1"/>
  <c r="Z42" i="1"/>
  <c r="AD42" i="1" s="1"/>
  <c r="AB39" i="1" l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Q83" i="1"/>
  <c r="AD62" i="1"/>
  <c r="Z63" i="1"/>
  <c r="J61" i="1"/>
  <c r="H61" i="1"/>
  <c r="AU60" i="1"/>
  <c r="N60" i="1"/>
  <c r="AB60" i="1"/>
  <c r="BQ86" i="1" l="1"/>
  <c r="BQ85" i="1"/>
  <c r="Z64" i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Z17" i="3"/>
  <c r="Z18" i="3"/>
  <c r="Z15" i="3"/>
  <c r="Z16" i="3"/>
  <c r="Z14" i="3"/>
  <c r="Z68" i="1" l="1"/>
  <c r="Z69" i="1" s="1"/>
  <c r="AD67" i="1"/>
  <c r="H65" i="1"/>
  <c r="J65" i="1"/>
  <c r="AU64" i="1"/>
  <c r="N64" i="1"/>
  <c r="AB64" i="1"/>
  <c r="Z70" i="1" l="1"/>
  <c r="Z71" i="1" s="1"/>
  <c r="AD69" i="1"/>
  <c r="AD68" i="1"/>
  <c r="AB65" i="1"/>
  <c r="J66" i="1"/>
  <c r="H66" i="1"/>
  <c r="AU65" i="1"/>
  <c r="N65" i="1"/>
  <c r="Z72" i="1" l="1"/>
  <c r="AD71" i="1"/>
  <c r="AD70" i="1"/>
  <c r="J67" i="1"/>
  <c r="H67" i="1"/>
  <c r="AU66" i="1"/>
  <c r="N66" i="1"/>
  <c r="AB66" i="1"/>
  <c r="Z20" i="3"/>
  <c r="Z19" i="3"/>
  <c r="Z73" i="1" l="1"/>
  <c r="AD72" i="1"/>
  <c r="H68" i="1"/>
  <c r="J68" i="1"/>
  <c r="AU67" i="1"/>
  <c r="N67" i="1"/>
  <c r="AB67" i="1"/>
  <c r="Z74" i="1" l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Z22" i="3"/>
  <c r="Z21" i="3"/>
  <c r="Z76" i="1" l="1"/>
  <c r="AD75" i="1"/>
  <c r="H71" i="1"/>
  <c r="J71" i="1"/>
  <c r="N70" i="1"/>
  <c r="AU70" i="1"/>
  <c r="AB70" i="1"/>
  <c r="Z77" i="1" l="1"/>
  <c r="AD76" i="1"/>
  <c r="AU71" i="1"/>
  <c r="H72" i="1"/>
  <c r="AB71" i="1"/>
  <c r="N71" i="1"/>
  <c r="J72" i="1"/>
  <c r="Z24" i="3"/>
  <c r="Z23" i="3"/>
  <c r="AD77" i="1" l="1"/>
  <c r="Z78" i="1"/>
  <c r="Z79" i="1" s="1"/>
  <c r="D121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AD83" i="1"/>
  <c r="AM23" i="2"/>
  <c r="AD82" i="1"/>
  <c r="AU76" i="1"/>
  <c r="J77" i="1"/>
  <c r="H77" i="1"/>
  <c r="N76" i="1"/>
  <c r="AB76" i="1"/>
  <c r="Z27" i="3"/>
  <c r="AD86" i="1" l="1"/>
  <c r="AD85" i="1"/>
  <c r="I21" i="3"/>
  <c r="AJ21" i="2"/>
  <c r="AM21" i="2" s="1"/>
  <c r="AN24" i="2" s="1"/>
  <c r="H78" i="1"/>
  <c r="J78" i="1"/>
  <c r="N77" i="1"/>
  <c r="AU77" i="1"/>
  <c r="AB77" i="1"/>
  <c r="AN23" i="2" l="1"/>
  <c r="AN25" i="2" s="1"/>
  <c r="AN26" i="2" s="1"/>
  <c r="I35" i="3"/>
  <c r="I23" i="3"/>
  <c r="I25" i="3" s="1"/>
  <c r="I27" i="3" s="1"/>
  <c r="J79" i="1"/>
  <c r="H79" i="1"/>
  <c r="AU78" i="1"/>
  <c r="N78" i="1"/>
  <c r="AB78" i="1"/>
  <c r="N27" i="3" l="1"/>
  <c r="N28" i="3" s="1"/>
  <c r="I34" i="3"/>
  <c r="N79" i="1"/>
  <c r="J80" i="1"/>
  <c r="H80" i="1"/>
  <c r="AB79" i="1"/>
  <c r="AU79" i="1"/>
  <c r="Z32" i="3"/>
  <c r="H81" i="1" l="1"/>
  <c r="J81" i="1"/>
  <c r="AU80" i="1"/>
  <c r="N80" i="1"/>
  <c r="AB80" i="1"/>
  <c r="N81" i="1" l="1"/>
  <c r="H82" i="1"/>
  <c r="J82" i="1"/>
  <c r="AB81" i="1"/>
  <c r="AU81" i="1"/>
  <c r="Z36" i="3"/>
  <c r="Z34" i="3"/>
  <c r="Z35" i="3"/>
  <c r="Z33" i="3"/>
  <c r="J83" i="1" l="1"/>
  <c r="H83" i="1"/>
  <c r="AU82" i="1"/>
  <c r="N82" i="1"/>
  <c r="AB82" i="1"/>
  <c r="J84" i="1" l="1"/>
  <c r="H84" i="1"/>
  <c r="AU83" i="1"/>
  <c r="N83" i="1"/>
  <c r="AB83" i="1"/>
  <c r="AU84" i="1" l="1"/>
  <c r="J85" i="1"/>
  <c r="H85" i="1"/>
  <c r="N84" i="1"/>
  <c r="AB84" i="1"/>
  <c r="H86" i="1" l="1"/>
  <c r="J86" i="1"/>
  <c r="AU85" i="1"/>
  <c r="N85" i="1"/>
  <c r="AB85" i="1"/>
  <c r="T14" i="7"/>
  <c r="Z39" i="3"/>
  <c r="Z38" i="3"/>
  <c r="Z37" i="3"/>
  <c r="AU86" i="1" l="1"/>
  <c r="N86" i="1"/>
  <c r="AB86" i="1"/>
  <c r="I32" i="3"/>
  <c r="AF21" i="2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5" i="7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4" i="3" l="1"/>
  <c r="L35" i="3"/>
  <c r="I28" i="3"/>
  <c r="I36" i="3"/>
  <c r="L32" i="3"/>
  <c r="Z43" i="3" l="1"/>
  <c r="V44" i="3"/>
  <c r="Z44" i="3" s="1"/>
  <c r="Z41" i="3"/>
  <c r="Z42" i="3"/>
  <c r="Z40" i="3"/>
  <c r="L36" i="3"/>
  <c r="X44" i="3" s="1"/>
  <c r="X12" i="3" l="1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<sst xmlns="http://schemas.openxmlformats.org/spreadsheetml/2006/main" count="243" uniqueCount="135">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</sst>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0" fontId="0" fillId="6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Lit>
              <c:ptCount val="10"/>
              <c:pt idx="0">
                <c:v> 2 </c:v>
              </c:pt>
              <c:pt idx="1">
                <c:v> 9 </c:v>
              </c:pt>
              <c:pt idx="2">
                <c:v> 16 </c:v>
              </c:pt>
              <c:pt idx="3">
                <c:v> 23 </c:v>
              </c:pt>
              <c:pt idx="4">
                <c:v> 30 </c:v>
              </c:pt>
              <c:pt idx="5">
                <c:v> 37 </c:v>
              </c:pt>
              <c:pt idx="6">
                <c:v> 44 </c:v>
              </c:pt>
              <c:pt idx="7">
                <c:v> 51 </c:v>
              </c:pt>
              <c:pt idx="8">
                <c:v> 58 </c:v>
              </c:pt>
              <c:pt idx="9">
                <c:v> 65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Table'!$AF$25:$AF$89</c15:sqref>
                  </c15:fullRef>
                </c:ext>
              </c:extLst>
              <c:f>('Main Table'!$AF$26,'Main Table'!$AF$33,'Main Table'!$AF$40,'Main Table'!$AF$47,'Main Table'!$AF$54,'Main Table'!$AF$61,'Main Table'!$AF$68,'Main Table'!$AF$75,'Main Table'!$AF$82,'Main Table'!$AF$89)</c:f>
              <c:numCache>
                <c:formatCode>_(* #,##0_);_(* \(#,##0\);_(* "-"??_);_(@_)</c:formatCode>
                <c:ptCount val="10"/>
                <c:pt idx="0">
                  <c:v>7033</c:v>
                </c:pt>
                <c:pt idx="1">
                  <c:v>12468</c:v>
                </c:pt>
                <c:pt idx="2">
                  <c:v>14701</c:v>
                </c:pt>
                <c:pt idx="3">
                  <c:v>14511</c:v>
                </c:pt>
                <c:pt idx="4">
                  <c:v>13185</c:v>
                </c:pt>
                <c:pt idx="5">
                  <c:v>12190</c:v>
                </c:pt>
                <c:pt idx="6">
                  <c:v>10191</c:v>
                </c:pt>
                <c:pt idx="7">
                  <c:v>8322</c:v>
                </c:pt>
                <c:pt idx="8">
                  <c:v>6895</c:v>
                </c:pt>
                <c:pt idx="9">
                  <c:v>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0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Table'!$P$26:$P$89</c15:sqref>
                  </c15:fullRef>
                </c:ext>
              </c:extLst>
              <c:f>('Main Table'!$P$26,'Main Table'!$P$33,'Main Table'!$P$40,'Main Table'!$P$47,'Main Table'!$P$54,'Main Table'!$P$61,'Main Table'!$P$68,'Main Table'!$P$75,'Main Table'!$P$82,'Main Table'!$P$89)</c:f>
              <c:numCache>
                <c:formatCode>_(* #,##0_);_(* \(#,##0\);_(* "-"??_);_(@_)</c:formatCode>
                <c:ptCount val="10"/>
                <c:pt idx="0">
                  <c:v>193182</c:v>
                </c:pt>
                <c:pt idx="1">
                  <c:v>221317</c:v>
                </c:pt>
                <c:pt idx="2">
                  <c:v>204675</c:v>
                </c:pt>
                <c:pt idx="3">
                  <c:v>217050</c:v>
                </c:pt>
                <c:pt idx="4">
                  <c:v>200962</c:v>
                </c:pt>
                <c:pt idx="5">
                  <c:v>179516</c:v>
                </c:pt>
                <c:pt idx="6">
                  <c:v>160026</c:v>
                </c:pt>
                <c:pt idx="7">
                  <c:v>158772</c:v>
                </c:pt>
                <c:pt idx="8">
                  <c:v>150734</c:v>
                </c:pt>
                <c:pt idx="9">
                  <c:v>153931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2</c:v>
              </c:pt>
              <c:pt idx="1">
                <c:v>9</c:v>
              </c:pt>
              <c:pt idx="2">
                <c:v>16</c:v>
              </c:pt>
              <c:pt idx="3">
                <c:v>23</c:v>
              </c:pt>
              <c:pt idx="4">
                <c:v>30</c:v>
              </c:pt>
              <c:pt idx="5">
                <c:v>37</c:v>
              </c:pt>
              <c:pt idx="6">
                <c:v>44</c:v>
              </c:pt>
              <c:pt idx="7">
                <c:v>51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Table'!$BL$39:$BL$89</c15:sqref>
                  </c15:fullRef>
                </c:ext>
              </c:extLst>
              <c:f>('Main Table'!$BL$40,'Main Table'!$BL$47,'Main Table'!$BL$54,'Main Table'!$BL$61,'Main Table'!$BL$68,'Main Table'!$BL$75,'Main Table'!$BL$82,'Main Table'!$BL$89)</c:f>
              <c:numCache>
                <c:formatCode>0.0%</c:formatCode>
                <c:ptCount val="8"/>
                <c:pt idx="0">
                  <c:v>0.19885047085809551</c:v>
                </c:pt>
                <c:pt idx="1">
                  <c:v>0.13490457855138402</c:v>
                </c:pt>
                <c:pt idx="2">
                  <c:v>0.11641359782560842</c:v>
                </c:pt>
                <c:pt idx="3">
                  <c:v>7.9863510077698707E-2</c:v>
                </c:pt>
                <c:pt idx="4">
                  <c:v>6.5825742321749203E-2</c:v>
                </c:pt>
                <c:pt idx="5">
                  <c:v>5.5240875993676102E-2</c:v>
                </c:pt>
                <c:pt idx="6">
                  <c:v>5.1571586394056956E-2</c:v>
                </c:pt>
                <c:pt idx="7">
                  <c:v>4.2532832657752873E-2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97</xdr:row>
      <xdr:rowOff>0</xdr:rowOff>
    </xdr:from>
    <xdr:to>
      <xdr:col>53</xdr:col>
      <xdr:colOff>160020</xdr:colOff>
      <xdr:row>97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98</xdr:row>
      <xdr:rowOff>0</xdr:rowOff>
    </xdr:from>
    <xdr:to>
      <xdr:col>53</xdr:col>
      <xdr:colOff>160020</xdr:colOff>
      <xdr:row>98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107</xdr:row>
      <xdr:rowOff>99060</xdr:rowOff>
    </xdr:from>
    <xdr:to>
      <xdr:col>21</xdr:col>
      <xdr:colOff>274320</xdr:colOff>
      <xdr:row>108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107</xdr:row>
      <xdr:rowOff>129540</xdr:rowOff>
    </xdr:from>
    <xdr:to>
      <xdr:col>22</xdr:col>
      <xdr:colOff>38100</xdr:colOff>
      <xdr:row>108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20</xdr:col>
      <xdr:colOff>160020</xdr:colOff>
      <xdr:row>0</xdr:row>
      <xdr:rowOff>45720</xdr:rowOff>
    </xdr:from>
    <xdr:to>
      <xdr:col>33</xdr:col>
      <xdr:colOff>281940</xdr:colOff>
      <xdr:row>17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45720</xdr:colOff>
      <xdr:row>2</xdr:row>
      <xdr:rowOff>160020</xdr:rowOff>
    </xdr:from>
    <xdr:to>
      <xdr:col>18</xdr:col>
      <xdr:colOff>68580</xdr:colOff>
      <xdr:row>19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251460</xdr:colOff>
      <xdr:row>5</xdr:row>
      <xdr:rowOff>38100</xdr:rowOff>
    </xdr:from>
    <xdr:to>
      <xdr:col>55</xdr:col>
      <xdr:colOff>297180</xdr:colOff>
      <xdr:row>22</xdr:row>
      <xdr:rowOff>160020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27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63"/>
  <sheetViews>
    <sheetView tabSelected="1" zoomScaleNormal="100" workbookViewId="0">
      <selection activeCell="P96" sqref="P96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customWidth="1" outlineLevel="1"/>
    <col min="17" max="17" width="1.21875" customWidth="1" outlineLevel="1"/>
    <col min="18" max="18" width="10.5546875" customWidth="1" outlineLevel="1"/>
    <col min="19" max="20" width="1.21875" customWidth="1" outlineLevel="1"/>
    <col min="21" max="21" width="3" customWidth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customWidth="1" outlineLevel="1"/>
    <col min="33" max="33" width="1.5546875" customWidth="1" outlineLevel="1"/>
    <col min="34" max="34" width="8.109375" customWidth="1" outlineLevel="1"/>
    <col min="35" max="35" width="1.33203125" customWidth="1" outlineLevel="1"/>
    <col min="36" max="36" width="3.5546875" customWidth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customWidth="1" outlineLevel="1"/>
    <col min="62" max="62" width="10.33203125" customWidth="1" outlineLevel="1"/>
    <col min="63" max="63" width="0.88671875" customWidth="1" outlineLevel="1"/>
    <col min="64" max="64" width="6.88671875" customWidth="1" outlineLevel="1"/>
    <col min="65" max="65" width="9.5546875" customWidth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83" t="s">
        <v>5</v>
      </c>
      <c r="C1" s="483"/>
      <c r="D1" s="483"/>
    </row>
    <row r="2" spans="2:89" ht="15.6" x14ac:dyDescent="0.3">
      <c r="B2" s="483" t="s">
        <v>6</v>
      </c>
      <c r="C2" s="483"/>
      <c r="D2" s="483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88" t="s">
        <v>13</v>
      </c>
      <c r="C3" s="488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84" t="s">
        <v>11</v>
      </c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11"/>
      <c r="AD4" s="328"/>
      <c r="AE4" s="451"/>
      <c r="AF4" s="451"/>
      <c r="AG4" s="451"/>
      <c r="AH4" s="451"/>
      <c r="AI4" s="12"/>
      <c r="AK4" s="499" t="s">
        <v>14</v>
      </c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  <c r="BF4" s="500"/>
      <c r="BG4" s="500"/>
      <c r="BH4" s="500"/>
      <c r="BI4" s="500"/>
      <c r="BJ4" s="500"/>
      <c r="BK4" s="500"/>
      <c r="BL4" s="500"/>
      <c r="BM4" s="500"/>
      <c r="BN4" s="500"/>
      <c r="BO4" s="500"/>
      <c r="BP4" s="500"/>
      <c r="BQ4" s="500"/>
      <c r="BR4" s="500"/>
      <c r="BS4" s="500"/>
      <c r="BT4" s="501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89" t="s">
        <v>12</v>
      </c>
      <c r="G6" s="489"/>
      <c r="H6" s="489"/>
      <c r="I6" s="489"/>
      <c r="J6" s="489"/>
      <c r="K6" s="489"/>
      <c r="L6" s="489"/>
      <c r="M6" s="338"/>
      <c r="N6" s="338"/>
      <c r="O6" s="339"/>
      <c r="P6" s="495" t="s">
        <v>126</v>
      </c>
      <c r="Q6" s="489"/>
      <c r="R6" s="489"/>
      <c r="S6" s="489"/>
      <c r="T6" s="496"/>
      <c r="U6" s="3"/>
      <c r="V6" s="8" t="s">
        <v>7</v>
      </c>
      <c r="W6" s="30"/>
      <c r="X6" s="490">
        <v>1.2500000000000001E-2</v>
      </c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1"/>
      <c r="AJ6" s="3"/>
      <c r="AK6" s="506" t="s">
        <v>27</v>
      </c>
      <c r="AL6" s="507"/>
      <c r="AM6" s="507"/>
      <c r="AN6" s="507"/>
      <c r="AO6" s="507"/>
      <c r="AP6" s="507"/>
      <c r="AQ6" s="507"/>
      <c r="AR6" s="507"/>
      <c r="AS6" s="507"/>
      <c r="AT6" s="507"/>
      <c r="AU6" s="507"/>
      <c r="AV6" s="507"/>
      <c r="AW6" s="507"/>
      <c r="AX6" s="508"/>
      <c r="AY6" s="3"/>
      <c r="AZ6" s="509" t="s">
        <v>7</v>
      </c>
      <c r="BA6" s="503"/>
      <c r="BB6" s="503"/>
      <c r="BC6" s="97"/>
      <c r="BD6" s="502" t="s">
        <v>26</v>
      </c>
      <c r="BE6" s="502"/>
      <c r="BF6" s="502"/>
      <c r="BG6" s="502"/>
      <c r="BH6" s="502"/>
      <c r="BI6" s="502"/>
      <c r="BJ6" s="502"/>
      <c r="BK6" s="502"/>
      <c r="BL6" s="502"/>
      <c r="BM6" s="502"/>
      <c r="BN6" s="502"/>
      <c r="BO6" s="502"/>
      <c r="BP6" s="502"/>
      <c r="BQ6" s="503"/>
      <c r="BR6" s="503"/>
      <c r="BS6" s="503"/>
      <c r="BT6" s="504"/>
      <c r="BU6" s="3"/>
    </row>
    <row r="7" spans="2:89" ht="16.2" x14ac:dyDescent="0.3">
      <c r="D7" s="486" t="s">
        <v>20</v>
      </c>
      <c r="E7" s="487"/>
      <c r="F7" s="487"/>
      <c r="G7" s="487"/>
      <c r="H7" s="487"/>
      <c r="I7" s="487"/>
      <c r="J7" s="487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492" t="s">
        <v>35</v>
      </c>
      <c r="W7" s="493"/>
      <c r="X7" s="493"/>
      <c r="Y7" s="493"/>
      <c r="Z7" s="493"/>
      <c r="AA7" s="493"/>
      <c r="AB7" s="493"/>
      <c r="AC7" s="493"/>
      <c r="AD7" s="493"/>
      <c r="AE7" s="493"/>
      <c r="AF7" s="493"/>
      <c r="AG7" s="493"/>
      <c r="AH7" s="493"/>
      <c r="AI7" s="494"/>
      <c r="AJ7" s="3"/>
      <c r="AK7" s="486" t="s">
        <v>78</v>
      </c>
      <c r="AL7" s="487"/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W7" s="487"/>
      <c r="AX7" s="505"/>
      <c r="AZ7" s="486" t="s">
        <v>25</v>
      </c>
      <c r="BA7" s="487"/>
      <c r="BB7" s="487"/>
      <c r="BC7" s="487"/>
      <c r="BD7" s="487"/>
      <c r="BE7" s="487"/>
      <c r="BF7" s="487"/>
      <c r="BG7" s="487"/>
      <c r="BH7" s="487"/>
      <c r="BI7" s="487"/>
      <c r="BJ7" s="487"/>
      <c r="BK7" s="487"/>
      <c r="BL7" s="487"/>
      <c r="BM7" s="487"/>
      <c r="BN7" s="487"/>
      <c r="BO7" s="487"/>
      <c r="BP7" s="487"/>
      <c r="BQ7" s="487"/>
      <c r="BR7" s="487"/>
      <c r="BS7" s="487"/>
      <c r="BT7" s="505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6" t="s">
        <v>1</v>
      </c>
      <c r="Q8" s="331"/>
      <c r="R8" s="53" t="s">
        <v>81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117</v>
      </c>
      <c r="AE8" s="465"/>
      <c r="AF8" s="459" t="s">
        <v>1</v>
      </c>
      <c r="AG8" s="458"/>
      <c r="AH8" s="464" t="s">
        <v>127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97" t="s">
        <v>1</v>
      </c>
      <c r="BA8" s="498"/>
      <c r="BB8" s="498"/>
      <c r="BC8" s="64"/>
      <c r="BD8" s="498" t="s">
        <v>24</v>
      </c>
      <c r="BE8" s="498"/>
      <c r="BF8" s="498"/>
      <c r="BG8" s="498"/>
      <c r="BH8" s="510"/>
      <c r="BI8" s="511" t="s">
        <v>126</v>
      </c>
      <c r="BJ8" s="512"/>
      <c r="BK8" s="512"/>
      <c r="BL8" s="513"/>
      <c r="BM8" s="497" t="s">
        <v>24</v>
      </c>
      <c r="BN8" s="498"/>
      <c r="BO8" s="498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128</v>
      </c>
      <c r="BK9" s="64"/>
      <c r="BL9" s="63" t="s">
        <v>10</v>
      </c>
      <c r="BM9" s="467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481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482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393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481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482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39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481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82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481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82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298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2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481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60"/>
      <c r="S46" s="16"/>
      <c r="T46" s="41"/>
      <c r="U46" s="482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2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481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60"/>
      <c r="S53" s="16"/>
      <c r="T53" s="41"/>
      <c r="U53" s="482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2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481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60"/>
      <c r="S60" s="16"/>
      <c r="T60" s="41"/>
      <c r="U60" s="482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2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481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60"/>
      <c r="S67" s="16"/>
      <c r="T67" s="41"/>
      <c r="U67" s="482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2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 t="shared" ref="P68" si="58">SUM(D62:D68)</f>
        <v>160026</v>
      </c>
      <c r="Q68" s="16"/>
      <c r="R68" s="60">
        <f t="shared" ref="R68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 t="shared" ref="AF68" si="61">SUM(V62:V68)</f>
        <v>10191</v>
      </c>
      <c r="AG68" s="33"/>
      <c r="AH68" s="233">
        <f t="shared" ref="AH68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" si="67">SUM(AZ62:AZ68)</f>
        <v>2431055</v>
      </c>
      <c r="BK68" s="67"/>
      <c r="BL68" s="157">
        <f t="shared" ref="BL68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1550294</v>
      </c>
      <c r="I69" s="16"/>
      <c r="J69" s="38">
        <f t="shared" ref="J69" si="70">+D69/H68</f>
        <v>1.4813466835639251E-2</v>
      </c>
      <c r="K69" s="16"/>
      <c r="L69" s="16"/>
      <c r="M69" s="16"/>
      <c r="N69" s="16">
        <f t="shared" ref="N69" si="71">+H69/BV69</f>
        <v>25838.233333333334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91981</v>
      </c>
      <c r="AA69" s="33"/>
      <c r="AB69" s="46">
        <f t="shared" ref="AB69" si="73">+Z69/H69</f>
        <v>5.9331326832200861E-2</v>
      </c>
      <c r="AC69" s="33"/>
      <c r="AD69" s="33">
        <f t="shared" ref="AD69" si="74">+Z69/BV69</f>
        <v>1533.0166666666667</v>
      </c>
      <c r="AE69" s="50"/>
      <c r="AF69" s="33"/>
      <c r="AG69" s="33"/>
      <c r="AH69" s="233"/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0.22988091291071241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/>
      <c r="BK69" s="67"/>
      <c r="BL69" s="157"/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1570583</v>
      </c>
      <c r="I70" s="16"/>
      <c r="J70" s="38">
        <f t="shared" ref="J70" si="86">+D70/H69</f>
        <v>1.3087195073966615E-2</v>
      </c>
      <c r="K70" s="16"/>
      <c r="L70" s="16"/>
      <c r="M70" s="16"/>
      <c r="N70" s="16">
        <f t="shared" ref="N70" si="87">+H70/BV70</f>
        <v>25747.262295081968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93533</v>
      </c>
      <c r="AA70" s="33"/>
      <c r="AB70" s="46">
        <f t="shared" ref="AB70" si="89">+Z70/H70</f>
        <v>5.9553044952097407E-2</v>
      </c>
      <c r="AC70" s="33"/>
      <c r="AD70" s="33">
        <f t="shared" ref="AD70" si="90">+Z70/BV70</f>
        <v>1533.327868852459</v>
      </c>
      <c r="AE70" s="50"/>
      <c r="AF70" s="33"/>
      <c r="AG70" s="33"/>
      <c r="AH70" s="233"/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0.22996556055935916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/>
      <c r="BK70" s="67"/>
      <c r="BL70" s="157"/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1592723</v>
      </c>
      <c r="I71" s="16"/>
      <c r="J71" s="38">
        <f t="shared" ref="J71" si="102">+D71/H70</f>
        <v>1.409667620240382E-2</v>
      </c>
      <c r="K71" s="16"/>
      <c r="L71" s="16"/>
      <c r="M71" s="16"/>
      <c r="N71" s="16">
        <f t="shared" ref="N71" si="103">+H71/BV71</f>
        <v>25689.080645161292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94936</v>
      </c>
      <c r="AA71" s="33"/>
      <c r="AB71" s="46">
        <f t="shared" ref="AB71" si="105">+Z71/H71</f>
        <v>5.960609597525747E-2</v>
      </c>
      <c r="AC71" s="33"/>
      <c r="AD71" s="33">
        <f t="shared" ref="AD71" si="106">+Z71/BV71</f>
        <v>1531.2258064516129</v>
      </c>
      <c r="AE71" s="50"/>
      <c r="AF71" s="33"/>
      <c r="AG71" s="33"/>
      <c r="AH71" s="233"/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0.23235427629286448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/>
      <c r="BK71" s="67"/>
      <c r="BL71" s="157"/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ref="H72" si="117">+H71+D72</f>
        <v>1620898</v>
      </c>
      <c r="I72" s="16"/>
      <c r="J72" s="38">
        <f t="shared" ref="J72" si="118">+D72/H71</f>
        <v>1.7689830560618514E-2</v>
      </c>
      <c r="K72" s="16"/>
      <c r="L72" s="16"/>
      <c r="M72" s="16"/>
      <c r="N72" s="16">
        <f t="shared" ref="N72" si="119">+H72/BV72</f>
        <v>25728.539682539682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96354</v>
      </c>
      <c r="AA72" s="33"/>
      <c r="AB72" s="46">
        <f t="shared" ref="AB72" si="121">+Z72/H72</f>
        <v>5.9444826262972747E-2</v>
      </c>
      <c r="AC72" s="33"/>
      <c r="AD72" s="33">
        <f t="shared" ref="AD72" si="122">+Z72/BV72</f>
        <v>1529.4285714285713</v>
      </c>
      <c r="AE72" s="50"/>
      <c r="AF72" s="33"/>
      <c r="AG72" s="33"/>
      <c r="AH72" s="233"/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0.23577609448589609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28175</v>
      </c>
      <c r="BE72" s="67"/>
      <c r="BF72" s="157">
        <f t="shared" ref="BF72" si="129">+BD72/AZ72</f>
        <v>5.9878012496280872E-2</v>
      </c>
      <c r="BG72" s="67"/>
      <c r="BH72" s="185"/>
      <c r="BI72" s="67"/>
      <c r="BJ72" s="67"/>
      <c r="BK72" s="67"/>
      <c r="BL72" s="157"/>
      <c r="BM72" s="66">
        <f t="shared" ref="BM72" si="130">+BB72/BV72</f>
        <v>213319.26984126985</v>
      </c>
      <c r="BN72" s="67"/>
      <c r="BO72" s="67">
        <f t="shared" ref="BO72" si="131">+BO71+BD72</f>
        <v>1368576</v>
      </c>
      <c r="BP72" s="67"/>
      <c r="BQ72" s="74">
        <f t="shared" ref="BQ72" si="132">+BO72/BB72</f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ref="H73" si="133">+H72+D73</f>
        <v>1644900</v>
      </c>
      <c r="I73" s="16"/>
      <c r="J73" s="38">
        <f t="shared" ref="J73" si="134">+D73/H72</f>
        <v>1.480784108562044E-2</v>
      </c>
      <c r="K73" s="16"/>
      <c r="L73" s="16"/>
      <c r="M73" s="16"/>
      <c r="N73" s="16">
        <f t="shared" ref="N73" si="135">+H73/BV73</f>
        <v>25701.5625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97647</v>
      </c>
      <c r="AA73" s="33"/>
      <c r="AB73" s="46">
        <f t="shared" ref="AB73" si="137">+Z73/H73</f>
        <v>5.9363487142075504E-2</v>
      </c>
      <c r="AC73" s="33"/>
      <c r="AD73" s="33">
        <f t="shared" ref="AD73" si="138">+Z73/BV73</f>
        <v>1525.734375</v>
      </c>
      <c r="AE73" s="50"/>
      <c r="AF73" s="33"/>
      <c r="AG73" s="33"/>
      <c r="AH73" s="233"/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0.26360082679798164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24002</v>
      </c>
      <c r="BE73" s="67"/>
      <c r="BF73" s="157">
        <f t="shared" ref="BF73" si="145">+BD73/AZ73</f>
        <v>5.0982283008808582E-2</v>
      </c>
      <c r="BG73" s="67"/>
      <c r="BH73" s="185"/>
      <c r="BI73" s="67"/>
      <c r="BJ73" s="67"/>
      <c r="BK73" s="67"/>
      <c r="BL73" s="157"/>
      <c r="BM73" s="66">
        <f t="shared" ref="BM73" si="146">+BB73/BV73</f>
        <v>217342.265625</v>
      </c>
      <c r="BN73" s="67"/>
      <c r="BO73" s="67">
        <f t="shared" ref="BO73" si="147">+BO72+BD73</f>
        <v>1392578</v>
      </c>
      <c r="BP73" s="67"/>
      <c r="BQ73" s="74">
        <f t="shared" ref="BQ73" si="148">+BO73/BB73</f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480">
        <f t="shared" si="6"/>
        <v>43974</v>
      </c>
      <c r="C74" s="61"/>
      <c r="D74" s="17">
        <v>21928</v>
      </c>
      <c r="E74" s="16"/>
      <c r="F74" s="16"/>
      <c r="G74" s="16"/>
      <c r="H74" s="16">
        <f t="shared" ref="H74" si="149">+H73+D74</f>
        <v>1666828</v>
      </c>
      <c r="I74" s="16"/>
      <c r="J74" s="38">
        <f t="shared" ref="J74" si="150">+D74/H73</f>
        <v>1.3330901574563804E-2</v>
      </c>
      <c r="K74" s="16"/>
      <c r="L74" s="16"/>
      <c r="M74" s="16"/>
      <c r="N74" s="16">
        <f t="shared" ref="N74" si="151">+H74/BV74</f>
        <v>25643.507692307692</v>
      </c>
      <c r="O74" s="41"/>
      <c r="P74" s="17"/>
      <c r="Q74" s="16"/>
      <c r="R74" s="60"/>
      <c r="S74" s="16"/>
      <c r="T74" s="41"/>
      <c r="U74" s="482"/>
      <c r="V74" s="34">
        <v>1036</v>
      </c>
      <c r="W74" s="33"/>
      <c r="X74" s="33"/>
      <c r="Y74" s="33"/>
      <c r="Z74" s="33">
        <f t="shared" ref="Z74" si="152">+Z73+V74</f>
        <v>98683</v>
      </c>
      <c r="AA74" s="33"/>
      <c r="AB74" s="46">
        <f t="shared" ref="AB74" si="153">+Z74/H74</f>
        <v>5.9204069046116338E-2</v>
      </c>
      <c r="AC74" s="33"/>
      <c r="AD74" s="33">
        <f t="shared" ref="AD74" si="154">+Z74/BV74</f>
        <v>1518.2</v>
      </c>
      <c r="AE74" s="50"/>
      <c r="AF74" s="33"/>
      <c r="AG74" s="33"/>
      <c r="AH74" s="233"/>
      <c r="AI74" s="50"/>
      <c r="AJ74" s="10"/>
      <c r="AK74" s="23">
        <f t="shared" ref="AK74" si="155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56">+AK74/AO73</f>
        <v>3.0712850873045709E-2</v>
      </c>
      <c r="AR74" s="25"/>
      <c r="AS74" s="25"/>
      <c r="AT74" s="24"/>
      <c r="AU74" s="344">
        <f t="shared" ref="AU74" si="157">+AO74/H74</f>
        <v>0.26812244574725169</v>
      </c>
      <c r="AV74" s="344"/>
      <c r="AW74" s="24">
        <f t="shared" ref="AW74" si="158">+AO74/BV74</f>
        <v>6875.6</v>
      </c>
      <c r="AX74" s="354"/>
      <c r="AY74" s="10"/>
      <c r="AZ74" s="66">
        <f t="shared" ref="AZ74" si="159">+BB74-BB73</f>
        <v>448064</v>
      </c>
      <c r="BA74" s="67"/>
      <c r="BB74" s="67">
        <v>14357969</v>
      </c>
      <c r="BC74" s="67"/>
      <c r="BD74" s="67">
        <f t="shared" ref="BD74" si="160">+D74</f>
        <v>21928</v>
      </c>
      <c r="BE74" s="67"/>
      <c r="BF74" s="157">
        <f t="shared" ref="BF74" si="161">+BD74/AZ74</f>
        <v>4.8939437223253821E-2</v>
      </c>
      <c r="BG74" s="67"/>
      <c r="BH74" s="185"/>
      <c r="BI74" s="67"/>
      <c r="BJ74" s="67"/>
      <c r="BK74" s="67"/>
      <c r="BL74" s="157"/>
      <c r="BM74" s="66">
        <f t="shared" ref="BM74" si="162">+BB74/BV74</f>
        <v>220891.83076923076</v>
      </c>
      <c r="BN74" s="67"/>
      <c r="BO74" s="67">
        <f t="shared" ref="BO74" si="163">+BO73+BD74</f>
        <v>1414506</v>
      </c>
      <c r="BP74" s="67"/>
      <c r="BQ74" s="74">
        <f t="shared" ref="BQ74" si="164">+BO74/BB74</f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ref="H75" si="165">+H74+D75</f>
        <v>1686436</v>
      </c>
      <c r="I75" s="16"/>
      <c r="J75" s="38">
        <f t="shared" ref="J75" si="166">+D75/H74</f>
        <v>1.1763661277588329E-2</v>
      </c>
      <c r="K75" s="16"/>
      <c r="L75" s="16"/>
      <c r="M75" s="16"/>
      <c r="N75" s="16">
        <f t="shared" ref="N75" si="167">+H75/BV75</f>
        <v>25552.060606060608</v>
      </c>
      <c r="O75" s="41"/>
      <c r="P75" s="17">
        <f t="shared" ref="P75" si="168">SUM(D69:D75)</f>
        <v>158772</v>
      </c>
      <c r="Q75" s="16"/>
      <c r="R75" s="60">
        <f t="shared" ref="R75" si="169"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ref="Z75" si="170">+Z74+V75</f>
        <v>99300</v>
      </c>
      <c r="AA75" s="33"/>
      <c r="AB75" s="46">
        <f t="shared" ref="AB75" si="171">+Z75/H75</f>
        <v>5.8881570364959002E-2</v>
      </c>
      <c r="AC75" s="33"/>
      <c r="AD75" s="33">
        <f t="shared" ref="AD75" si="172">+Z75/BV75</f>
        <v>1504.5454545454545</v>
      </c>
      <c r="AE75" s="50"/>
      <c r="AF75" s="33">
        <f t="shared" ref="AF75" si="173">SUM(V69:V75)</f>
        <v>8322</v>
      </c>
      <c r="AG75" s="33"/>
      <c r="AH75" s="233">
        <f t="shared" ref="AH75" si="174">+(AF75-AF68)/AF68</f>
        <v>-0.1833971151015602</v>
      </c>
      <c r="AI75" s="50"/>
      <c r="AJ75" s="394"/>
      <c r="AK75" s="23">
        <f t="shared" ref="AK75" si="175">+AO75-AO74</f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ref="AQ75" si="176">+AK75/AO74</f>
        <v>1.0713470600607723E-2</v>
      </c>
      <c r="AR75" s="25"/>
      <c r="AS75" s="25"/>
      <c r="AT75" s="24"/>
      <c r="AU75" s="344">
        <f t="shared" ref="AU75" si="177">+AO75/H75</f>
        <v>0.26784413994957412</v>
      </c>
      <c r="AV75" s="344"/>
      <c r="AW75" s="24">
        <f t="shared" ref="AW75" si="178">+AO75/BV75</f>
        <v>6843.969696969697</v>
      </c>
      <c r="AX75" s="354"/>
      <c r="AY75" s="394"/>
      <c r="AZ75" s="66">
        <f t="shared" ref="AZ75" si="179">+BB75-BB74</f>
        <v>391787</v>
      </c>
      <c r="BA75" s="67"/>
      <c r="BB75" s="67">
        <v>14749756</v>
      </c>
      <c r="BC75" s="67"/>
      <c r="BD75" s="67">
        <f t="shared" ref="BD75" si="180">+D75</f>
        <v>19608</v>
      </c>
      <c r="BE75" s="67"/>
      <c r="BF75" s="157">
        <f t="shared" ref="BF75" si="181">+BD75/AZ75</f>
        <v>5.0047602396199979E-2</v>
      </c>
      <c r="BG75" s="67"/>
      <c r="BH75" s="185"/>
      <c r="BI75" s="67"/>
      <c r="BJ75" s="67">
        <f t="shared" ref="BJ75" si="182">SUM(AZ69:AZ75)</f>
        <v>2874176</v>
      </c>
      <c r="BK75" s="67"/>
      <c r="BL75" s="157">
        <f t="shared" ref="BL75" si="183">+P75/BJ75</f>
        <v>5.5240875993676102E-2</v>
      </c>
      <c r="BM75" s="66">
        <f t="shared" ref="BM75" si="184">+BB75/BV75</f>
        <v>223481.15151515152</v>
      </c>
      <c r="BN75" s="67"/>
      <c r="BO75" s="67">
        <f t="shared" ref="BO75" si="185">+BO74+BD75</f>
        <v>1434114</v>
      </c>
      <c r="BP75" s="67"/>
      <c r="BQ75" s="74">
        <f t="shared" ref="BQ75" si="186">+BO75/BB75</f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ref="H76" si="187">+H75+D76</f>
        <v>1706226</v>
      </c>
      <c r="I76" s="16"/>
      <c r="J76" s="38">
        <f t="shared" ref="J76" si="188">+D76/H75</f>
        <v>1.1734806420166553E-2</v>
      </c>
      <c r="K76" s="16"/>
      <c r="L76" s="16"/>
      <c r="M76" s="16"/>
      <c r="N76" s="16">
        <f t="shared" ref="N76" si="189">+H76/BV76</f>
        <v>25466.059701492537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ref="Z76" si="190">+Z75+V76</f>
        <v>99805</v>
      </c>
      <c r="AA76" s="33"/>
      <c r="AB76" s="46">
        <f t="shared" ref="AB76" si="191">+Z76/H76</f>
        <v>5.8494595674898869E-2</v>
      </c>
      <c r="AC76" s="33"/>
      <c r="AD76" s="33">
        <f t="shared" ref="AD76" si="192">+Z76/BV76</f>
        <v>1489.6268656716418</v>
      </c>
      <c r="AE76" s="50"/>
      <c r="AF76" s="33"/>
      <c r="AG76" s="33"/>
      <c r="AH76" s="233"/>
      <c r="AI76" s="50"/>
      <c r="AJ76" s="10"/>
      <c r="AK76" s="23">
        <f t="shared" ref="AK76" si="193">+AO76-AO75</f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ref="AQ76" si="194">+AK76/AO75</f>
        <v>2.8709193229164362E-2</v>
      </c>
      <c r="AR76" s="25"/>
      <c r="AS76" s="25"/>
      <c r="AT76" s="24"/>
      <c r="AU76" s="344">
        <f t="shared" ref="AU76" si="195">+AO76/H76</f>
        <v>0.27233789662096347</v>
      </c>
      <c r="AV76" s="344"/>
      <c r="AW76" s="24">
        <f t="shared" ref="AW76" si="196">+AO76/BV76</f>
        <v>6935.373134328358</v>
      </c>
      <c r="AX76" s="354"/>
      <c r="AY76" s="10"/>
      <c r="AZ76" s="66">
        <f t="shared" ref="AZ76" si="197">+BB76-BB75</f>
        <v>437891</v>
      </c>
      <c r="BA76" s="67"/>
      <c r="BB76" s="67">
        <v>15187647</v>
      </c>
      <c r="BC76" s="67"/>
      <c r="BD76" s="67">
        <f t="shared" ref="BD76" si="198">+D76</f>
        <v>19790</v>
      </c>
      <c r="BE76" s="67"/>
      <c r="BF76" s="157">
        <f t="shared" ref="BF76" si="199">+BD76/AZ76</f>
        <v>4.5193895284442932E-2</v>
      </c>
      <c r="BG76" s="67"/>
      <c r="BH76" s="185"/>
      <c r="BI76" s="67"/>
      <c r="BJ76" s="67"/>
      <c r="BK76" s="67"/>
      <c r="BL76" s="157"/>
      <c r="BM76" s="66">
        <f t="shared" ref="BM76" si="200">+BB76/BV76</f>
        <v>226681.29850746269</v>
      </c>
      <c r="BN76" s="67"/>
      <c r="BO76" s="67">
        <f t="shared" ref="BO76" si="201">+BO75+BD76</f>
        <v>1453904</v>
      </c>
      <c r="BP76" s="67"/>
      <c r="BQ76" s="74">
        <f t="shared" ref="BQ76" si="202">+BO76/BB76</f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92" si="203">1+B76</f>
        <v>43977</v>
      </c>
      <c r="C77" s="61"/>
      <c r="D77" s="17">
        <v>19031</v>
      </c>
      <c r="E77" s="16"/>
      <c r="F77" s="16"/>
      <c r="G77" s="16"/>
      <c r="H77" s="16">
        <f t="shared" ref="H77" si="204">+H76+D77</f>
        <v>1725257</v>
      </c>
      <c r="I77" s="16"/>
      <c r="J77" s="38">
        <f t="shared" ref="J77" si="205">+D77/H76</f>
        <v>1.1153856523110069E-2</v>
      </c>
      <c r="K77" s="16"/>
      <c r="L77" s="16"/>
      <c r="M77" s="16"/>
      <c r="N77" s="16">
        <f t="shared" ref="N77" si="206">+H77/BV77</f>
        <v>25371.426470588234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ref="Z77" si="207">+Z76+V77</f>
        <v>100579</v>
      </c>
      <c r="AA77" s="33"/>
      <c r="AB77" s="46">
        <f t="shared" ref="AB77" si="208">+Z77/H77</f>
        <v>5.8297981112379202E-2</v>
      </c>
      <c r="AC77" s="33"/>
      <c r="AD77" s="33">
        <f t="shared" ref="AD77" si="209">+Z77/BV77</f>
        <v>1479.1029411764705</v>
      </c>
      <c r="AE77" s="50"/>
      <c r="AF77" s="33"/>
      <c r="AG77" s="33"/>
      <c r="AH77" s="233"/>
      <c r="AI77" s="50"/>
      <c r="AJ77" s="10"/>
      <c r="AK77" s="23">
        <f t="shared" ref="AK77" si="210">+AO77-AO76</f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ref="AQ77" si="211">+AK77/AO76</f>
        <v>3.2924441001140593E-2</v>
      </c>
      <c r="AR77" s="25"/>
      <c r="AS77" s="25"/>
      <c r="AT77" s="24"/>
      <c r="AU77" s="344">
        <f t="shared" ref="AU77" si="212">+AO77/H77</f>
        <v>0.27820145056649531</v>
      </c>
      <c r="AV77" s="344"/>
      <c r="AW77" s="24">
        <f t="shared" ref="AW77" si="213">+AO77/BV77</f>
        <v>7058.3676470588234</v>
      </c>
      <c r="AX77" s="354"/>
      <c r="AY77" s="10"/>
      <c r="AZ77" s="66">
        <f t="shared" ref="AZ77" si="214">+BB77-BB76</f>
        <v>344512</v>
      </c>
      <c r="BA77" s="67"/>
      <c r="BB77" s="67">
        <v>15532159</v>
      </c>
      <c r="BC77" s="67"/>
      <c r="BD77" s="67">
        <f t="shared" ref="BD77" si="215">+D77</f>
        <v>19031</v>
      </c>
      <c r="BE77" s="67"/>
      <c r="BF77" s="157">
        <f t="shared" ref="BF77" si="216">+BD77/AZ77</f>
        <v>5.5240456065391047E-2</v>
      </c>
      <c r="BG77" s="67"/>
      <c r="BH77" s="185"/>
      <c r="BI77" s="67"/>
      <c r="BJ77" s="67"/>
      <c r="BK77" s="67"/>
      <c r="BL77" s="157"/>
      <c r="BM77" s="66">
        <f t="shared" ref="BM77" si="217">+BB77/BV77</f>
        <v>228414.10294117648</v>
      </c>
      <c r="BN77" s="67"/>
      <c r="BO77" s="67">
        <f t="shared" ref="BO77" si="218">+BO76+BD77</f>
        <v>1472935</v>
      </c>
      <c r="BP77" s="67"/>
      <c r="BQ77" s="74">
        <f t="shared" ref="BQ77" si="219">+BO77/BB77</f>
        <v>9.4831310959410081E-2</v>
      </c>
      <c r="BR77" s="67"/>
      <c r="BS77" s="86"/>
      <c r="BT77" s="185"/>
      <c r="BU77" s="1"/>
      <c r="BV77">
        <f t="shared" ref="BV77:BV92" si="220">+BV76+1</f>
        <v>68</v>
      </c>
    </row>
    <row r="78" spans="2:74" x14ac:dyDescent="0.3">
      <c r="B78" s="173">
        <f t="shared" si="203"/>
        <v>43978</v>
      </c>
      <c r="C78" s="61"/>
      <c r="D78" s="17">
        <v>20546</v>
      </c>
      <c r="E78" s="16"/>
      <c r="F78" s="16"/>
      <c r="G78" s="16"/>
      <c r="H78" s="16">
        <f t="shared" ref="H78" si="221">+H77+D78</f>
        <v>1745803</v>
      </c>
      <c r="I78" s="16"/>
      <c r="J78" s="38">
        <f t="shared" ref="J78" si="222">+D78/H77</f>
        <v>1.1908950376668519E-2</v>
      </c>
      <c r="K78" s="16"/>
      <c r="L78" s="16"/>
      <c r="M78" s="16"/>
      <c r="N78" s="16">
        <f t="shared" ref="N78" si="223">+H78/BV78</f>
        <v>25301.492753623188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ref="Z78" si="224">+Z77+V78</f>
        <v>102107</v>
      </c>
      <c r="AA78" s="33"/>
      <c r="AB78" s="46">
        <f t="shared" ref="AB78" si="225">+Z78/H78</f>
        <v>5.8487125981568369E-2</v>
      </c>
      <c r="AC78" s="33"/>
      <c r="AD78" s="33">
        <f t="shared" ref="AD78" si="226">+Z78/BV78</f>
        <v>1479.8115942028985</v>
      </c>
      <c r="AE78" s="50"/>
      <c r="AF78" s="33"/>
      <c r="AG78" s="33"/>
      <c r="AH78" s="233"/>
      <c r="AI78" s="50"/>
      <c r="AJ78" s="10"/>
      <c r="AK78" s="23">
        <f t="shared" ref="AK78" si="227">+AO78-AO77</f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ref="AQ78" si="228">+AK78/AO77</f>
        <v>2.1170117236738208E-2</v>
      </c>
      <c r="AR78" s="25"/>
      <c r="AS78" s="25"/>
      <c r="AT78" s="24"/>
      <c r="AU78" s="344">
        <f t="shared" ref="AU78" si="229">+AO78/H78</f>
        <v>0.28074759866949478</v>
      </c>
      <c r="AV78" s="344"/>
      <c r="AW78" s="24">
        <f t="shared" ref="AW78" si="230">+AO78/BV78</f>
        <v>7103.333333333333</v>
      </c>
      <c r="AX78" s="354"/>
      <c r="AY78" s="10"/>
      <c r="AZ78" s="66">
        <f t="shared" ref="AZ78" si="231">+BB78-BB77</f>
        <v>343314</v>
      </c>
      <c r="BA78" s="67"/>
      <c r="BB78" s="67">
        <v>15875473</v>
      </c>
      <c r="BC78" s="67"/>
      <c r="BD78" s="67">
        <f t="shared" ref="BD78" si="232">+D78</f>
        <v>20546</v>
      </c>
      <c r="BE78" s="67"/>
      <c r="BF78" s="157">
        <f t="shared" ref="BF78" si="233">+BD78/AZ78</f>
        <v>5.9846088420512998E-2</v>
      </c>
      <c r="BG78" s="67"/>
      <c r="BH78" s="185"/>
      <c r="BI78" s="67"/>
      <c r="BJ78" s="67"/>
      <c r="BK78" s="67"/>
      <c r="BL78" s="157"/>
      <c r="BM78" s="66">
        <f t="shared" ref="BM78" si="234">+BB78/BV78</f>
        <v>230079.31884057971</v>
      </c>
      <c r="BN78" s="67"/>
      <c r="BO78" s="67">
        <f t="shared" ref="BO78" si="235">+BO77+BD78</f>
        <v>1493481</v>
      </c>
      <c r="BP78" s="67"/>
      <c r="BQ78" s="74">
        <f t="shared" ref="BQ78" si="236">+BO78/BB78</f>
        <v>9.4074740324272543E-2</v>
      </c>
      <c r="BR78" s="67"/>
      <c r="BS78" s="86"/>
      <c r="BT78" s="185"/>
      <c r="BU78" s="1"/>
      <c r="BV78">
        <f t="shared" si="220"/>
        <v>69</v>
      </c>
    </row>
    <row r="79" spans="2:74" x14ac:dyDescent="0.3">
      <c r="B79" s="173">
        <f t="shared" si="203"/>
        <v>43979</v>
      </c>
      <c r="C79" s="61"/>
      <c r="D79" s="17">
        <v>22658</v>
      </c>
      <c r="E79" s="16"/>
      <c r="F79" s="16"/>
      <c r="G79" s="16"/>
      <c r="H79" s="16">
        <f t="shared" ref="H79:H80" si="237">+H78+D79</f>
        <v>1768461</v>
      </c>
      <c r="I79" s="16"/>
      <c r="J79" s="38">
        <f t="shared" ref="J79:J80" si="238">+D79/H78</f>
        <v>1.2978554854127298E-2</v>
      </c>
      <c r="K79" s="16"/>
      <c r="L79" s="16"/>
      <c r="M79" s="16"/>
      <c r="N79" s="16">
        <f t="shared" ref="N79:N80" si="239">+H79/BV79</f>
        <v>25263.728571428572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ref="Z79" si="240">+Z78+V79</f>
        <v>103330</v>
      </c>
      <c r="AA79" s="33"/>
      <c r="AB79" s="46">
        <f t="shared" ref="AB79" si="241">+Z79/H79</f>
        <v>5.8429334884964948E-2</v>
      </c>
      <c r="AC79" s="33"/>
      <c r="AD79" s="33">
        <f t="shared" ref="AD79" si="242">+Z79/BV79</f>
        <v>1476.1428571428571</v>
      </c>
      <c r="AE79" s="50"/>
      <c r="AF79" s="33"/>
      <c r="AG79" s="33"/>
      <c r="AH79" s="233"/>
      <c r="AI79" s="50"/>
      <c r="AJ79" s="10"/>
      <c r="AK79" s="23">
        <f t="shared" ref="AK79" si="243">+AO79-AO78</f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ref="AQ79" si="244">+AK79/AO78</f>
        <v>1.7536163874890334E-2</v>
      </c>
      <c r="AR79" s="25"/>
      <c r="AS79" s="25"/>
      <c r="AT79" s="24"/>
      <c r="AU79" s="344">
        <f t="shared" ref="AU79" si="245">+AO79/H79</f>
        <v>0.28201074267399734</v>
      </c>
      <c r="AV79" s="344"/>
      <c r="AW79" s="24">
        <f t="shared" ref="AW79" si="246">+AO79/BV79</f>
        <v>7124.6428571428569</v>
      </c>
      <c r="AX79" s="354"/>
      <c r="AY79" s="10"/>
      <c r="AZ79" s="66">
        <f t="shared" ref="AZ79" si="247">+BB79-BB78</f>
        <v>455839</v>
      </c>
      <c r="BA79" s="67"/>
      <c r="BB79" s="67">
        <v>16331312</v>
      </c>
      <c r="BC79" s="67"/>
      <c r="BD79" s="67">
        <f t="shared" ref="BD79" si="248">+D79</f>
        <v>22658</v>
      </c>
      <c r="BE79" s="67"/>
      <c r="BF79" s="157">
        <f t="shared" ref="BF79" si="249">+BD79/AZ79</f>
        <v>4.9706146249004581E-2</v>
      </c>
      <c r="BG79" s="67"/>
      <c r="BH79" s="185"/>
      <c r="BI79" s="67"/>
      <c r="BJ79" s="67"/>
      <c r="BK79" s="67"/>
      <c r="BL79" s="157"/>
      <c r="BM79" s="66">
        <f t="shared" ref="BM79" si="250">+BB79/BV79</f>
        <v>233304.45714285714</v>
      </c>
      <c r="BN79" s="67"/>
      <c r="BO79" s="67">
        <f t="shared" ref="BO79" si="251">+BO78+BD79</f>
        <v>1516139</v>
      </c>
      <c r="BP79" s="67"/>
      <c r="BQ79" s="74">
        <f t="shared" ref="BQ79" si="252">+BO79/BB79</f>
        <v>9.2836325703654424E-2</v>
      </c>
      <c r="BR79" s="67"/>
      <c r="BS79" s="86"/>
      <c r="BT79" s="185"/>
      <c r="BU79" s="1"/>
      <c r="BV79">
        <f t="shared" si="220"/>
        <v>70</v>
      </c>
    </row>
    <row r="80" spans="2:74" x14ac:dyDescent="0.3">
      <c r="B80" s="173">
        <f t="shared" si="203"/>
        <v>43980</v>
      </c>
      <c r="C80" s="61"/>
      <c r="D80" s="17">
        <v>25069</v>
      </c>
      <c r="E80" s="16"/>
      <c r="F80" s="16"/>
      <c r="G80" s="16"/>
      <c r="H80" s="16">
        <f t="shared" si="237"/>
        <v>1793530</v>
      </c>
      <c r="I80" s="16"/>
      <c r="J80" s="38">
        <f t="shared" si="238"/>
        <v>1.4175602402314781E-2</v>
      </c>
      <c r="K80" s="16"/>
      <c r="L80" s="16"/>
      <c r="M80" s="16"/>
      <c r="N80" s="16">
        <f t="shared" si="239"/>
        <v>25260.985915492958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ref="Z80" si="253">+Z79+V80</f>
        <v>104542</v>
      </c>
      <c r="AA80" s="33"/>
      <c r="AB80" s="46">
        <f t="shared" ref="AB80" si="254">+Z80/H80</f>
        <v>5.8288403316364937E-2</v>
      </c>
      <c r="AC80" s="33"/>
      <c r="AD80" s="33">
        <f t="shared" ref="AD80" si="255">+Z80/BV80</f>
        <v>1472.4225352112676</v>
      </c>
      <c r="AE80" s="50"/>
      <c r="AF80" s="33"/>
      <c r="AG80" s="33"/>
      <c r="AH80" s="233"/>
      <c r="AI80" s="50"/>
      <c r="AJ80" s="10"/>
      <c r="AK80" s="23">
        <f t="shared" ref="AK80" si="256">+AO80-AO79</f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ref="AQ80" si="257">+AK80/AO79</f>
        <v>4.1794576169231538E-2</v>
      </c>
      <c r="AR80" s="25"/>
      <c r="AS80" s="25"/>
      <c r="AT80" s="24"/>
      <c r="AU80" s="344">
        <f t="shared" ref="AU80" si="258">+AO80/H80</f>
        <v>0.28969072164948456</v>
      </c>
      <c r="AV80" s="344"/>
      <c r="AW80" s="24">
        <f t="shared" ref="AW80" si="259">+AO80/BV80</f>
        <v>7317.8732394366198</v>
      </c>
      <c r="AX80" s="354"/>
      <c r="AY80" s="10"/>
      <c r="AZ80" s="66">
        <f t="shared" ref="AZ80" si="260">+BB80-BB79</f>
        <v>479466</v>
      </c>
      <c r="BA80" s="67"/>
      <c r="BB80" s="67">
        <v>16810778</v>
      </c>
      <c r="BC80" s="67"/>
      <c r="BD80" s="67">
        <f t="shared" ref="BD80" si="261">+D80</f>
        <v>25069</v>
      </c>
      <c r="BE80" s="67"/>
      <c r="BF80" s="157">
        <f t="shared" ref="BF80" si="262">+BD80/AZ80</f>
        <v>5.2285250674708947E-2</v>
      </c>
      <c r="BG80" s="67"/>
      <c r="BH80" s="185"/>
      <c r="BI80" s="67"/>
      <c r="BJ80" s="67"/>
      <c r="BK80" s="67"/>
      <c r="BL80" s="157"/>
      <c r="BM80" s="66">
        <f t="shared" ref="BM80" si="263">+BB80/BV80</f>
        <v>236771.52112676058</v>
      </c>
      <c r="BN80" s="67"/>
      <c r="BO80" s="67">
        <f t="shared" ref="BO80" si="264">+BO79+BD80</f>
        <v>1541208</v>
      </c>
      <c r="BP80" s="67"/>
      <c r="BQ80" s="74">
        <f t="shared" ref="BQ80" si="265">+BO80/BB80</f>
        <v>9.1679754500356855E-2</v>
      </c>
      <c r="BR80" s="67"/>
      <c r="BS80" s="86"/>
      <c r="BT80" s="185"/>
      <c r="BU80" s="1"/>
      <c r="BV80">
        <f t="shared" si="220"/>
        <v>71</v>
      </c>
    </row>
    <row r="81" spans="2:84" x14ac:dyDescent="0.3">
      <c r="B81" s="480">
        <f t="shared" si="203"/>
        <v>43981</v>
      </c>
      <c r="C81" s="61"/>
      <c r="D81" s="17">
        <v>23290</v>
      </c>
      <c r="E81" s="16"/>
      <c r="F81" s="16"/>
      <c r="G81" s="16"/>
      <c r="H81" s="16">
        <f t="shared" ref="H81" si="266">+H80+D81</f>
        <v>1816820</v>
      </c>
      <c r="I81" s="16"/>
      <c r="J81" s="38">
        <f t="shared" ref="J81" si="267">+D81/H80</f>
        <v>1.2985564780070588E-2</v>
      </c>
      <c r="K81" s="16"/>
      <c r="L81" s="16"/>
      <c r="M81" s="16"/>
      <c r="N81" s="16">
        <f t="shared" ref="N81" si="268">+H81/BV81</f>
        <v>25233.611111111109</v>
      </c>
      <c r="O81" s="41"/>
      <c r="P81" s="17"/>
      <c r="Q81" s="16"/>
      <c r="R81" s="60"/>
      <c r="S81" s="16"/>
      <c r="T81" s="41"/>
      <c r="U81" s="482"/>
      <c r="V81" s="34">
        <v>1015</v>
      </c>
      <c r="W81" s="33"/>
      <c r="X81" s="33"/>
      <c r="Y81" s="33"/>
      <c r="Z81" s="33">
        <f t="shared" ref="Z81" si="269">+Z80+V81</f>
        <v>105557</v>
      </c>
      <c r="AA81" s="33"/>
      <c r="AB81" s="46">
        <f t="shared" ref="AB81" si="270">+Z81/H81</f>
        <v>5.8099866800233373E-2</v>
      </c>
      <c r="AC81" s="33"/>
      <c r="AD81" s="33">
        <f t="shared" ref="AD81" si="271">+Z81/BV81</f>
        <v>1466.0694444444443</v>
      </c>
      <c r="AE81" s="50"/>
      <c r="AF81" s="33"/>
      <c r="AG81" s="33"/>
      <c r="AH81" s="233"/>
      <c r="AI81" s="50"/>
      <c r="AJ81" s="10"/>
      <c r="AK81" s="23">
        <f t="shared" ref="AK81" si="272">+AO81-AO80</f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ref="AQ81" si="273">+AK81/AO80</f>
        <v>3.0157688391724679E-2</v>
      </c>
      <c r="AR81" s="25"/>
      <c r="AS81" s="25"/>
      <c r="AT81" s="24"/>
      <c r="AU81" s="344">
        <f t="shared" ref="AU81" si="274">+AO81/H81</f>
        <v>0.29460155656586784</v>
      </c>
      <c r="AV81" s="344"/>
      <c r="AW81" s="24">
        <f t="shared" ref="AW81" si="275">+AO81/BV81</f>
        <v>7433.8611111111113</v>
      </c>
      <c r="AX81" s="354"/>
      <c r="AY81" s="10"/>
      <c r="AZ81" s="66">
        <f t="shared" ref="AZ81" si="276">+BB81-BB80</f>
        <v>460063</v>
      </c>
      <c r="BA81" s="67"/>
      <c r="BB81" s="67">
        <v>17270841</v>
      </c>
      <c r="BC81" s="67"/>
      <c r="BD81" s="67">
        <f t="shared" ref="BD81" si="277">+D81</f>
        <v>23290</v>
      </c>
      <c r="BE81" s="67"/>
      <c r="BF81" s="157">
        <f t="shared" ref="BF81" si="278">+BD81/AZ81</f>
        <v>5.0623501563916248E-2</v>
      </c>
      <c r="BG81" s="67"/>
      <c r="BH81" s="185"/>
      <c r="BI81" s="67"/>
      <c r="BJ81" s="67"/>
      <c r="BK81" s="67"/>
      <c r="BL81" s="157"/>
      <c r="BM81" s="66">
        <f t="shared" ref="BM81" si="279">+BB81/BV81</f>
        <v>239872.79166666666</v>
      </c>
      <c r="BN81" s="67"/>
      <c r="BO81" s="67">
        <f t="shared" ref="BO81" si="280">+BO80+BD81</f>
        <v>1564498</v>
      </c>
      <c r="BP81" s="67"/>
      <c r="BQ81" s="74">
        <f t="shared" ref="BQ81" si="281">+BO81/BB81</f>
        <v>9.0586092478067509E-2</v>
      </c>
      <c r="BR81" s="67"/>
      <c r="BS81" s="86"/>
      <c r="BT81" s="185"/>
      <c r="BU81" s="1"/>
      <c r="BV81">
        <f t="shared" si="220"/>
        <v>72</v>
      </c>
    </row>
    <row r="82" spans="2:84" x14ac:dyDescent="0.3">
      <c r="B82" s="393">
        <f t="shared" si="203"/>
        <v>43982</v>
      </c>
      <c r="C82" s="61"/>
      <c r="D82" s="17">
        <v>20350</v>
      </c>
      <c r="E82" s="16"/>
      <c r="F82" s="16"/>
      <c r="G82" s="16"/>
      <c r="H82" s="16">
        <f t="shared" ref="H82" si="282">+H81+D82</f>
        <v>1837170</v>
      </c>
      <c r="I82" s="16"/>
      <c r="J82" s="38">
        <f t="shared" ref="J82" si="283">+D82/H81</f>
        <v>1.1200889466210191E-2</v>
      </c>
      <c r="K82" s="16"/>
      <c r="L82" s="16"/>
      <c r="M82" s="16"/>
      <c r="N82" s="16">
        <f t="shared" ref="N82" si="284">+H82/BV82</f>
        <v>25166.712328767124</v>
      </c>
      <c r="O82" s="41"/>
      <c r="P82" s="17">
        <f t="shared" ref="P82" si="285">SUM(D76:D82)</f>
        <v>150734</v>
      </c>
      <c r="Q82" s="16"/>
      <c r="R82" s="60">
        <f t="shared" ref="R82" si="286">+(P82-P75)/P75</f>
        <v>-5.0626054971909404E-2</v>
      </c>
      <c r="S82" s="16"/>
      <c r="T82" s="41"/>
      <c r="U82" s="394"/>
      <c r="V82" s="34">
        <v>638</v>
      </c>
      <c r="W82" s="33"/>
      <c r="X82" s="33"/>
      <c r="Y82" s="33"/>
      <c r="Z82" s="33">
        <f t="shared" ref="Z82" si="287">+Z81+V82</f>
        <v>106195</v>
      </c>
      <c r="AA82" s="33"/>
      <c r="AB82" s="46">
        <f t="shared" ref="AB82" si="288">+Z82/H82</f>
        <v>5.7803578329713633E-2</v>
      </c>
      <c r="AC82" s="33"/>
      <c r="AD82" s="33">
        <f t="shared" ref="AD82" si="289">+Z82/BV82</f>
        <v>1454.7260273972602</v>
      </c>
      <c r="AE82" s="50"/>
      <c r="AF82" s="33">
        <f t="shared" ref="AF82" si="290">SUM(V76:V82)</f>
        <v>6895</v>
      </c>
      <c r="AG82" s="33"/>
      <c r="AH82" s="233">
        <f t="shared" ref="AH82" si="291">+(AF82-AF75)/AF75</f>
        <v>-0.17147320355683729</v>
      </c>
      <c r="AI82" s="50"/>
      <c r="AJ82" s="394"/>
      <c r="AK82" s="23">
        <f t="shared" ref="AK82" si="292">+AO82-AO81</f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ref="AQ82" si="293">+AK82/AO81</f>
        <v>0.12074815315803437</v>
      </c>
      <c r="AR82" s="25"/>
      <c r="AS82" s="25"/>
      <c r="AT82" s="24"/>
      <c r="AU82" s="344">
        <f t="shared" ref="AU82" si="294">+AO82/H82</f>
        <v>0.32651687105711502</v>
      </c>
      <c r="AV82" s="344"/>
      <c r="AW82" s="24">
        <f t="shared" ref="AW82" si="295">+AO82/BV82</f>
        <v>8217.3561643835619</v>
      </c>
      <c r="AX82" s="354"/>
      <c r="AY82" s="394"/>
      <c r="AZ82" s="66">
        <f t="shared" ref="AZ82" si="296">+BB82-BB81</f>
        <v>401726</v>
      </c>
      <c r="BA82" s="67"/>
      <c r="BB82" s="67">
        <v>17672567</v>
      </c>
      <c r="BC82" s="67"/>
      <c r="BD82" s="67">
        <f t="shared" ref="BD82" si="297">+D82</f>
        <v>20350</v>
      </c>
      <c r="BE82" s="67"/>
      <c r="BF82" s="157">
        <f t="shared" ref="BF82" si="298">+BD82/AZ82</f>
        <v>5.0656417558236209E-2</v>
      </c>
      <c r="BG82" s="67"/>
      <c r="BH82" s="185"/>
      <c r="BI82" s="67"/>
      <c r="BJ82" s="67">
        <f t="shared" ref="BJ82" si="299">SUM(AZ76:AZ82)</f>
        <v>2922811</v>
      </c>
      <c r="BK82" s="67"/>
      <c r="BL82" s="157">
        <f t="shared" ref="BL82" si="300">+P82/BJ82</f>
        <v>5.1571586394056956E-2</v>
      </c>
      <c r="BM82" s="66">
        <f t="shared" ref="BM82" si="301">+BB82/BV82</f>
        <v>242089.95890410958</v>
      </c>
      <c r="BN82" s="67"/>
      <c r="BO82" s="67">
        <f t="shared" ref="BO82" si="302">+BO81+BD82</f>
        <v>1584848</v>
      </c>
      <c r="BP82" s="67"/>
      <c r="BQ82" s="74">
        <f t="shared" ref="BQ82" si="303">+BO82/BB82</f>
        <v>8.9678426456100011E-2</v>
      </c>
      <c r="BR82" s="67"/>
      <c r="BS82" s="86"/>
      <c r="BT82" s="185"/>
      <c r="BU82" s="1"/>
      <c r="BV82">
        <f t="shared" si="220"/>
        <v>73</v>
      </c>
    </row>
    <row r="83" spans="2:84" x14ac:dyDescent="0.3">
      <c r="B83" s="173">
        <f t="shared" si="203"/>
        <v>43983</v>
      </c>
      <c r="C83" s="61"/>
      <c r="D83" s="17">
        <v>22153</v>
      </c>
      <c r="E83" s="16"/>
      <c r="F83" s="16"/>
      <c r="G83" s="16"/>
      <c r="H83" s="16">
        <f t="shared" ref="H83" si="304">+H82+D83</f>
        <v>1859323</v>
      </c>
      <c r="I83" s="16"/>
      <c r="J83" s="38">
        <f t="shared" ref="J83" si="305">+D83/H82</f>
        <v>1.2058219979642602E-2</v>
      </c>
      <c r="K83" s="16"/>
      <c r="L83" s="16"/>
      <c r="M83" s="16"/>
      <c r="N83" s="16">
        <f t="shared" ref="N83" si="306">+H83/BV83</f>
        <v>25125.986486486487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ref="Z83" si="307">+Z82+V83</f>
        <v>106925</v>
      </c>
      <c r="AA83" s="33"/>
      <c r="AB83" s="46">
        <f t="shared" ref="AB83" si="308">+Z83/H83</f>
        <v>5.7507490629653914E-2</v>
      </c>
      <c r="AC83" s="33"/>
      <c r="AD83" s="33">
        <f t="shared" ref="AD83" si="309">+Z83/BV83</f>
        <v>1444.9324324324325</v>
      </c>
      <c r="AE83" s="50"/>
      <c r="AF83" s="33"/>
      <c r="AG83" s="33"/>
      <c r="AH83" s="233"/>
      <c r="AI83" s="50"/>
      <c r="AJ83" s="10"/>
      <c r="AK83" s="23">
        <f t="shared" ref="AK83" si="310">+AO83-AO82</f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ref="AQ83" si="311">+AK83/AO82</f>
        <v>2.5774046580325307E-2</v>
      </c>
      <c r="AR83" s="25"/>
      <c r="AS83" s="25"/>
      <c r="AT83" s="24"/>
      <c r="AU83" s="344">
        <f t="shared" ref="AU83" si="312">+AO83/H83</f>
        <v>0.33094196113316515</v>
      </c>
      <c r="AV83" s="344"/>
      <c r="AW83" s="24">
        <f t="shared" ref="AW83" si="313">+AO83/BV83</f>
        <v>8315.2432432432433</v>
      </c>
      <c r="AX83" s="354"/>
      <c r="AY83" s="10"/>
      <c r="AZ83" s="66">
        <f t="shared" ref="AZ83" si="314">+BB83-BB82</f>
        <v>477486</v>
      </c>
      <c r="BA83" s="67"/>
      <c r="BB83" s="67">
        <v>18150053</v>
      </c>
      <c r="BC83" s="67"/>
      <c r="BD83" s="67">
        <f t="shared" ref="BD83" si="315">+D83</f>
        <v>22153</v>
      </c>
      <c r="BE83" s="67"/>
      <c r="BF83" s="157">
        <f t="shared" ref="BF83" si="316">+BD83/AZ83</f>
        <v>4.6395077552011998E-2</v>
      </c>
      <c r="BG83" s="67"/>
      <c r="BH83" s="185"/>
      <c r="BI83" s="67"/>
      <c r="BJ83" s="67"/>
      <c r="BK83" s="67"/>
      <c r="BL83" s="157"/>
      <c r="BM83" s="66">
        <f t="shared" ref="BM83" si="317">+BB83/BV83</f>
        <v>245270.98648648648</v>
      </c>
      <c r="BN83" s="67"/>
      <c r="BO83" s="67">
        <f t="shared" ref="BO83" si="318">+BO82+BD83</f>
        <v>1607001</v>
      </c>
      <c r="BP83" s="67"/>
      <c r="BQ83" s="74">
        <f t="shared" ref="BQ83" si="319">+BO83/BB83</f>
        <v>8.8539741454198503E-2</v>
      </c>
      <c r="BR83" s="67"/>
      <c r="BS83" s="86"/>
      <c r="BT83" s="185"/>
      <c r="BU83" s="1"/>
      <c r="BV83">
        <f t="shared" si="220"/>
        <v>74</v>
      </c>
    </row>
    <row r="84" spans="2:84" x14ac:dyDescent="0.3">
      <c r="B84" s="173">
        <f t="shared" si="203"/>
        <v>43984</v>
      </c>
      <c r="C84" s="61"/>
      <c r="D84" s="17">
        <v>21882</v>
      </c>
      <c r="E84" s="16"/>
      <c r="F84" s="16"/>
      <c r="G84" s="16"/>
      <c r="H84" s="16">
        <f t="shared" ref="H84" si="320">+H83+D84</f>
        <v>1881205</v>
      </c>
      <c r="I84" s="16"/>
      <c r="J84" s="38">
        <f t="shared" ref="J84" si="321">+D84/H83</f>
        <v>1.176879971903752E-2</v>
      </c>
      <c r="K84" s="16"/>
      <c r="L84" s="16"/>
      <c r="M84" s="16"/>
      <c r="N84" s="16">
        <f t="shared" ref="N84" si="322">+H84/BV84</f>
        <v>25082.733333333334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ref="Z84" si="323">+Z83+V84</f>
        <v>108059</v>
      </c>
      <c r="AA84" s="33"/>
      <c r="AB84" s="46">
        <f t="shared" ref="AB84" si="324">+Z84/H84</f>
        <v>5.74413740129332E-2</v>
      </c>
      <c r="AC84" s="33"/>
      <c r="AD84" s="33">
        <f t="shared" ref="AD84" si="325">+Z84/BV84</f>
        <v>1440.7866666666666</v>
      </c>
      <c r="AE84" s="50"/>
      <c r="AF84" s="33"/>
      <c r="AG84" s="33"/>
      <c r="AH84" s="233"/>
      <c r="AI84" s="50"/>
      <c r="AJ84" s="10"/>
      <c r="AK84" s="23">
        <f t="shared" ref="AK84" si="326">+AO84-AO83</f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ref="AQ84" si="327">+AK84/AO83</f>
        <v>4.9320037443444799E-2</v>
      </c>
      <c r="AR84" s="25"/>
      <c r="AS84" s="25"/>
      <c r="AT84" s="24"/>
      <c r="AU84" s="344">
        <f t="shared" ref="AU84" si="328">+AO84/H84</f>
        <v>0.34322468843108539</v>
      </c>
      <c r="AV84" s="344"/>
      <c r="AW84" s="24">
        <f t="shared" ref="AW84" si="329">+AO84/BV84</f>
        <v>8609.0133333333342</v>
      </c>
      <c r="AX84" s="354"/>
      <c r="AY84" s="10"/>
      <c r="AZ84" s="66">
        <f t="shared" ref="AZ84" si="330">+BB84-BB83</f>
        <v>453121</v>
      </c>
      <c r="BA84" s="67"/>
      <c r="BB84" s="67">
        <v>18603174</v>
      </c>
      <c r="BC84" s="67"/>
      <c r="BD84" s="67">
        <f t="shared" ref="BD84" si="331">+D84</f>
        <v>21882</v>
      </c>
      <c r="BE84" s="67"/>
      <c r="BF84" s="157">
        <f t="shared" ref="BF84" si="332">+BD84/AZ84</f>
        <v>4.8291736644295896E-2</v>
      </c>
      <c r="BG84" s="67"/>
      <c r="BH84" s="185"/>
      <c r="BI84" s="67"/>
      <c r="BJ84" s="67"/>
      <c r="BK84" s="67"/>
      <c r="BL84" s="157"/>
      <c r="BM84" s="66">
        <f t="shared" ref="BM84" si="333">+BB84/BV84</f>
        <v>248042.32</v>
      </c>
      <c r="BN84" s="67"/>
      <c r="BO84" s="67">
        <f t="shared" ref="BO84" si="334">+BO83+BD84</f>
        <v>1628883</v>
      </c>
      <c r="BP84" s="67"/>
      <c r="BQ84" s="74">
        <f t="shared" ref="BQ84" si="335">+BO84/BB84</f>
        <v>8.7559413248513393E-2</v>
      </c>
      <c r="BR84" s="67"/>
      <c r="BS84" s="86"/>
      <c r="BT84" s="185"/>
      <c r="BU84" s="1"/>
      <c r="BV84">
        <f t="shared" si="220"/>
        <v>75</v>
      </c>
    </row>
    <row r="85" spans="2:84" x14ac:dyDescent="0.3">
      <c r="B85" s="173">
        <f t="shared" si="203"/>
        <v>43985</v>
      </c>
      <c r="C85" s="61"/>
      <c r="D85" s="17">
        <v>20578</v>
      </c>
      <c r="E85" s="16"/>
      <c r="F85" s="16"/>
      <c r="G85" s="16"/>
      <c r="H85" s="16">
        <f t="shared" ref="H85" si="336">+H84+D85</f>
        <v>1901783</v>
      </c>
      <c r="I85" s="16"/>
      <c r="J85" s="38">
        <f t="shared" ref="J85" si="337">+D85/H84</f>
        <v>1.0938733418208011E-2</v>
      </c>
      <c r="K85" s="16"/>
      <c r="L85" s="16"/>
      <c r="M85" s="16"/>
      <c r="N85" s="16">
        <f t="shared" ref="N85" si="338">+H85/BV85</f>
        <v>25023.46052631579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ref="Z85" si="339">+Z84+V85</f>
        <v>109142</v>
      </c>
      <c r="AA85" s="33"/>
      <c r="AB85" s="46">
        <f t="shared" ref="AB85" si="340">+Z85/H85</f>
        <v>5.738930256501399E-2</v>
      </c>
      <c r="AC85" s="33"/>
      <c r="AD85" s="33">
        <f t="shared" ref="AD85" si="341">+Z85/BV85</f>
        <v>1436.078947368421</v>
      </c>
      <c r="AE85" s="50"/>
      <c r="AF85" s="33"/>
      <c r="AG85" s="33"/>
      <c r="AH85" s="233"/>
      <c r="AI85" s="50"/>
      <c r="AJ85" s="10"/>
      <c r="AK85" s="23">
        <f t="shared" ref="AK85" si="342">+AO85-AO84</f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ref="AQ85" si="343">+AK85/AO84</f>
        <v>6.6587576431522938E-2</v>
      </c>
      <c r="AR85" s="25"/>
      <c r="AS85" s="25"/>
      <c r="AT85" s="24"/>
      <c r="AU85" s="344">
        <f t="shared" ref="AU85" si="344">+AO85/H85</f>
        <v>0.36211807551124392</v>
      </c>
      <c r="AV85" s="344"/>
      <c r="AW85" s="24">
        <f t="shared" ref="AW85" si="345">+AO85/BV85</f>
        <v>9061.4473684210534</v>
      </c>
      <c r="AX85" s="354"/>
      <c r="AY85" s="10"/>
      <c r="AZ85" s="66">
        <f t="shared" ref="AZ85" si="346">+BB85-BB84</f>
        <v>493497</v>
      </c>
      <c r="BA85" s="67"/>
      <c r="BB85" s="67">
        <v>19096671</v>
      </c>
      <c r="BC85" s="67"/>
      <c r="BD85" s="67">
        <f t="shared" ref="BD85" si="347">+D85</f>
        <v>20578</v>
      </c>
      <c r="BE85" s="67"/>
      <c r="BF85" s="157">
        <f t="shared" ref="BF85" si="348">+BD85/AZ85</f>
        <v>4.1698328459950113E-2</v>
      </c>
      <c r="BG85" s="67"/>
      <c r="BH85" s="185"/>
      <c r="BI85" s="67"/>
      <c r="BJ85" s="67"/>
      <c r="BK85" s="67"/>
      <c r="BL85" s="157"/>
      <c r="BM85" s="66">
        <f t="shared" ref="BM85" si="349">+BB85/BV85</f>
        <v>251271.98684210525</v>
      </c>
      <c r="BN85" s="67"/>
      <c r="BO85" s="67">
        <f t="shared" ref="BO85" si="350">+BO84+BD85</f>
        <v>1649461</v>
      </c>
      <c r="BP85" s="67"/>
      <c r="BQ85" s="74">
        <f t="shared" ref="BQ85" si="351">+BO85/BB85</f>
        <v>8.6374269106903503E-2</v>
      </c>
      <c r="BR85" s="67"/>
      <c r="BS85" s="86"/>
      <c r="BT85" s="185"/>
      <c r="BU85" s="1"/>
      <c r="BV85">
        <f t="shared" si="220"/>
        <v>76</v>
      </c>
    </row>
    <row r="86" spans="2:84" x14ac:dyDescent="0.3">
      <c r="B86" s="173">
        <f t="shared" si="203"/>
        <v>43986</v>
      </c>
      <c r="C86" s="61"/>
      <c r="D86" s="17">
        <v>22268</v>
      </c>
      <c r="E86" s="16"/>
      <c r="F86" s="16"/>
      <c r="G86" s="16"/>
      <c r="H86" s="16">
        <f t="shared" ref="H86" si="352">+H85+D86</f>
        <v>1924051</v>
      </c>
      <c r="I86" s="16"/>
      <c r="J86" s="38">
        <f t="shared" ref="J86" si="353">+D86/H85</f>
        <v>1.170901201661809E-2</v>
      </c>
      <c r="K86" s="16"/>
      <c r="L86" s="16"/>
      <c r="M86" s="16"/>
      <c r="N86" s="16">
        <f t="shared" ref="N86" si="354">+H86/BV86</f>
        <v>24987.675324675325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ref="Z86" si="355">+Z85+V86</f>
        <v>110173</v>
      </c>
      <c r="AA86" s="33"/>
      <c r="AB86" s="46">
        <f t="shared" ref="AB86" si="356">+Z86/H86</f>
        <v>5.7260956180475463E-2</v>
      </c>
      <c r="AC86" s="33"/>
      <c r="AD86" s="33">
        <f t="shared" ref="AD86" si="357">+Z86/BV86</f>
        <v>1430.8181818181818</v>
      </c>
      <c r="AE86" s="50"/>
      <c r="AF86" s="33"/>
      <c r="AG86" s="33"/>
      <c r="AH86" s="233"/>
      <c r="AI86" s="50"/>
      <c r="AJ86" s="10"/>
      <c r="AK86" s="23">
        <f t="shared" ref="AK86" si="358">+AO86-AO85</f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ref="AQ86" si="359">+AK86/AO85</f>
        <v>3.4242815862459523E-2</v>
      </c>
      <c r="AR86" s="25"/>
      <c r="AS86" s="25"/>
      <c r="AT86" s="24"/>
      <c r="AU86" s="344">
        <f t="shared" ref="AU86" si="360">+AO86/H86</f>
        <v>0.37018353463603615</v>
      </c>
      <c r="AV86" s="344"/>
      <c r="AW86" s="24">
        <f t="shared" ref="AW86" si="361">+AO86/BV86</f>
        <v>9250.0259740259735</v>
      </c>
      <c r="AX86" s="354"/>
      <c r="AY86" s="10"/>
      <c r="AZ86" s="66">
        <f t="shared" ref="AZ86" si="362">+BB86-BB85</f>
        <v>471398</v>
      </c>
      <c r="BA86" s="67"/>
      <c r="BB86" s="67">
        <v>19568069</v>
      </c>
      <c r="BC86" s="67"/>
      <c r="BD86" s="67">
        <f t="shared" ref="BD86" si="363">+D86</f>
        <v>22268</v>
      </c>
      <c r="BE86" s="67"/>
      <c r="BF86" s="157">
        <f t="shared" ref="BF86" si="364">+BD86/AZ86</f>
        <v>4.7238214841810955E-2</v>
      </c>
      <c r="BG86" s="67"/>
      <c r="BH86" s="185"/>
      <c r="BI86" s="67"/>
      <c r="BJ86" s="67"/>
      <c r="BK86" s="67"/>
      <c r="BL86" s="157"/>
      <c r="BM86" s="66">
        <f t="shared" ref="BM86" si="365">+BB86/BV86</f>
        <v>254130.76623376625</v>
      </c>
      <c r="BN86" s="67"/>
      <c r="BO86" s="67">
        <f t="shared" ref="BO86" si="366">+BO85+BD86</f>
        <v>1671729</v>
      </c>
      <c r="BP86" s="67"/>
      <c r="BQ86" s="74">
        <f t="shared" ref="BQ86" si="367">+BO86/BB86</f>
        <v>8.5431475124091188E-2</v>
      </c>
      <c r="BR86" s="67"/>
      <c r="BS86" s="86"/>
      <c r="BT86" s="185"/>
      <c r="BU86" s="1"/>
      <c r="BV86">
        <f t="shared" si="220"/>
        <v>77</v>
      </c>
    </row>
    <row r="87" spans="2:84" x14ac:dyDescent="0.3">
      <c r="B87" s="173">
        <f t="shared" si="203"/>
        <v>43987</v>
      </c>
      <c r="C87" s="61"/>
      <c r="D87" s="17">
        <v>25309</v>
      </c>
      <c r="E87" s="16"/>
      <c r="F87" s="16"/>
      <c r="G87" s="16"/>
      <c r="H87" s="16">
        <f t="shared" ref="H87" si="368">+H86+D87</f>
        <v>1949360</v>
      </c>
      <c r="I87" s="16"/>
      <c r="J87" s="38">
        <f t="shared" ref="J87" si="369">+D87/H86</f>
        <v>1.3154017227194082E-2</v>
      </c>
      <c r="K87" s="16"/>
      <c r="L87" s="16"/>
      <c r="M87" s="16"/>
      <c r="N87" s="16">
        <f t="shared" ref="N87" si="370">+H87/BV87</f>
        <v>24991.794871794871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ref="Z87" si="371">+Z86+V87</f>
        <v>111148</v>
      </c>
      <c r="AA87" s="33"/>
      <c r="AB87" s="46">
        <f t="shared" ref="AB87" si="372">+Z87/H87</f>
        <v>5.701768785652727E-2</v>
      </c>
      <c r="AC87" s="33"/>
      <c r="AD87" s="33">
        <f t="shared" ref="AD87" si="373">+Z87/BV87</f>
        <v>1424.9743589743589</v>
      </c>
      <c r="AE87" s="50"/>
      <c r="AF87" s="33"/>
      <c r="AG87" s="33"/>
      <c r="AH87" s="233"/>
      <c r="AI87" s="50"/>
      <c r="AJ87" s="10"/>
      <c r="AK87" s="23">
        <f t="shared" ref="AK87" si="374">+AO87-AO86</f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ref="AQ87" si="375">+AK87/AO86</f>
        <v>3.7057109000746928E-2</v>
      </c>
      <c r="AR87" s="25"/>
      <c r="AS87" s="25"/>
      <c r="AT87" s="24"/>
      <c r="AU87" s="344">
        <f t="shared" ref="AU87" si="376">+AO87/H87</f>
        <v>0.3789171830754709</v>
      </c>
      <c r="AV87" s="344"/>
      <c r="AW87" s="24">
        <f t="shared" ref="AW87" si="377">+AO87/BV87</f>
        <v>9469.8205128205136</v>
      </c>
      <c r="AX87" s="354"/>
      <c r="AY87" s="10"/>
      <c r="AZ87" s="66">
        <f t="shared" ref="AZ87" si="378">+BB87-BB86</f>
        <v>699286</v>
      </c>
      <c r="BA87" s="67"/>
      <c r="BB87" s="67">
        <v>20267355</v>
      </c>
      <c r="BC87" s="67"/>
      <c r="BD87" s="67">
        <f t="shared" ref="BD87" si="379">+D87</f>
        <v>25309</v>
      </c>
      <c r="BE87" s="67"/>
      <c r="BF87" s="157">
        <f t="shared" ref="BF87" si="380">+BD87/AZ87</f>
        <v>3.6192630769098767E-2</v>
      </c>
      <c r="BG87" s="67"/>
      <c r="BH87" s="185"/>
      <c r="BI87" s="67"/>
      <c r="BJ87" s="67"/>
      <c r="BK87" s="67"/>
      <c r="BL87" s="157"/>
      <c r="BM87" s="66">
        <f t="shared" ref="BM87" si="381">+BB87/BV87</f>
        <v>259837.88461538462</v>
      </c>
      <c r="BN87" s="67"/>
      <c r="BO87" s="67">
        <f t="shared" ref="BO87" si="382">+BO86+BD87</f>
        <v>1697038</v>
      </c>
      <c r="BP87" s="67"/>
      <c r="BQ87" s="74">
        <f t="shared" ref="BQ87" si="383">+BO87/BB87</f>
        <v>8.3732583753528766E-2</v>
      </c>
      <c r="BR87" s="67"/>
      <c r="BS87" s="86"/>
      <c r="BT87" s="185"/>
      <c r="BU87" s="1"/>
      <c r="BV87">
        <f t="shared" si="220"/>
        <v>78</v>
      </c>
    </row>
    <row r="88" spans="2:84" x14ac:dyDescent="0.3">
      <c r="B88" s="480">
        <f t="shared" si="203"/>
        <v>43988</v>
      </c>
      <c r="C88" s="61"/>
      <c r="D88" s="17">
        <v>22836</v>
      </c>
      <c r="E88" s="16"/>
      <c r="F88" s="16"/>
      <c r="G88" s="16"/>
      <c r="H88" s="16">
        <f t="shared" ref="H88" si="384">+H87+D88</f>
        <v>1972196</v>
      </c>
      <c r="I88" s="16"/>
      <c r="J88" s="38">
        <f t="shared" ref="J88" si="385">+D88/H87</f>
        <v>1.1714614027167891E-2</v>
      </c>
      <c r="K88" s="16"/>
      <c r="L88" s="16"/>
      <c r="M88" s="16"/>
      <c r="N88" s="16">
        <f t="shared" ref="N88" si="386">+H88/BV88</f>
        <v>24964.506329113923</v>
      </c>
      <c r="O88" s="41"/>
      <c r="P88" s="17"/>
      <c r="Q88" s="16"/>
      <c r="R88" s="60"/>
      <c r="S88" s="16"/>
      <c r="T88" s="41"/>
      <c r="U88" s="482"/>
      <c r="V88" s="34">
        <v>706</v>
      </c>
      <c r="W88" s="33"/>
      <c r="X88" s="33"/>
      <c r="Y88" s="33"/>
      <c r="Z88" s="33">
        <f t="shared" ref="Z88" si="387">+Z87+V88</f>
        <v>111854</v>
      </c>
      <c r="AA88" s="33"/>
      <c r="AB88" s="46">
        <f t="shared" ref="AB88" si="388">+Z88/H88</f>
        <v>5.6715458301304741E-2</v>
      </c>
      <c r="AC88" s="33"/>
      <c r="AD88" s="33">
        <f t="shared" ref="AD88" si="389">+Z88/BV88</f>
        <v>1415.873417721519</v>
      </c>
      <c r="AE88" s="50"/>
      <c r="AF88" s="33"/>
      <c r="AG88" s="33"/>
      <c r="AH88" s="233"/>
      <c r="AI88" s="50"/>
      <c r="AJ88" s="10"/>
      <c r="AK88" s="23">
        <f t="shared" ref="AK88" si="390">+AO88-AO87</f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ref="AQ88" si="391">+AK88/AO87</f>
        <v>1.7666107986775804E-2</v>
      </c>
      <c r="AR88" s="25"/>
      <c r="AS88" s="25"/>
      <c r="AT88" s="24"/>
      <c r="AU88" s="344">
        <f t="shared" ref="AU88" si="392">+AO88/H88</f>
        <v>0.38114619439447195</v>
      </c>
      <c r="AV88" s="344"/>
      <c r="AW88" s="24">
        <f t="shared" ref="AW88" si="393">+AO88/BV88</f>
        <v>9515.1265822784808</v>
      </c>
      <c r="AX88" s="354"/>
      <c r="AY88" s="10"/>
      <c r="AZ88" s="66">
        <f t="shared" ref="AZ88" si="394">+BB88-BB87</f>
        <v>551073</v>
      </c>
      <c r="BA88" s="67"/>
      <c r="BB88" s="67">
        <v>20818428</v>
      </c>
      <c r="BC88" s="67"/>
      <c r="BD88" s="67">
        <f t="shared" ref="BD88" si="395">+D88</f>
        <v>22836</v>
      </c>
      <c r="BE88" s="67"/>
      <c r="BF88" s="157">
        <f t="shared" ref="BF88" si="396">+BD88/AZ88</f>
        <v>4.1439155973890938E-2</v>
      </c>
      <c r="BG88" s="67"/>
      <c r="BH88" s="185"/>
      <c r="BI88" s="67"/>
      <c r="BJ88" s="67"/>
      <c r="BK88" s="67"/>
      <c r="BL88" s="157"/>
      <c r="BM88" s="66">
        <f t="shared" ref="BM88" si="397">+BB88/BV88</f>
        <v>263524.40506329114</v>
      </c>
      <c r="BN88" s="67"/>
      <c r="BO88" s="67">
        <f t="shared" ref="BO88" si="398">+BO87+BD88</f>
        <v>1719874</v>
      </c>
      <c r="BP88" s="67"/>
      <c r="BQ88" s="74">
        <f t="shared" ref="BQ88" si="399">+BO88/BB88</f>
        <v>8.2613058008030191E-2</v>
      </c>
      <c r="BR88" s="67"/>
      <c r="BS88" s="86"/>
      <c r="BT88" s="185"/>
      <c r="BU88" s="1"/>
      <c r="BV88">
        <f t="shared" si="220"/>
        <v>79</v>
      </c>
    </row>
    <row r="89" spans="2:84" x14ac:dyDescent="0.3">
      <c r="B89" s="393">
        <f t="shared" si="203"/>
        <v>43989</v>
      </c>
      <c r="C89" s="61"/>
      <c r="D89" s="17">
        <v>18905</v>
      </c>
      <c r="E89" s="16"/>
      <c r="F89" s="16"/>
      <c r="G89" s="16"/>
      <c r="H89" s="16">
        <f t="shared" ref="H89" si="400">+H88+D89</f>
        <v>1991101</v>
      </c>
      <c r="I89" s="16"/>
      <c r="J89" s="38">
        <f t="shared" ref="J89" si="401">+D89/H88</f>
        <v>9.585761252938349E-3</v>
      </c>
      <c r="K89" s="16"/>
      <c r="L89" s="16"/>
      <c r="M89" s="16"/>
      <c r="N89" s="16">
        <f t="shared" ref="N89" si="402">+H89/BV89</f>
        <v>24888.762500000001</v>
      </c>
      <c r="O89" s="41"/>
      <c r="P89" s="17">
        <f t="shared" ref="P89" si="403">SUM(D83:D89)</f>
        <v>153931</v>
      </c>
      <c r="Q89" s="16"/>
      <c r="R89" s="60">
        <f t="shared" ref="R89" si="404">+(P89-P82)/P82</f>
        <v>2.1209547945387239E-2</v>
      </c>
      <c r="S89" s="16"/>
      <c r="T89" s="41"/>
      <c r="U89" s="482"/>
      <c r="V89" s="34">
        <v>373</v>
      </c>
      <c r="W89" s="33"/>
      <c r="X89" s="33"/>
      <c r="Y89" s="33"/>
      <c r="Z89" s="33">
        <f t="shared" ref="Z89" si="405">+Z88+V89</f>
        <v>112227</v>
      </c>
      <c r="AA89" s="33"/>
      <c r="AB89" s="46">
        <f t="shared" ref="AB89" si="406">+Z89/H89</f>
        <v>5.6364292921353559E-2</v>
      </c>
      <c r="AC89" s="33"/>
      <c r="AD89" s="33">
        <f t="shared" ref="AD89" si="407">+Z89/BV89</f>
        <v>1402.8375000000001</v>
      </c>
      <c r="AE89" s="50"/>
      <c r="AF89" s="33">
        <f t="shared" ref="AF89" si="408">SUM(V83:V89)</f>
        <v>6032</v>
      </c>
      <c r="AG89" s="33"/>
      <c r="AH89" s="233">
        <f t="shared" ref="AH89" si="409">+(AF89-AF82)/AF82</f>
        <v>-0.12516316171138506</v>
      </c>
      <c r="AI89" s="50"/>
      <c r="AJ89" s="10"/>
      <c r="AK89" s="23">
        <f t="shared" ref="AK89" si="410">+AO89-AO88</f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ref="AQ89" si="411">+AK89/AO88</f>
        <v>1.3320562196103473E-2</v>
      </c>
      <c r="AR89" s="25"/>
      <c r="AS89" s="25"/>
      <c r="AT89" s="24"/>
      <c r="AU89" s="344">
        <f t="shared" ref="AU89" si="412">+AO89/H89</f>
        <v>0.38255618373954914</v>
      </c>
      <c r="AV89" s="344"/>
      <c r="AW89" s="24">
        <f t="shared" ref="AW89" si="413">+AO89/BV89</f>
        <v>9521.35</v>
      </c>
      <c r="AX89" s="354"/>
      <c r="AY89" s="10"/>
      <c r="AZ89" s="66">
        <f t="shared" ref="AZ89" si="414">+BB89-BB88</f>
        <v>473249</v>
      </c>
      <c r="BA89" s="67"/>
      <c r="BB89" s="67">
        <v>21291677</v>
      </c>
      <c r="BC89" s="67"/>
      <c r="BD89" s="67">
        <f t="shared" ref="BD89" si="415">+D89</f>
        <v>18905</v>
      </c>
      <c r="BE89" s="67"/>
      <c r="BF89" s="157">
        <f t="shared" ref="BF89" si="416">+BD89/AZ89</f>
        <v>3.9947258208680843E-2</v>
      </c>
      <c r="BG89" s="67"/>
      <c r="BH89" s="185"/>
      <c r="BI89" s="67"/>
      <c r="BJ89" s="67">
        <f t="shared" ref="BJ89" si="417">SUM(AZ83:AZ89)</f>
        <v>3619110</v>
      </c>
      <c r="BK89" s="67"/>
      <c r="BL89" s="157">
        <f t="shared" ref="BL89" si="418">+P89/BJ89</f>
        <v>4.2532832657752873E-2</v>
      </c>
      <c r="BM89" s="66">
        <f t="shared" ref="BM89" si="419">+BB89/BV89</f>
        <v>266145.96250000002</v>
      </c>
      <c r="BN89" s="67"/>
      <c r="BO89" s="67">
        <f t="shared" ref="BO89" si="420">+BO88+BD89</f>
        <v>1738779</v>
      </c>
      <c r="BP89" s="67"/>
      <c r="BQ89" s="74">
        <f t="shared" ref="BQ89" si="421">+BO89/BB89</f>
        <v>8.1664727489525607E-2</v>
      </c>
      <c r="BR89" s="67"/>
      <c r="BS89" s="86"/>
      <c r="BT89" s="185"/>
      <c r="BU89" s="1"/>
      <c r="BV89">
        <f t="shared" si="220"/>
        <v>80</v>
      </c>
    </row>
    <row r="90" spans="2:84" x14ac:dyDescent="0.3">
      <c r="B90" s="173">
        <f t="shared" si="203"/>
        <v>43990</v>
      </c>
      <c r="C90" s="61"/>
      <c r="D90" s="17"/>
      <c r="E90" s="16"/>
      <c r="F90" s="16"/>
      <c r="G90" s="16"/>
      <c r="H90" s="16"/>
      <c r="I90" s="16"/>
      <c r="J90" s="479"/>
      <c r="K90" s="16"/>
      <c r="L90" s="16"/>
      <c r="M90" s="16"/>
      <c r="N90" s="16"/>
      <c r="O90" s="41"/>
      <c r="P90" s="457"/>
      <c r="Q90" s="16"/>
      <c r="R90" s="60"/>
      <c r="S90" s="16"/>
      <c r="T90" s="41"/>
      <c r="U90" s="10"/>
      <c r="V90" s="34"/>
      <c r="W90" s="33"/>
      <c r="X90" s="33"/>
      <c r="Y90" s="33"/>
      <c r="Z90" s="33"/>
      <c r="AA90" s="33"/>
      <c r="AB90" s="46"/>
      <c r="AC90" s="33"/>
      <c r="AD90" s="33"/>
      <c r="AE90" s="50"/>
      <c r="AF90" s="33"/>
      <c r="AG90" s="33"/>
      <c r="AH90" s="233"/>
      <c r="AI90" s="50"/>
      <c r="AJ90" s="10"/>
      <c r="AK90" s="23"/>
      <c r="AL90" s="24"/>
      <c r="AM90" s="24"/>
      <c r="AN90" s="24"/>
      <c r="AO90" s="24"/>
      <c r="AP90" s="24"/>
      <c r="AQ90" s="25"/>
      <c r="AR90" s="25"/>
      <c r="AS90" s="25"/>
      <c r="AT90" s="24"/>
      <c r="AU90" s="344"/>
      <c r="AV90" s="344"/>
      <c r="AW90" s="24"/>
      <c r="AX90" s="354"/>
      <c r="AY90" s="10"/>
      <c r="AZ90" s="66"/>
      <c r="BA90" s="67"/>
      <c r="BB90" s="67"/>
      <c r="BC90" s="67"/>
      <c r="BD90" s="67"/>
      <c r="BE90" s="67"/>
      <c r="BF90" s="157"/>
      <c r="BG90" s="67"/>
      <c r="BH90" s="185"/>
      <c r="BI90" s="67"/>
      <c r="BJ90" s="67"/>
      <c r="BK90" s="67"/>
      <c r="BL90" s="157"/>
      <c r="BM90" s="66"/>
      <c r="BN90" s="67"/>
      <c r="BO90" s="67"/>
      <c r="BP90" s="67"/>
      <c r="BQ90" s="74"/>
      <c r="BR90" s="67"/>
      <c r="BS90" s="86"/>
      <c r="BT90" s="185"/>
      <c r="BU90" s="1"/>
      <c r="BV90">
        <f t="shared" si="220"/>
        <v>81</v>
      </c>
    </row>
    <row r="91" spans="2:84" x14ac:dyDescent="0.3">
      <c r="B91" s="173">
        <f t="shared" si="203"/>
        <v>43991</v>
      </c>
      <c r="C91" s="61"/>
      <c r="D91" s="17"/>
      <c r="E91" s="16"/>
      <c r="F91" s="16"/>
      <c r="G91" s="16"/>
      <c r="H91" s="16"/>
      <c r="I91" s="16"/>
      <c r="J91" s="38"/>
      <c r="K91" s="16"/>
      <c r="L91" s="16"/>
      <c r="M91" s="16"/>
      <c r="N91" s="16"/>
      <c r="O91" s="41"/>
      <c r="P91" s="457"/>
      <c r="Q91" s="16"/>
      <c r="R91" s="60"/>
      <c r="S91" s="16"/>
      <c r="T91" s="41"/>
      <c r="U91" s="10"/>
      <c r="V91" s="34"/>
      <c r="W91" s="33"/>
      <c r="X91" s="33"/>
      <c r="Y91" s="33"/>
      <c r="Z91" s="33"/>
      <c r="AA91" s="33"/>
      <c r="AB91" s="46"/>
      <c r="AC91" s="33"/>
      <c r="AD91" s="33"/>
      <c r="AE91" s="50"/>
      <c r="AF91" s="33"/>
      <c r="AG91" s="33"/>
      <c r="AH91" s="233"/>
      <c r="AI91" s="50"/>
      <c r="AJ91" s="10"/>
      <c r="AK91" s="23"/>
      <c r="AL91" s="24"/>
      <c r="AM91" s="24"/>
      <c r="AN91" s="24"/>
      <c r="AO91" s="24"/>
      <c r="AP91" s="24"/>
      <c r="AQ91" s="25"/>
      <c r="AR91" s="25"/>
      <c r="AS91" s="25"/>
      <c r="AT91" s="24"/>
      <c r="AU91" s="344"/>
      <c r="AV91" s="344"/>
      <c r="AW91" s="24"/>
      <c r="AX91" s="354"/>
      <c r="AY91" s="10"/>
      <c r="AZ91" s="66"/>
      <c r="BA91" s="67"/>
      <c r="BB91" s="67"/>
      <c r="BC91" s="67"/>
      <c r="BD91" s="67"/>
      <c r="BE91" s="67"/>
      <c r="BF91" s="157"/>
      <c r="BG91" s="67"/>
      <c r="BH91" s="185"/>
      <c r="BI91" s="67"/>
      <c r="BJ91" s="157"/>
      <c r="BK91" s="67"/>
      <c r="BL91" s="157"/>
      <c r="BM91" s="66"/>
      <c r="BN91" s="67"/>
      <c r="BO91" s="67"/>
      <c r="BP91" s="67"/>
      <c r="BQ91" s="74"/>
      <c r="BR91" s="67"/>
      <c r="BS91" s="86"/>
      <c r="BT91" s="185"/>
      <c r="BU91" s="1"/>
      <c r="BV91">
        <f t="shared" si="220"/>
        <v>82</v>
      </c>
    </row>
    <row r="92" spans="2:84" x14ac:dyDescent="0.3">
      <c r="B92" s="173">
        <f t="shared" si="203"/>
        <v>43992</v>
      </c>
      <c r="D92" s="18"/>
      <c r="E92" s="19"/>
      <c r="F92" s="19"/>
      <c r="G92" s="19"/>
      <c r="H92" s="19"/>
      <c r="I92" s="19"/>
      <c r="J92" s="39"/>
      <c r="K92" s="19"/>
      <c r="L92" s="19"/>
      <c r="M92" s="19"/>
      <c r="N92" s="19"/>
      <c r="O92" s="43"/>
      <c r="P92" s="18"/>
      <c r="Q92" s="19"/>
      <c r="R92" s="19"/>
      <c r="S92" s="19"/>
      <c r="T92" s="43"/>
      <c r="U92" s="1"/>
      <c r="V92" s="35"/>
      <c r="W92" s="36"/>
      <c r="X92" s="36"/>
      <c r="Y92" s="36"/>
      <c r="Z92" s="36"/>
      <c r="AA92" s="36"/>
      <c r="AB92" s="47"/>
      <c r="AC92" s="36"/>
      <c r="AD92" s="36"/>
      <c r="AE92" s="51"/>
      <c r="AF92" s="36"/>
      <c r="AG92" s="36"/>
      <c r="AH92" s="36"/>
      <c r="AI92" s="51"/>
      <c r="AJ92" s="1"/>
      <c r="AK92" s="26"/>
      <c r="AL92" s="27"/>
      <c r="AM92" s="27"/>
      <c r="AN92" s="27"/>
      <c r="AO92" s="27"/>
      <c r="AP92" s="27"/>
      <c r="AQ92" s="27"/>
      <c r="AR92" s="27"/>
      <c r="AS92" s="27"/>
      <c r="AT92" s="27"/>
      <c r="AU92" s="346"/>
      <c r="AV92" s="346"/>
      <c r="AW92" s="27"/>
      <c r="AX92" s="353"/>
      <c r="AY92" s="1"/>
      <c r="AZ92" s="68"/>
      <c r="BA92" s="69"/>
      <c r="BB92" s="69"/>
      <c r="BC92" s="69"/>
      <c r="BD92" s="69"/>
      <c r="BE92" s="69"/>
      <c r="BF92" s="69"/>
      <c r="BG92" s="69"/>
      <c r="BH92" s="186"/>
      <c r="BI92" s="69"/>
      <c r="BJ92" s="69"/>
      <c r="BK92" s="69"/>
      <c r="BL92" s="69"/>
      <c r="BM92" s="68"/>
      <c r="BN92" s="69"/>
      <c r="BO92" s="69"/>
      <c r="BP92" s="69"/>
      <c r="BQ92" s="71"/>
      <c r="BR92" s="69"/>
      <c r="BS92" s="69"/>
      <c r="BT92" s="186"/>
      <c r="BU92" s="1"/>
      <c r="BV92">
        <f t="shared" si="220"/>
        <v>83</v>
      </c>
    </row>
    <row r="93" spans="2:84" x14ac:dyDescent="0.3">
      <c r="B93" s="56"/>
      <c r="D93" s="1"/>
      <c r="E93" s="1"/>
      <c r="F93" s="1"/>
      <c r="G93" s="1"/>
      <c r="H93" s="59"/>
      <c r="I93" s="1"/>
      <c r="J93" s="5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59"/>
      <c r="W93" s="1"/>
      <c r="X93" s="1"/>
      <c r="Y93" s="1"/>
      <c r="Z93" s="1"/>
      <c r="AA93" s="1"/>
      <c r="AB93" s="59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59"/>
      <c r="BC93" s="1"/>
      <c r="BD93" s="59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2:84" x14ac:dyDescent="0.3">
      <c r="B94" s="181" t="s">
        <v>84</v>
      </c>
      <c r="D94" s="56">
        <f>+D89</f>
        <v>18905</v>
      </c>
      <c r="E94" s="56"/>
      <c r="F94" s="56"/>
      <c r="G94" s="56"/>
      <c r="H94" s="56">
        <f t="shared" ref="H94:BH94" si="422">+H89</f>
        <v>1991101</v>
      </c>
      <c r="I94" s="56">
        <f t="shared" si="422"/>
        <v>0</v>
      </c>
      <c r="J94" s="56">
        <f t="shared" si="422"/>
        <v>9.585761252938349E-3</v>
      </c>
      <c r="K94" s="56">
        <f t="shared" si="422"/>
        <v>0</v>
      </c>
      <c r="L94" s="56">
        <f t="shared" si="422"/>
        <v>0</v>
      </c>
      <c r="M94" s="56">
        <f t="shared" si="422"/>
        <v>0</v>
      </c>
      <c r="N94" s="56">
        <f t="shared" si="422"/>
        <v>24888.762500000001</v>
      </c>
      <c r="O94" s="56">
        <f t="shared" si="422"/>
        <v>0</v>
      </c>
      <c r="P94" s="56">
        <f t="shared" si="422"/>
        <v>153931</v>
      </c>
      <c r="Q94" s="56">
        <f t="shared" si="422"/>
        <v>0</v>
      </c>
      <c r="R94" s="56">
        <f t="shared" si="422"/>
        <v>2.1209547945387239E-2</v>
      </c>
      <c r="S94" s="56">
        <f t="shared" si="422"/>
        <v>0</v>
      </c>
      <c r="T94" s="56">
        <f t="shared" si="422"/>
        <v>0</v>
      </c>
      <c r="U94" s="56">
        <f t="shared" si="422"/>
        <v>0</v>
      </c>
      <c r="V94" s="56">
        <f t="shared" si="422"/>
        <v>373</v>
      </c>
      <c r="W94" s="56">
        <f t="shared" si="422"/>
        <v>0</v>
      </c>
      <c r="X94" s="56">
        <f t="shared" si="422"/>
        <v>0</v>
      </c>
      <c r="Y94" s="56">
        <f t="shared" si="422"/>
        <v>0</v>
      </c>
      <c r="Z94" s="56">
        <f t="shared" si="422"/>
        <v>112227</v>
      </c>
      <c r="AA94" s="56">
        <f t="shared" si="422"/>
        <v>0</v>
      </c>
      <c r="AB94" s="56">
        <f t="shared" si="422"/>
        <v>5.6364292921353559E-2</v>
      </c>
      <c r="AC94" s="56">
        <f t="shared" si="422"/>
        <v>0</v>
      </c>
      <c r="AD94" s="56">
        <f t="shared" si="422"/>
        <v>1402.8375000000001</v>
      </c>
      <c r="AE94" s="56">
        <f t="shared" si="422"/>
        <v>0</v>
      </c>
      <c r="AF94" s="56">
        <f t="shared" si="422"/>
        <v>6032</v>
      </c>
      <c r="AG94" s="56">
        <f t="shared" si="422"/>
        <v>0</v>
      </c>
      <c r="AH94" s="56">
        <f t="shared" si="422"/>
        <v>-0.12516316171138506</v>
      </c>
      <c r="AI94" s="56">
        <f t="shared" si="422"/>
        <v>0</v>
      </c>
      <c r="AJ94" s="56">
        <f t="shared" si="422"/>
        <v>0</v>
      </c>
      <c r="AK94" s="56">
        <f t="shared" si="422"/>
        <v>10013</v>
      </c>
      <c r="AL94" s="56">
        <f t="shared" si="422"/>
        <v>0</v>
      </c>
      <c r="AM94" s="56">
        <f t="shared" si="422"/>
        <v>0</v>
      </c>
      <c r="AN94" s="56">
        <f t="shared" si="422"/>
        <v>178263</v>
      </c>
      <c r="AO94" s="56">
        <f t="shared" si="422"/>
        <v>761708</v>
      </c>
      <c r="AP94" s="56">
        <f t="shared" si="422"/>
        <v>0</v>
      </c>
      <c r="AQ94" s="56">
        <f t="shared" si="422"/>
        <v>1.3320562196103473E-2</v>
      </c>
      <c r="AR94" s="56">
        <f t="shared" si="422"/>
        <v>0</v>
      </c>
      <c r="AS94" s="56">
        <f t="shared" si="422"/>
        <v>0</v>
      </c>
      <c r="AT94" s="56">
        <f t="shared" si="422"/>
        <v>0</v>
      </c>
      <c r="AU94" s="56">
        <f t="shared" si="422"/>
        <v>0.38255618373954914</v>
      </c>
      <c r="AV94" s="56">
        <f t="shared" si="422"/>
        <v>0</v>
      </c>
      <c r="AW94" s="56">
        <f t="shared" si="422"/>
        <v>9521.35</v>
      </c>
      <c r="AX94" s="56">
        <f t="shared" si="422"/>
        <v>0</v>
      </c>
      <c r="AY94" s="56">
        <f t="shared" si="422"/>
        <v>0</v>
      </c>
      <c r="AZ94" s="56">
        <f t="shared" si="422"/>
        <v>473249</v>
      </c>
      <c r="BA94" s="56">
        <f t="shared" si="422"/>
        <v>0</v>
      </c>
      <c r="BB94" s="56">
        <f t="shared" si="422"/>
        <v>21291677</v>
      </c>
      <c r="BC94" s="56">
        <f t="shared" si="422"/>
        <v>0</v>
      </c>
      <c r="BD94" s="56">
        <f t="shared" si="422"/>
        <v>18905</v>
      </c>
      <c r="BE94" s="56">
        <f t="shared" si="422"/>
        <v>0</v>
      </c>
      <c r="BF94" s="56">
        <f t="shared" si="422"/>
        <v>3.9947258208680843E-2</v>
      </c>
      <c r="BG94" s="56">
        <f t="shared" si="422"/>
        <v>0</v>
      </c>
      <c r="BH94" s="56">
        <f t="shared" si="422"/>
        <v>0</v>
      </c>
      <c r="BI94" s="56">
        <f t="shared" ref="BI94:BO94" si="423">+BI88</f>
        <v>0</v>
      </c>
      <c r="BJ94" s="56">
        <f t="shared" si="423"/>
        <v>0</v>
      </c>
      <c r="BK94" s="56">
        <f t="shared" si="423"/>
        <v>0</v>
      </c>
      <c r="BL94" s="56">
        <f t="shared" si="423"/>
        <v>0</v>
      </c>
      <c r="BM94" s="56">
        <f t="shared" si="423"/>
        <v>263524.40506329114</v>
      </c>
      <c r="BN94" s="56">
        <f t="shared" si="423"/>
        <v>0</v>
      </c>
      <c r="BO94" s="56">
        <f t="shared" si="423"/>
        <v>1719874</v>
      </c>
      <c r="BP94" s="10"/>
      <c r="BQ94" s="62"/>
      <c r="BR94" s="10"/>
      <c r="BS94" s="10"/>
      <c r="BT94" s="10"/>
      <c r="BU94" s="10"/>
      <c r="BV94" s="161"/>
      <c r="BW94" s="10"/>
      <c r="BX94" s="62"/>
      <c r="BY94" s="10"/>
      <c r="BZ94" s="161"/>
      <c r="CA94" s="61"/>
      <c r="CB94" s="61"/>
      <c r="CC94" s="61"/>
      <c r="CD94" s="61"/>
      <c r="CE94" s="61"/>
      <c r="CF94" s="158"/>
    </row>
    <row r="95" spans="2:84" x14ac:dyDescent="0.3">
      <c r="B95" t="s">
        <v>120</v>
      </c>
      <c r="D95" s="56">
        <f>+D88-D89</f>
        <v>3931</v>
      </c>
      <c r="H95" s="56">
        <f t="shared" ref="H95:BH95" si="424">+H88-H89</f>
        <v>-18905</v>
      </c>
      <c r="I95" s="56">
        <f t="shared" si="424"/>
        <v>0</v>
      </c>
      <c r="J95" s="56">
        <f t="shared" si="424"/>
        <v>2.1288527742295421E-3</v>
      </c>
      <c r="K95" s="56">
        <f t="shared" si="424"/>
        <v>0</v>
      </c>
      <c r="L95" s="56">
        <f t="shared" si="424"/>
        <v>0</v>
      </c>
      <c r="M95" s="56">
        <f t="shared" si="424"/>
        <v>0</v>
      </c>
      <c r="N95" s="56">
        <f t="shared" si="424"/>
        <v>75.743829113922402</v>
      </c>
      <c r="O95" s="56">
        <f t="shared" si="424"/>
        <v>0</v>
      </c>
      <c r="P95" s="56">
        <f>+P82-P89</f>
        <v>-3197</v>
      </c>
      <c r="Q95" s="56">
        <f t="shared" si="424"/>
        <v>0</v>
      </c>
      <c r="R95" s="56">
        <f t="shared" si="424"/>
        <v>-2.1209547945387239E-2</v>
      </c>
      <c r="S95" s="56">
        <f t="shared" si="424"/>
        <v>0</v>
      </c>
      <c r="T95" s="56">
        <f t="shared" si="424"/>
        <v>0</v>
      </c>
      <c r="U95" s="56">
        <f t="shared" si="424"/>
        <v>0</v>
      </c>
      <c r="V95" s="56">
        <f t="shared" si="424"/>
        <v>333</v>
      </c>
      <c r="W95" s="56">
        <f t="shared" si="424"/>
        <v>0</v>
      </c>
      <c r="X95" s="56">
        <f t="shared" si="424"/>
        <v>0</v>
      </c>
      <c r="Y95" s="56">
        <f t="shared" si="424"/>
        <v>0</v>
      </c>
      <c r="Z95" s="56">
        <f t="shared" si="424"/>
        <v>-373</v>
      </c>
      <c r="AA95" s="56">
        <f t="shared" si="424"/>
        <v>0</v>
      </c>
      <c r="AB95" s="56">
        <f t="shared" si="424"/>
        <v>3.5116537995118213E-4</v>
      </c>
      <c r="AC95" s="56">
        <f t="shared" si="424"/>
        <v>0</v>
      </c>
      <c r="AD95" s="56">
        <f t="shared" si="424"/>
        <v>13.035917721518899</v>
      </c>
      <c r="AE95" s="56">
        <f t="shared" si="424"/>
        <v>0</v>
      </c>
      <c r="AF95" s="56">
        <f t="shared" si="424"/>
        <v>-6032</v>
      </c>
      <c r="AG95" s="56">
        <f t="shared" si="424"/>
        <v>0</v>
      </c>
      <c r="AH95" s="56">
        <f t="shared" si="424"/>
        <v>0.12516316171138506</v>
      </c>
      <c r="AI95" s="56">
        <f t="shared" si="424"/>
        <v>0</v>
      </c>
      <c r="AJ95" s="56">
        <f t="shared" si="424"/>
        <v>0</v>
      </c>
      <c r="AK95" s="56">
        <f t="shared" si="424"/>
        <v>3036</v>
      </c>
      <c r="AL95" s="56">
        <f t="shared" si="424"/>
        <v>0</v>
      </c>
      <c r="AM95" s="56">
        <f t="shared" si="424"/>
        <v>0</v>
      </c>
      <c r="AN95" s="56">
        <f t="shared" si="424"/>
        <v>0</v>
      </c>
      <c r="AO95" s="56">
        <f t="shared" si="424"/>
        <v>-10013</v>
      </c>
      <c r="AP95" s="56">
        <f t="shared" si="424"/>
        <v>0</v>
      </c>
      <c r="AQ95" s="56">
        <f t="shared" si="424"/>
        <v>4.3455457906723307E-3</v>
      </c>
      <c r="AR95" s="56">
        <f t="shared" si="424"/>
        <v>0</v>
      </c>
      <c r="AS95" s="56">
        <f t="shared" si="424"/>
        <v>0</v>
      </c>
      <c r="AT95" s="56">
        <f t="shared" si="424"/>
        <v>0</v>
      </c>
      <c r="AU95" s="56">
        <f t="shared" si="424"/>
        <v>-1.4099893450771894E-3</v>
      </c>
      <c r="AV95" s="56">
        <f t="shared" si="424"/>
        <v>0</v>
      </c>
      <c r="AW95" s="56">
        <f t="shared" si="424"/>
        <v>-6.2234177215195814</v>
      </c>
      <c r="AX95" s="56">
        <f t="shared" si="424"/>
        <v>0</v>
      </c>
      <c r="AY95" s="56">
        <f t="shared" si="424"/>
        <v>0</v>
      </c>
      <c r="AZ95" s="56">
        <f t="shared" si="424"/>
        <v>77824</v>
      </c>
      <c r="BA95" s="56">
        <f t="shared" si="424"/>
        <v>0</v>
      </c>
      <c r="BB95" s="56">
        <f t="shared" si="424"/>
        <v>-473249</v>
      </c>
      <c r="BC95" s="56">
        <f t="shared" si="424"/>
        <v>0</v>
      </c>
      <c r="BD95" s="56">
        <f t="shared" si="424"/>
        <v>3931</v>
      </c>
      <c r="BE95" s="56">
        <f t="shared" si="424"/>
        <v>0</v>
      </c>
      <c r="BF95" s="56">
        <f t="shared" si="424"/>
        <v>1.4918977652100956E-3</v>
      </c>
      <c r="BG95" s="56">
        <f t="shared" si="424"/>
        <v>0</v>
      </c>
      <c r="BH95" s="56">
        <f t="shared" si="424"/>
        <v>0</v>
      </c>
      <c r="BI95" s="56">
        <f t="shared" ref="BI95:BO95" si="425">+BI87-BI88</f>
        <v>0</v>
      </c>
      <c r="BJ95" s="56">
        <f t="shared" si="425"/>
        <v>0</v>
      </c>
      <c r="BK95" s="56">
        <f t="shared" si="425"/>
        <v>0</v>
      </c>
      <c r="BL95" s="56">
        <f t="shared" si="425"/>
        <v>0</v>
      </c>
      <c r="BM95" s="56">
        <f t="shared" si="425"/>
        <v>-3686.5204479065142</v>
      </c>
      <c r="BN95" s="56">
        <f t="shared" si="425"/>
        <v>0</v>
      </c>
      <c r="BO95" s="56">
        <f t="shared" si="425"/>
        <v>-22836</v>
      </c>
      <c r="BP95" s="10"/>
      <c r="BQ95" s="10"/>
      <c r="BR95" s="10"/>
      <c r="BS95" s="10"/>
      <c r="BT95" s="10"/>
      <c r="BU95" s="10"/>
      <c r="BV95" s="62"/>
      <c r="BW95" s="10"/>
      <c r="BX95" s="10"/>
      <c r="BY95" s="10"/>
      <c r="BZ95" s="62"/>
      <c r="CA95" s="61"/>
      <c r="CB95" s="61"/>
      <c r="CC95" s="61"/>
      <c r="CD95" s="61"/>
      <c r="CE95" s="61"/>
      <c r="CF95" s="117"/>
    </row>
    <row r="96" spans="2:84" x14ac:dyDescent="0.3">
      <c r="N96" s="59"/>
      <c r="Z96" s="56"/>
      <c r="AB96" s="59"/>
      <c r="AD96" s="275"/>
      <c r="AZ96" s="59"/>
      <c r="BF96" s="59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61"/>
      <c r="CB96" s="117"/>
      <c r="CC96" s="117"/>
      <c r="CD96" s="117"/>
      <c r="CE96" s="117"/>
    </row>
    <row r="97" spans="2:71" x14ac:dyDescent="0.3">
      <c r="D97" s="56"/>
      <c r="H97" s="1"/>
      <c r="N97" s="59"/>
      <c r="V97" s="56"/>
      <c r="Z97" s="1"/>
      <c r="AZ97" s="59"/>
      <c r="BB97" s="56"/>
      <c r="BD97" s="59"/>
      <c r="BI97" s="61"/>
      <c r="BJ97" s="61"/>
      <c r="BK97" s="61"/>
      <c r="BL97" s="61"/>
      <c r="BM97" s="61"/>
      <c r="BN97" s="61"/>
      <c r="BO97" s="61"/>
      <c r="BP97" s="61"/>
      <c r="BQ97" s="61"/>
      <c r="BR97" s="10"/>
      <c r="BS97" s="10"/>
    </row>
    <row r="98" spans="2:71" x14ac:dyDescent="0.3">
      <c r="H98" s="56"/>
      <c r="Z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90"/>
      <c r="BR98" s="1"/>
      <c r="BS98" s="1"/>
    </row>
    <row r="99" spans="2:71" x14ac:dyDescent="0.3">
      <c r="D99" s="1"/>
      <c r="E99" s="123" t="s">
        <v>28</v>
      </c>
      <c r="F99" s="124"/>
      <c r="G99" s="124" t="s">
        <v>68</v>
      </c>
      <c r="H99" s="116"/>
      <c r="I99" s="116"/>
      <c r="J99" s="116"/>
      <c r="K99" s="61"/>
      <c r="L99" s="10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90"/>
      <c r="BR99" s="1"/>
      <c r="BS99" s="1"/>
    </row>
    <row r="100" spans="2:71" x14ac:dyDescent="0.3">
      <c r="D100" s="1"/>
      <c r="E100" s="123" t="s">
        <v>40</v>
      </c>
      <c r="F100" s="124"/>
      <c r="G100" s="124" t="s">
        <v>42</v>
      </c>
      <c r="H100" s="10"/>
      <c r="I100" s="10"/>
      <c r="J100" s="10"/>
      <c r="K100" s="61"/>
      <c r="L100" s="10"/>
      <c r="AC100" s="1"/>
      <c r="AD100" s="1"/>
      <c r="AE100" s="1"/>
      <c r="AF100" s="1"/>
      <c r="AG100" s="1"/>
      <c r="AH100" s="1"/>
      <c r="AI100" s="1"/>
      <c r="AJ100" s="1"/>
      <c r="AK100" s="1" t="s">
        <v>17</v>
      </c>
      <c r="AL100" s="1"/>
      <c r="AM100" s="1"/>
      <c r="AN100" s="1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90"/>
      <c r="BR100" s="1"/>
      <c r="BS100" s="1"/>
    </row>
    <row r="101" spans="2:71" x14ac:dyDescent="0.3">
      <c r="D101" s="1"/>
      <c r="E101" s="123" t="s">
        <v>47</v>
      </c>
      <c r="F101" s="124"/>
      <c r="G101" s="124" t="s">
        <v>58</v>
      </c>
      <c r="H101" s="10"/>
      <c r="I101" s="10"/>
      <c r="J101" s="10"/>
      <c r="K101" s="61"/>
      <c r="L101" s="10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90"/>
      <c r="BR101" s="1"/>
      <c r="BS101" s="1"/>
    </row>
    <row r="102" spans="2:71" x14ac:dyDescent="0.3">
      <c r="D102" s="1"/>
      <c r="E102" s="123" t="s">
        <v>69</v>
      </c>
      <c r="F102" s="61"/>
      <c r="G102" s="93" t="s">
        <v>70</v>
      </c>
      <c r="H102" s="61"/>
      <c r="I102" s="61"/>
      <c r="J102" s="61"/>
      <c r="K102" s="61"/>
      <c r="L102" s="6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90"/>
      <c r="BR102" s="1"/>
      <c r="BS102" s="1"/>
    </row>
    <row r="103" spans="2:71" x14ac:dyDescent="0.3">
      <c r="AC103" s="1"/>
      <c r="AD103" s="1"/>
      <c r="AE103" s="1"/>
      <c r="AF103" s="1"/>
      <c r="AG103" s="1"/>
      <c r="AH103" s="1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1"/>
      <c r="BS103" s="1"/>
    </row>
    <row r="104" spans="2:71" x14ac:dyDescent="0.3">
      <c r="AC104" s="1"/>
      <c r="AD104" s="1"/>
      <c r="AE104" s="1"/>
      <c r="AF104" s="1"/>
      <c r="AG104" s="1"/>
      <c r="AH104" s="1"/>
    </row>
    <row r="105" spans="2:71" x14ac:dyDescent="0.3">
      <c r="D105" s="56"/>
      <c r="AC105" s="1"/>
      <c r="AD105" s="1"/>
      <c r="AE105" s="1"/>
      <c r="AF105" s="1"/>
      <c r="AG105" s="1"/>
      <c r="AH105" s="1"/>
    </row>
    <row r="106" spans="2:71" x14ac:dyDescent="0.3">
      <c r="D106" s="1">
        <v>4900</v>
      </c>
      <c r="Z106" s="56"/>
      <c r="AC106" s="1"/>
      <c r="AD106" s="1"/>
      <c r="AE106" s="1"/>
      <c r="AF106" s="1"/>
      <c r="AG106" s="1"/>
      <c r="AH106" s="1"/>
    </row>
    <row r="107" spans="2:71" x14ac:dyDescent="0.3">
      <c r="D107" s="1">
        <v>1000000</v>
      </c>
      <c r="AC107" s="1"/>
      <c r="AD107" s="1"/>
      <c r="AE107" s="1"/>
      <c r="AF107" s="1"/>
      <c r="AG107" s="1"/>
      <c r="AH107" s="1"/>
    </row>
    <row r="108" spans="2:71" x14ac:dyDescent="0.3">
      <c r="AC108" s="1"/>
      <c r="AD108" s="1"/>
      <c r="AE108" s="1"/>
      <c r="AF108" s="1"/>
      <c r="AG108" s="1"/>
      <c r="AH108" s="1"/>
    </row>
    <row r="109" spans="2:71" x14ac:dyDescent="0.3">
      <c r="D109" s="279">
        <f>+D106/D107</f>
        <v>4.8999999999999998E-3</v>
      </c>
      <c r="AC109" s="1"/>
      <c r="AD109" s="1"/>
      <c r="AE109" s="1"/>
      <c r="AF109" s="1"/>
      <c r="AG109" s="1"/>
      <c r="AH109" s="1"/>
    </row>
    <row r="110" spans="2:71" x14ac:dyDescent="0.3">
      <c r="AC110" s="1"/>
      <c r="AD110" s="1"/>
      <c r="AE110" s="1"/>
      <c r="AF110" s="1"/>
      <c r="AG110" s="1"/>
      <c r="AH110" s="1"/>
    </row>
    <row r="111" spans="2:71" x14ac:dyDescent="0.3">
      <c r="D111" s="475"/>
      <c r="AC111" s="1"/>
      <c r="AD111" s="1"/>
      <c r="AE111" s="1"/>
      <c r="AF111" s="1"/>
      <c r="AG111" s="1"/>
      <c r="AH111" s="1"/>
    </row>
    <row r="112" spans="2:71" x14ac:dyDescent="0.3">
      <c r="B112" s="474"/>
      <c r="AC112" s="1"/>
      <c r="AD112" s="1"/>
      <c r="AE112" s="1"/>
      <c r="AF112" s="1"/>
      <c r="AG112" s="1"/>
      <c r="AH112" s="1"/>
    </row>
    <row r="113" spans="4:86" x14ac:dyDescent="0.3">
      <c r="D113" s="474"/>
      <c r="AC113" s="1"/>
      <c r="AD113" s="1"/>
      <c r="AE113" s="1"/>
      <c r="AF113" s="1"/>
      <c r="AG113" s="1"/>
      <c r="AH113" s="1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1"/>
      <c r="BS113" s="1"/>
      <c r="BT113" s="1"/>
      <c r="BU113" s="1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</row>
    <row r="114" spans="4:86" x14ac:dyDescent="0.3">
      <c r="AC114" s="10"/>
      <c r="AD114" s="10"/>
      <c r="AE114" s="10"/>
      <c r="AF114" s="10"/>
      <c r="AG114" s="10"/>
      <c r="AH114" s="1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89"/>
      <c r="BW114" s="89"/>
      <c r="BX114" s="89"/>
      <c r="BY114" s="89"/>
      <c r="BZ114" s="121"/>
      <c r="CA114" s="1"/>
      <c r="CB114" s="1"/>
      <c r="CC114" s="1"/>
      <c r="CD114" s="1"/>
      <c r="CE114" s="1"/>
      <c r="CF114" s="1"/>
      <c r="CG114" s="1"/>
      <c r="CH114" s="1"/>
    </row>
    <row r="115" spans="4:86" x14ac:dyDescent="0.3">
      <c r="D115">
        <v>10</v>
      </c>
      <c r="AC115" s="10"/>
      <c r="AD115" s="10"/>
      <c r="AE115" s="10"/>
      <c r="AF115" s="10"/>
      <c r="AG115" s="10"/>
      <c r="AH115" s="10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89"/>
      <c r="BW115" s="89"/>
      <c r="BX115" s="89"/>
      <c r="BY115" s="89"/>
      <c r="BZ115" s="89"/>
      <c r="CA115" s="1"/>
      <c r="CB115" s="1"/>
      <c r="CC115" s="1"/>
      <c r="CD115" s="1"/>
      <c r="CE115" s="1"/>
      <c r="CF115" s="1"/>
      <c r="CG115" s="1"/>
      <c r="CH115" s="1"/>
    </row>
    <row r="116" spans="4:86" x14ac:dyDescent="0.3">
      <c r="D116" s="1">
        <v>1000000</v>
      </c>
      <c r="AC116" s="10"/>
      <c r="AD116" s="10"/>
      <c r="AE116" s="10"/>
      <c r="AF116" s="10"/>
      <c r="AG116" s="10"/>
      <c r="AH116" s="10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89"/>
      <c r="BW116" s="89"/>
      <c r="BX116" s="89"/>
      <c r="BY116" s="89"/>
      <c r="BZ116" s="89"/>
      <c r="CA116" s="1"/>
      <c r="CB116" s="1"/>
      <c r="CC116" s="1"/>
      <c r="CD116" s="1"/>
      <c r="CE116" s="1"/>
      <c r="CF116" s="1"/>
    </row>
    <row r="117" spans="4:86" x14ac:dyDescent="0.3">
      <c r="D117" s="57">
        <f>+D115/D116</f>
        <v>1.0000000000000001E-5</v>
      </c>
      <c r="AC117" s="10"/>
      <c r="AD117" s="10"/>
      <c r="AE117" s="10"/>
      <c r="AF117" s="10"/>
      <c r="AG117" s="10"/>
      <c r="AH117" s="10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89"/>
      <c r="BW117" s="89"/>
      <c r="BX117" s="89"/>
      <c r="BY117" s="89"/>
      <c r="BZ117" s="89"/>
      <c r="CA117" s="1"/>
      <c r="CB117" s="1"/>
      <c r="CC117" s="1"/>
      <c r="CD117" s="1"/>
      <c r="CE117" s="1"/>
      <c r="CF117" s="1"/>
    </row>
    <row r="118" spans="4:86" x14ac:dyDescent="0.3">
      <c r="AC118" s="10"/>
      <c r="AD118" s="10"/>
      <c r="AE118" s="10"/>
      <c r="AF118" s="10"/>
      <c r="AG118" s="10"/>
      <c r="AH118" s="10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89"/>
      <c r="BW118" s="89"/>
      <c r="BX118" s="122"/>
      <c r="BY118" s="89"/>
      <c r="BZ118" s="89"/>
    </row>
    <row r="119" spans="4:86" x14ac:dyDescent="0.3">
      <c r="D119" s="1">
        <v>330000000</v>
      </c>
      <c r="AC119" s="10"/>
      <c r="AD119" s="10"/>
      <c r="AE119" s="10"/>
      <c r="AF119" s="10"/>
      <c r="AG119" s="10"/>
      <c r="AH119" s="10"/>
      <c r="AI119" s="90"/>
      <c r="AJ119" s="90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90"/>
      <c r="BB119" s="90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89"/>
      <c r="BW119" s="89"/>
      <c r="BX119" s="89"/>
      <c r="BY119" s="89"/>
      <c r="BZ119" s="89"/>
    </row>
    <row r="120" spans="4:86" x14ac:dyDescent="0.3">
      <c r="AC120" s="10"/>
      <c r="AD120" s="10"/>
      <c r="AE120" s="10"/>
      <c r="AF120" s="10"/>
      <c r="AG120" s="10"/>
      <c r="AH120" s="10"/>
      <c r="AI120" s="90"/>
      <c r="AJ120" s="90"/>
      <c r="AK120" s="151"/>
      <c r="AL120" s="151"/>
      <c r="AM120" s="151"/>
      <c r="AN120" s="151"/>
      <c r="AO120" s="151"/>
      <c r="AP120" s="151"/>
      <c r="AQ120" s="151"/>
      <c r="AR120" s="90"/>
      <c r="AS120" s="90"/>
      <c r="AT120" s="90"/>
      <c r="AU120" s="110"/>
      <c r="AV120" s="110"/>
      <c r="AW120" s="110"/>
      <c r="AX120" s="110"/>
      <c r="AY120" s="90"/>
      <c r="AZ120" s="90"/>
      <c r="BA120" s="110"/>
      <c r="BB120" s="90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89"/>
      <c r="BW120" s="89"/>
      <c r="BX120" s="89"/>
      <c r="BY120" s="89"/>
      <c r="BZ120" s="89"/>
    </row>
    <row r="121" spans="4:86" x14ac:dyDescent="0.3">
      <c r="D121" s="472">
        <f>+H72/D119</f>
        <v>4.9118121212121208E-3</v>
      </c>
      <c r="AC121" s="10"/>
      <c r="AD121" s="10"/>
      <c r="AE121" s="10"/>
      <c r="AF121" s="10"/>
      <c r="AG121" s="10"/>
      <c r="AH121" s="10"/>
      <c r="AI121" s="90"/>
      <c r="AJ121" s="90"/>
      <c r="AK121" s="151"/>
      <c r="AL121" s="151"/>
      <c r="AM121" s="151"/>
      <c r="AN121" s="151"/>
      <c r="AO121" s="151"/>
      <c r="AP121" s="151"/>
      <c r="AQ121" s="151"/>
      <c r="AR121" s="151"/>
      <c r="AS121" s="110"/>
      <c r="AT121" s="90"/>
      <c r="AU121" s="110"/>
      <c r="AV121" s="110"/>
      <c r="AW121" s="110"/>
      <c r="AX121" s="110"/>
      <c r="AY121" s="90"/>
      <c r="AZ121" s="90"/>
      <c r="BA121" s="110"/>
      <c r="BB121" s="90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89"/>
      <c r="BW121" s="89"/>
      <c r="BX121" s="89"/>
      <c r="BY121" s="89"/>
      <c r="BZ121" s="89"/>
    </row>
    <row r="122" spans="4:86" x14ac:dyDescent="0.3">
      <c r="D122">
        <v>150000</v>
      </c>
      <c r="AC122" s="10"/>
      <c r="AD122" s="10"/>
      <c r="AE122" s="10"/>
      <c r="AF122" s="10"/>
      <c r="AG122" s="10"/>
      <c r="AH122" s="10"/>
      <c r="AI122" s="90"/>
      <c r="AJ122" s="90"/>
      <c r="AK122" s="90"/>
      <c r="AL122" s="90"/>
      <c r="AM122" s="152"/>
      <c r="AN122" s="152"/>
      <c r="AO122" s="152"/>
      <c r="AP122" s="152"/>
      <c r="AQ122" s="152"/>
      <c r="AR122" s="90"/>
      <c r="AS122" s="90"/>
      <c r="AT122" s="90"/>
      <c r="AU122" s="110"/>
      <c r="AV122" s="110"/>
      <c r="AW122" s="110"/>
      <c r="AX122" s="110"/>
      <c r="AY122" s="90"/>
      <c r="AZ122" s="90"/>
      <c r="BA122" s="110"/>
      <c r="BB122" s="90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89"/>
      <c r="BW122" s="89"/>
      <c r="BX122" s="89"/>
      <c r="BY122" s="89"/>
      <c r="BZ122" s="89"/>
    </row>
    <row r="123" spans="4:86" x14ac:dyDescent="0.3">
      <c r="D123" s="279">
        <f>+D122/D119</f>
        <v>4.5454545454545455E-4</v>
      </c>
      <c r="AC123" s="10"/>
      <c r="AD123" s="10"/>
      <c r="AE123" s="10"/>
      <c r="AF123" s="10"/>
      <c r="AG123" s="10"/>
      <c r="AH123" s="10"/>
      <c r="AI123" s="90"/>
      <c r="AJ123" s="90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10"/>
      <c r="AV123" s="110"/>
      <c r="AW123" s="110"/>
      <c r="AX123" s="110"/>
      <c r="AY123" s="90"/>
      <c r="AZ123" s="90"/>
      <c r="BA123" s="110"/>
      <c r="BB123" s="9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</row>
    <row r="124" spans="4:86" x14ac:dyDescent="0.3">
      <c r="D124">
        <v>28.59</v>
      </c>
      <c r="AC124" s="10"/>
      <c r="AD124" s="10"/>
      <c r="AE124" s="10"/>
      <c r="AF124" s="10"/>
      <c r="AG124" s="10"/>
      <c r="AH124" s="10"/>
      <c r="AI124" s="90"/>
      <c r="AJ124" s="90"/>
      <c r="AK124" s="90"/>
      <c r="AL124" s="90"/>
      <c r="AM124" s="152"/>
      <c r="AN124" s="152"/>
      <c r="AO124" s="152"/>
      <c r="AP124" s="152"/>
      <c r="AQ124" s="152"/>
      <c r="AR124" s="152"/>
      <c r="AS124" s="152"/>
      <c r="AT124" s="90"/>
      <c r="AU124" s="110"/>
      <c r="AV124" s="110"/>
      <c r="AW124" s="110"/>
      <c r="AX124" s="110"/>
      <c r="AY124" s="90"/>
      <c r="AZ124" s="90"/>
      <c r="BA124" s="110"/>
      <c r="BB124" s="9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</row>
    <row r="125" spans="4:86" x14ac:dyDescent="0.3">
      <c r="AC125" s="10"/>
      <c r="AD125" s="10"/>
      <c r="AE125" s="10"/>
      <c r="AF125" s="10"/>
      <c r="AG125" s="10"/>
      <c r="AH125" s="10"/>
      <c r="AI125" s="90"/>
      <c r="AJ125" s="90"/>
      <c r="AK125" s="90"/>
      <c r="AL125" s="90"/>
      <c r="AM125" s="152"/>
      <c r="AN125" s="152"/>
      <c r="AO125" s="152"/>
      <c r="AP125" s="152"/>
      <c r="AQ125" s="152"/>
      <c r="AR125" s="152"/>
      <c r="AS125" s="152"/>
      <c r="AT125" s="90"/>
      <c r="AU125" s="110"/>
      <c r="AV125" s="110"/>
      <c r="AW125" s="110"/>
      <c r="AX125" s="110"/>
      <c r="AY125" s="90"/>
      <c r="AZ125" s="90"/>
      <c r="BA125" s="110"/>
      <c r="BB125" s="90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</row>
    <row r="126" spans="4:86" x14ac:dyDescent="0.3">
      <c r="D126">
        <f>+D119/100000</f>
        <v>3300</v>
      </c>
      <c r="AC126" s="10"/>
      <c r="AD126" s="10"/>
      <c r="AE126" s="10"/>
      <c r="AF126" s="10"/>
      <c r="AG126" s="10"/>
      <c r="AH126" s="10"/>
      <c r="AI126" s="90"/>
      <c r="AJ126" s="90"/>
      <c r="AK126" s="90"/>
      <c r="AL126" s="90"/>
      <c r="AM126" s="152"/>
      <c r="AN126" s="152"/>
      <c r="AO126" s="152"/>
      <c r="AP126" s="152"/>
      <c r="AQ126" s="152"/>
      <c r="AR126" s="152"/>
      <c r="AS126" s="152"/>
      <c r="AT126" s="90"/>
      <c r="AU126" s="110"/>
      <c r="AV126" s="110"/>
      <c r="AW126" s="110"/>
      <c r="AX126" s="110"/>
      <c r="AY126" s="90"/>
      <c r="AZ126" s="90"/>
      <c r="BA126" s="110"/>
      <c r="BB126" s="90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</row>
    <row r="127" spans="4:86" x14ac:dyDescent="0.3">
      <c r="D127">
        <f>+D126*D124</f>
        <v>94347</v>
      </c>
      <c r="AC127" s="10"/>
      <c r="AD127" s="10"/>
      <c r="AE127" s="10"/>
      <c r="AF127" s="10"/>
      <c r="AG127" s="10"/>
      <c r="AH127" s="10"/>
      <c r="AI127" s="90"/>
      <c r="AJ127" s="90"/>
      <c r="AK127" s="90"/>
      <c r="AL127" s="90"/>
      <c r="AM127" s="152"/>
      <c r="AN127" s="152"/>
      <c r="AO127" s="152"/>
      <c r="AP127" s="152"/>
      <c r="AQ127" s="152"/>
      <c r="AR127" s="152"/>
      <c r="AS127" s="152"/>
      <c r="AT127" s="90"/>
      <c r="AU127" s="110"/>
      <c r="AV127" s="110"/>
      <c r="AW127" s="110"/>
      <c r="AX127" s="110"/>
      <c r="AY127" s="90"/>
      <c r="AZ127" s="90"/>
      <c r="BA127" s="110"/>
      <c r="BB127" s="90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</row>
    <row r="128" spans="4:86" x14ac:dyDescent="0.3">
      <c r="AC128" s="10"/>
      <c r="AD128" s="10"/>
      <c r="AE128" s="10"/>
      <c r="AF128" s="10"/>
      <c r="AG128" s="10"/>
      <c r="AH128" s="10"/>
      <c r="AI128" s="90"/>
      <c r="AJ128" s="90"/>
      <c r="AK128" s="90"/>
      <c r="AL128" s="90"/>
      <c r="AM128" s="152"/>
      <c r="AN128" s="152"/>
      <c r="AO128" s="152"/>
      <c r="AP128" s="152"/>
      <c r="AQ128" s="152"/>
      <c r="AR128" s="152"/>
      <c r="AS128" s="152"/>
      <c r="AT128" s="90"/>
      <c r="AU128" s="110"/>
      <c r="AV128" s="110"/>
      <c r="AW128" s="110"/>
      <c r="AX128" s="110"/>
      <c r="AY128" s="90"/>
      <c r="AZ128" s="90"/>
      <c r="BA128" s="110"/>
      <c r="BB128" s="90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</row>
    <row r="129" spans="2:78" x14ac:dyDescent="0.3">
      <c r="AC129" s="10"/>
      <c r="AD129" s="10"/>
      <c r="AE129" s="10"/>
      <c r="AF129" s="10"/>
      <c r="AG129" s="10"/>
      <c r="AH129" s="10"/>
      <c r="AI129" s="90"/>
      <c r="AJ129" s="90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90"/>
      <c r="AV129" s="90"/>
      <c r="AW129" s="90"/>
      <c r="AX129" s="90"/>
      <c r="AY129" s="90"/>
      <c r="AZ129" s="110"/>
      <c r="BA129" s="110"/>
      <c r="BB129" s="90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</row>
    <row r="130" spans="2:78" x14ac:dyDescent="0.3">
      <c r="AC130" s="10"/>
      <c r="AD130" s="10"/>
      <c r="AE130" s="10"/>
      <c r="AF130" s="10"/>
      <c r="AG130" s="10"/>
      <c r="AH130" s="10"/>
      <c r="AI130" s="90"/>
      <c r="AJ130" s="90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90"/>
      <c r="AZ130" s="90"/>
      <c r="BA130" s="110"/>
      <c r="BB130" s="90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pans="2:78" x14ac:dyDescent="0.3"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90"/>
      <c r="AT131" s="110"/>
      <c r="AU131" s="153"/>
      <c r="AV131" s="153"/>
      <c r="AW131" s="153"/>
      <c r="AX131" s="153"/>
      <c r="AY131" s="110"/>
      <c r="AZ131" s="110"/>
      <c r="BA131" s="110"/>
      <c r="BB131" s="110"/>
    </row>
    <row r="132" spans="2:78" x14ac:dyDescent="0.3">
      <c r="B132" s="125"/>
      <c r="D132" s="55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90"/>
      <c r="AV132" s="90"/>
      <c r="AW132" s="90"/>
      <c r="AX132" s="90"/>
      <c r="AY132" s="110"/>
      <c r="AZ132" s="154"/>
      <c r="BA132" s="110"/>
      <c r="BB132" s="110"/>
    </row>
    <row r="133" spans="2:78" x14ac:dyDescent="0.3">
      <c r="B133" s="1"/>
      <c r="D133" s="55"/>
      <c r="W133" s="61"/>
      <c r="X133" s="61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</row>
    <row r="134" spans="2:78" x14ac:dyDescent="0.3">
      <c r="B134" s="1"/>
      <c r="D134" s="55"/>
      <c r="W134" s="61"/>
      <c r="X134" s="61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</row>
    <row r="135" spans="2:78" x14ac:dyDescent="0.3">
      <c r="B135" s="1"/>
      <c r="D135" s="55"/>
      <c r="W135" s="61"/>
      <c r="X135" s="61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</row>
    <row r="136" spans="2:78" x14ac:dyDescent="0.3">
      <c r="B136" s="1"/>
      <c r="D136" s="55"/>
      <c r="W136" s="61"/>
      <c r="X136" s="61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</row>
    <row r="137" spans="2:78" x14ac:dyDescent="0.3">
      <c r="B137" s="55"/>
      <c r="D137" s="55"/>
      <c r="W137" s="61"/>
      <c r="X137" s="61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</row>
    <row r="138" spans="2:78" x14ac:dyDescent="0.3">
      <c r="B138" s="57"/>
      <c r="D138" s="55"/>
      <c r="W138" s="61"/>
      <c r="X138" s="61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</row>
    <row r="139" spans="2:78" x14ac:dyDescent="0.3">
      <c r="B139" s="1"/>
      <c r="D139" s="55"/>
      <c r="W139" s="61"/>
      <c r="X139" s="61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</row>
    <row r="140" spans="2:78" x14ac:dyDescent="0.3">
      <c r="B140" s="1"/>
      <c r="D140" s="55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</row>
    <row r="141" spans="2:78" x14ac:dyDescent="0.3">
      <c r="B141" s="1"/>
      <c r="D141" s="55"/>
    </row>
    <row r="142" spans="2:78" x14ac:dyDescent="0.3">
      <c r="B142" s="1"/>
      <c r="D142" s="55"/>
    </row>
    <row r="143" spans="2:78" x14ac:dyDescent="0.3">
      <c r="B143" s="57" t="e">
        <f>+B142/B141</f>
        <v>#DIV/0!</v>
      </c>
      <c r="D143" s="55"/>
    </row>
    <row r="144" spans="2:78" x14ac:dyDescent="0.3">
      <c r="B144" s="1"/>
      <c r="D144" s="55"/>
    </row>
    <row r="145" spans="2:4" x14ac:dyDescent="0.3">
      <c r="B145" s="1"/>
      <c r="D145" s="55"/>
    </row>
    <row r="146" spans="2:4" x14ac:dyDescent="0.3">
      <c r="B146" s="1">
        <f>+B142*50</f>
        <v>0</v>
      </c>
      <c r="D146" s="55"/>
    </row>
    <row r="147" spans="2:4" x14ac:dyDescent="0.3">
      <c r="B147" s="1"/>
      <c r="D147" s="55"/>
    </row>
    <row r="148" spans="2:4" x14ac:dyDescent="0.3">
      <c r="B148" s="1"/>
      <c r="D148" s="55"/>
    </row>
    <row r="149" spans="2:4" x14ac:dyDescent="0.3">
      <c r="B149" s="1"/>
      <c r="D149" s="55"/>
    </row>
    <row r="150" spans="2:4" x14ac:dyDescent="0.3">
      <c r="B150" s="1"/>
      <c r="D150" s="55"/>
    </row>
    <row r="151" spans="2:4" x14ac:dyDescent="0.3">
      <c r="B151" s="1"/>
      <c r="D151" s="55"/>
    </row>
    <row r="152" spans="2:4" x14ac:dyDescent="0.3">
      <c r="B152" s="1"/>
      <c r="D152" s="55"/>
    </row>
    <row r="153" spans="2:4" x14ac:dyDescent="0.3">
      <c r="B153" s="1"/>
      <c r="D153" s="55"/>
    </row>
    <row r="154" spans="2:4" x14ac:dyDescent="0.3">
      <c r="B154" s="1"/>
      <c r="D154" s="55"/>
    </row>
    <row r="155" spans="2:4" x14ac:dyDescent="0.3">
      <c r="B155" s="1"/>
      <c r="D155" s="55"/>
    </row>
    <row r="156" spans="2:4" x14ac:dyDescent="0.3">
      <c r="B156" s="1"/>
    </row>
    <row r="157" spans="2:4" x14ac:dyDescent="0.3">
      <c r="B157" s="1"/>
    </row>
    <row r="158" spans="2:4" x14ac:dyDescent="0.3">
      <c r="B158" s="1"/>
    </row>
    <row r="159" spans="2:4" x14ac:dyDescent="0.3">
      <c r="B159" s="1"/>
    </row>
    <row r="160" spans="2:4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06"/>
  <sheetViews>
    <sheetView topLeftCell="A65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14" t="s">
        <v>7</v>
      </c>
      <c r="F7" s="515"/>
      <c r="G7" s="519">
        <v>0.7</v>
      </c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20"/>
    </row>
    <row r="8" spans="3:40" x14ac:dyDescent="0.3">
      <c r="E8" s="516" t="s">
        <v>125</v>
      </c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8"/>
    </row>
    <row r="9" spans="3:40" x14ac:dyDescent="0.3">
      <c r="E9" s="534" t="s">
        <v>37</v>
      </c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6"/>
      <c r="Q9" s="532" t="s">
        <v>118</v>
      </c>
      <c r="R9" s="5"/>
      <c r="S9" s="529" t="s">
        <v>4</v>
      </c>
      <c r="T9" s="530"/>
      <c r="U9" s="531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33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92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92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26" t="s">
        <v>48</v>
      </c>
      <c r="AE14" s="527"/>
      <c r="AF14" s="528"/>
      <c r="AG14" s="208"/>
      <c r="AH14" s="524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25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+K94</f>
        <v>583004</v>
      </c>
      <c r="AG16" s="202"/>
      <c r="AH16" s="216">
        <f>+AJ31</f>
        <v>1808.7557484995048</v>
      </c>
      <c r="AI16" s="216"/>
      <c r="AJ16" s="217">
        <f>+S94</f>
        <v>46323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103436</v>
      </c>
      <c r="AG17" s="203"/>
      <c r="AH17" s="164">
        <v>1501</v>
      </c>
      <c r="AI17" s="216"/>
      <c r="AJ17" s="163">
        <v>7316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79908</v>
      </c>
      <c r="AG18" s="203"/>
      <c r="AH18" s="164">
        <v>624</v>
      </c>
      <c r="AI18" s="216"/>
      <c r="AJ18" s="163">
        <v>5943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766348</v>
      </c>
      <c r="AG19" s="203"/>
      <c r="AH19" s="203"/>
      <c r="AI19" s="203"/>
      <c r="AJ19" s="221">
        <f>SUM(AJ16:AJ18)</f>
        <v>59582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Table'!H94</f>
        <v>0.38488655271631123</v>
      </c>
      <c r="AG21" s="203"/>
      <c r="AH21" s="203"/>
      <c r="AI21" s="203"/>
      <c r="AJ21" s="223">
        <f>+AJ19/'Main Table'!Z94</f>
        <v>0.53090610993789378</v>
      </c>
      <c r="AK21" s="220"/>
      <c r="AL21" s="110"/>
      <c r="AM21" s="96">
        <f>1-AJ21</f>
        <v>0.46909389006210622</v>
      </c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>
        <f>+'Main Table'!Z82</f>
        <v>106195</v>
      </c>
      <c r="AN23" s="90">
        <f>+AM23*AJ21</f>
        <v>56379.574344854627</v>
      </c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>
        <f>0.42*AM21*AM23</f>
        <v>20922.478775161057</v>
      </c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26" t="s">
        <v>57</v>
      </c>
      <c r="AB25" s="527"/>
      <c r="AC25" s="527"/>
      <c r="AD25" s="527"/>
      <c r="AE25" s="527"/>
      <c r="AF25" s="527"/>
      <c r="AG25" s="527"/>
      <c r="AH25" s="527"/>
      <c r="AI25" s="527"/>
      <c r="AJ25" s="527"/>
      <c r="AK25" s="528"/>
      <c r="AL25" s="155"/>
      <c r="AM25" s="155"/>
      <c r="AN25" s="90">
        <f>+AN23+AN24</f>
        <v>77302.053120015684</v>
      </c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6">
        <f>+AN25/AM23</f>
        <v>0.72792554376397833</v>
      </c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+E94</f>
        <v>376208</v>
      </c>
      <c r="AE27" s="170"/>
      <c r="AF27" s="201">
        <v>1944</v>
      </c>
      <c r="AG27" s="170"/>
      <c r="AH27" s="192">
        <f>+AD27/AD$31</f>
        <v>0.54805664005594079</v>
      </c>
      <c r="AI27" s="192"/>
      <c r="AJ27" s="170">
        <f>+AF27*AH27</f>
        <v>1065.4221082687488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+G94</f>
        <v>163336</v>
      </c>
      <c r="AE28" s="170"/>
      <c r="AF28" s="201">
        <v>1848</v>
      </c>
      <c r="AG28" s="170"/>
      <c r="AH28" s="192">
        <f>+AD28/AD$31</f>
        <v>0.23794650661383368</v>
      </c>
      <c r="AI28" s="192"/>
      <c r="AJ28" s="170">
        <f>+AF28*AH28</f>
        <v>439.72514422236463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+I94</f>
        <v>43460</v>
      </c>
      <c r="AE29" s="170"/>
      <c r="AF29" s="201">
        <v>1223</v>
      </c>
      <c r="AG29" s="170"/>
      <c r="AH29" s="192">
        <f>+AD29/AD$31</f>
        <v>6.3312161295961775E-2</v>
      </c>
      <c r="AI29" s="192"/>
      <c r="AJ29" s="170">
        <f>+AF29*AH29</f>
        <v>77.430773264961246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103436</v>
      </c>
      <c r="AE30" s="282"/>
      <c r="AF30" s="170">
        <f>+AH17</f>
        <v>1501</v>
      </c>
      <c r="AG30" s="282"/>
      <c r="AH30" s="192">
        <f>+AD30/AD$31</f>
        <v>0.15068469203426374</v>
      </c>
      <c r="AI30" s="282"/>
      <c r="AJ30" s="170">
        <f>+AF30*AH30</f>
        <v>226.17772274342988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686440</v>
      </c>
      <c r="AE31" s="170"/>
      <c r="AF31" s="170"/>
      <c r="AG31" s="170"/>
      <c r="AH31" s="195">
        <f>SUM(AH27:AH30)</f>
        <v>0.99999999999999989</v>
      </c>
      <c r="AI31" s="192"/>
      <c r="AJ31" s="194">
        <f>SUM(AJ27:AJ30)</f>
        <v>1808.7557484995048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21" t="s">
        <v>31</v>
      </c>
      <c r="AB36" s="522"/>
      <c r="AC36" s="522"/>
      <c r="AD36" s="522"/>
      <c r="AE36" s="522"/>
      <c r="AF36" s="522"/>
      <c r="AG36" s="522"/>
      <c r="AH36" s="522"/>
      <c r="AI36" s="523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478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ref="K76" si="49">SUM(E76:I76)</f>
        <v>556137</v>
      </c>
      <c r="L76" s="6"/>
      <c r="M76" s="29">
        <f t="shared" ref="M76" si="50">+(K76-K75)/K75</f>
        <v>6.2076402282587846E-3</v>
      </c>
      <c r="N76" s="29"/>
      <c r="O76" s="29"/>
      <c r="P76" s="29"/>
      <c r="Q76" s="378">
        <f t="shared" ref="Q76" si="51">+K76-K75</f>
        <v>3431</v>
      </c>
      <c r="R76" s="6"/>
      <c r="S76" s="7">
        <f>29141+11138+3696</f>
        <v>43975</v>
      </c>
      <c r="T76" s="6"/>
      <c r="U76" s="288">
        <f t="shared" ref="U76" si="52">+S76/K76</f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ref="K77" si="53">SUM(E77:I77)</f>
        <v>558729</v>
      </c>
      <c r="L77" s="6"/>
      <c r="M77" s="29">
        <f t="shared" ref="M77" si="54">+(K77-K76)/K76</f>
        <v>4.6607220882624242E-3</v>
      </c>
      <c r="N77" s="29"/>
      <c r="O77" s="29"/>
      <c r="P77" s="29"/>
      <c r="Q77" s="378">
        <f t="shared" ref="Q77" si="55">+K77-K76</f>
        <v>2592</v>
      </c>
      <c r="R77" s="6"/>
      <c r="S77" s="7">
        <f>29229+11147+3742</f>
        <v>44118</v>
      </c>
      <c r="T77" s="6"/>
      <c r="U77" s="288">
        <f t="shared" ref="U77" si="56">+S77/K77</f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ref="K78" si="57">SUM(E78:I78)</f>
        <v>560903</v>
      </c>
      <c r="L78" s="6"/>
      <c r="M78" s="29">
        <f t="shared" ref="M78" si="58">+(K78-K77)/K77</f>
        <v>3.8909739784403529E-3</v>
      </c>
      <c r="N78" s="29"/>
      <c r="O78" s="29"/>
      <c r="P78" s="29"/>
      <c r="Q78" s="378">
        <f t="shared" ref="Q78" si="59">+K78-K77</f>
        <v>2174</v>
      </c>
      <c r="R78" s="6"/>
      <c r="S78" s="7">
        <f>29302+11194+3769</f>
        <v>44265</v>
      </c>
      <c r="T78" s="6"/>
      <c r="U78" s="288">
        <f t="shared" ref="U78" si="60">+S78/K78</f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>
        <v>364965</v>
      </c>
      <c r="F79" s="7"/>
      <c r="G79" s="7">
        <v>156628</v>
      </c>
      <c r="H79" s="7"/>
      <c r="I79" s="7">
        <v>41288</v>
      </c>
      <c r="J79" s="289"/>
      <c r="K79" s="7">
        <f t="shared" ref="K79" si="61">SUM(E79:I79)</f>
        <v>562881</v>
      </c>
      <c r="L79" s="6"/>
      <c r="M79" s="29">
        <f t="shared" ref="M79" si="62">+(K79-K78)/K78</f>
        <v>3.5264564461234831E-3</v>
      </c>
      <c r="N79" s="29"/>
      <c r="O79" s="29"/>
      <c r="P79" s="29"/>
      <c r="Q79" s="378">
        <f t="shared" ref="Q79" si="63">+K79-K78</f>
        <v>1978</v>
      </c>
      <c r="R79" s="6"/>
      <c r="S79" s="7">
        <f>29484+11339+3803</f>
        <v>44626</v>
      </c>
      <c r="T79" s="6"/>
      <c r="U79" s="288">
        <f t="shared" ref="U79" si="64">+S79/K79</f>
        <v>7.9281411168612897E-2</v>
      </c>
      <c r="W79">
        <f t="shared" si="0"/>
        <v>69</v>
      </c>
    </row>
    <row r="80" spans="3:23" x14ac:dyDescent="0.3">
      <c r="C80" s="172">
        <f t="shared" si="1"/>
        <v>43979</v>
      </c>
      <c r="E80" s="286">
        <v>366733</v>
      </c>
      <c r="F80" s="7"/>
      <c r="G80" s="7">
        <v>157185</v>
      </c>
      <c r="H80" s="7"/>
      <c r="I80" s="7">
        <v>41559</v>
      </c>
      <c r="J80" s="289"/>
      <c r="K80" s="7">
        <f t="shared" ref="K80" si="65">SUM(E80:I80)</f>
        <v>565477</v>
      </c>
      <c r="L80" s="6"/>
      <c r="M80" s="29">
        <f t="shared" ref="M80:M81" si="66">+(K80-K79)/K79</f>
        <v>4.6119872584080828E-3</v>
      </c>
      <c r="N80" s="29"/>
      <c r="O80" s="29"/>
      <c r="P80" s="29"/>
      <c r="Q80" s="378">
        <f t="shared" ref="Q80:Q81" si="67">+K80-K79</f>
        <v>2596</v>
      </c>
      <c r="R80" s="6"/>
      <c r="S80" s="7">
        <f>29484+11339+3803</f>
        <v>44626</v>
      </c>
      <c r="T80" s="6"/>
      <c r="U80" s="288">
        <f t="shared" ref="U80:U81" si="68">+S80/K80</f>
        <v>7.8917444918184115E-2</v>
      </c>
      <c r="W80">
        <f t="shared" si="0"/>
        <v>70</v>
      </c>
    </row>
    <row r="81" spans="3:25" x14ac:dyDescent="0.3">
      <c r="C81" s="172">
        <f t="shared" si="1"/>
        <v>43980</v>
      </c>
      <c r="E81" s="286">
        <v>368284</v>
      </c>
      <c r="F81" s="7"/>
      <c r="G81" s="7">
        <v>158844</v>
      </c>
      <c r="H81" s="7"/>
      <c r="I81" s="7">
        <v>41762</v>
      </c>
      <c r="J81" s="289"/>
      <c r="K81" s="7">
        <f t="shared" ref="K81" si="69">SUM(E81:I81)</f>
        <v>568890</v>
      </c>
      <c r="L81" s="6"/>
      <c r="M81" s="29">
        <f t="shared" si="66"/>
        <v>6.035612412175915E-3</v>
      </c>
      <c r="N81" s="29"/>
      <c r="O81" s="29"/>
      <c r="P81" s="29"/>
      <c r="Q81" s="378">
        <f t="shared" si="67"/>
        <v>3413</v>
      </c>
      <c r="R81" s="6"/>
      <c r="S81" s="7">
        <f>29646+11531+3868</f>
        <v>45045</v>
      </c>
      <c r="T81" s="6"/>
      <c r="U81" s="288">
        <f t="shared" si="68"/>
        <v>7.9180509413067549E-2</v>
      </c>
      <c r="W81">
        <f t="shared" si="0"/>
        <v>71</v>
      </c>
    </row>
    <row r="82" spans="3:25" x14ac:dyDescent="0.3">
      <c r="C82" s="172">
        <f t="shared" si="1"/>
        <v>43981</v>
      </c>
      <c r="E82" s="286">
        <v>369660</v>
      </c>
      <c r="F82" s="7"/>
      <c r="G82" s="7">
        <v>159608</v>
      </c>
      <c r="H82" s="7"/>
      <c r="I82" s="7">
        <v>42022</v>
      </c>
      <c r="J82" s="289"/>
      <c r="K82" s="7">
        <f t="shared" ref="K82" si="70">SUM(E82:I82)</f>
        <v>571290</v>
      </c>
      <c r="L82" s="6"/>
      <c r="M82" s="29">
        <f t="shared" ref="M82" si="71">+(K82-K81)/K81</f>
        <v>4.2187417602699995E-3</v>
      </c>
      <c r="N82" s="29"/>
      <c r="O82" s="29"/>
      <c r="P82" s="29"/>
      <c r="Q82" s="378">
        <f t="shared" ref="Q82" si="72">+K82-K81</f>
        <v>2400</v>
      </c>
      <c r="R82" s="6"/>
      <c r="S82" s="7">
        <f>29646+11531+3868</f>
        <v>45045</v>
      </c>
      <c r="T82" s="6"/>
      <c r="U82" s="288">
        <f t="shared" ref="U82" si="73">+S82/K82</f>
        <v>7.8847870608622597E-2</v>
      </c>
      <c r="W82">
        <f t="shared" si="0"/>
        <v>72</v>
      </c>
    </row>
    <row r="83" spans="3:25" x14ac:dyDescent="0.3">
      <c r="C83" s="172">
        <f t="shared" si="1"/>
        <v>43982</v>
      </c>
      <c r="E83" s="286">
        <v>370770</v>
      </c>
      <c r="F83" s="7"/>
      <c r="G83" s="7">
        <v>160445</v>
      </c>
      <c r="H83" s="7"/>
      <c r="I83" s="7">
        <v>42201</v>
      </c>
      <c r="J83" s="289"/>
      <c r="K83" s="7">
        <f t="shared" ref="K83" si="74">SUM(E83:I83)</f>
        <v>573416</v>
      </c>
      <c r="L83" s="6"/>
      <c r="M83" s="29">
        <f t="shared" ref="M83" si="75">+(K83-K82)/K82</f>
        <v>3.7214024400917221E-3</v>
      </c>
      <c r="N83" s="29"/>
      <c r="O83" s="29"/>
      <c r="P83" s="29"/>
      <c r="Q83" s="378">
        <f t="shared" ref="Q83" si="76">+K83-K82</f>
        <v>2126</v>
      </c>
      <c r="R83" s="6"/>
      <c r="S83" s="7">
        <f>29784+11698+3944</f>
        <v>45426</v>
      </c>
      <c r="T83" s="6"/>
      <c r="U83" s="288">
        <f t="shared" ref="U83" si="77">+S83/K83</f>
        <v>7.9219972934135074E-2</v>
      </c>
      <c r="W83">
        <f t="shared" si="0"/>
        <v>73</v>
      </c>
    </row>
    <row r="84" spans="3:25" x14ac:dyDescent="0.3">
      <c r="C84" s="172">
        <f t="shared" si="1"/>
        <v>43983</v>
      </c>
      <c r="E84" s="286">
        <v>371711</v>
      </c>
      <c r="F84" s="7"/>
      <c r="G84" s="7">
        <v>160918</v>
      </c>
      <c r="H84" s="7"/>
      <c r="I84" s="7">
        <v>42201</v>
      </c>
      <c r="J84" s="289"/>
      <c r="K84" s="7">
        <f t="shared" ref="K84" si="78">SUM(E84:I84)</f>
        <v>574830</v>
      </c>
      <c r="L84" s="6"/>
      <c r="M84" s="29">
        <f t="shared" ref="M84" si="79">+(K84-K83)/K83</f>
        <v>2.4659235180043808E-3</v>
      </c>
      <c r="N84" s="29"/>
      <c r="O84" s="29"/>
      <c r="P84" s="29"/>
      <c r="Q84" s="378">
        <f t="shared" ref="Q84" si="80">+K84-K83</f>
        <v>1414</v>
      </c>
      <c r="R84" s="6"/>
      <c r="S84" s="7">
        <f>29833+11723+3971</f>
        <v>45527</v>
      </c>
      <c r="T84" s="6"/>
      <c r="U84" s="288">
        <f t="shared" ref="U84" si="81">+S84/K84</f>
        <v>7.9200807195170753E-2</v>
      </c>
      <c r="W84">
        <f t="shared" si="0"/>
        <v>74</v>
      </c>
    </row>
    <row r="85" spans="3:25" x14ac:dyDescent="0.3">
      <c r="C85" s="172">
        <f t="shared" si="1"/>
        <v>43984</v>
      </c>
      <c r="E85" s="286">
        <v>373040</v>
      </c>
      <c r="F85" s="7"/>
      <c r="G85" s="7">
        <v>161545</v>
      </c>
      <c r="H85" s="7"/>
      <c r="I85" s="7">
        <v>42979</v>
      </c>
      <c r="J85" s="289"/>
      <c r="K85" s="7">
        <f t="shared" ref="K85" si="82">SUM(E85:I85)</f>
        <v>577564</v>
      </c>
      <c r="L85" s="6"/>
      <c r="M85" s="29">
        <f t="shared" ref="M85" si="83">+(K85-K84)/K84</f>
        <v>4.7561887862498479E-3</v>
      </c>
      <c r="N85" s="29"/>
      <c r="O85" s="29"/>
      <c r="P85" s="29"/>
      <c r="Q85" s="378">
        <f t="shared" ref="Q85" si="84">+K85-K84</f>
        <v>2734</v>
      </c>
      <c r="R85" s="6"/>
      <c r="S85" s="7">
        <f>29968+11771+3972</f>
        <v>45711</v>
      </c>
      <c r="T85" s="6"/>
      <c r="U85" s="288">
        <f t="shared" ref="U85" si="85">+S85/K85</f>
        <v>7.9144475763724881E-2</v>
      </c>
      <c r="W85">
        <f t="shared" si="0"/>
        <v>75</v>
      </c>
    </row>
    <row r="86" spans="3:25" x14ac:dyDescent="0.3">
      <c r="C86" s="172">
        <f t="shared" si="1"/>
        <v>43985</v>
      </c>
      <c r="E86" s="286">
        <v>374085</v>
      </c>
      <c r="F86" s="7"/>
      <c r="G86" s="7">
        <v>162068</v>
      </c>
      <c r="H86" s="7"/>
      <c r="I86" s="7">
        <v>43091</v>
      </c>
      <c r="J86" s="289"/>
      <c r="K86" s="7">
        <f t="shared" ref="K86:K87" si="86">SUM(E86:I86)</f>
        <v>579244</v>
      </c>
      <c r="L86" s="6"/>
      <c r="M86" s="29">
        <f t="shared" ref="M86" si="87">+(K86-K85)/K85</f>
        <v>2.9087685520565688E-3</v>
      </c>
      <c r="N86" s="29"/>
      <c r="O86" s="29"/>
      <c r="P86" s="29"/>
      <c r="Q86" s="378">
        <f t="shared" ref="Q86" si="88">+K86-K85</f>
        <v>1680</v>
      </c>
      <c r="R86" s="6"/>
      <c r="S86" s="7">
        <f>30019+11880+3989</f>
        <v>45888</v>
      </c>
      <c r="T86" s="6"/>
      <c r="U86" s="288">
        <f t="shared" ref="U86" si="89">+S86/K86</f>
        <v>7.9220501205018959E-2</v>
      </c>
      <c r="W86">
        <f t="shared" si="0"/>
        <v>76</v>
      </c>
    </row>
    <row r="87" spans="3:25" x14ac:dyDescent="0.3">
      <c r="C87" s="172">
        <f t="shared" si="1"/>
        <v>43986</v>
      </c>
      <c r="E87" s="286">
        <v>375133</v>
      </c>
      <c r="F87" s="7"/>
      <c r="G87" s="7">
        <v>162530</v>
      </c>
      <c r="H87" s="7"/>
      <c r="I87" s="7">
        <v>43239</v>
      </c>
      <c r="J87" s="289"/>
      <c r="K87" s="7">
        <f t="shared" si="86"/>
        <v>580902</v>
      </c>
      <c r="L87" s="6"/>
      <c r="M87" s="29">
        <f t="shared" ref="M87" si="90">+(K87-K86)/K86</f>
        <v>2.8623516169351774E-3</v>
      </c>
      <c r="N87" s="29"/>
      <c r="O87" s="29"/>
      <c r="P87" s="29"/>
      <c r="Q87" s="378">
        <f t="shared" ref="Q87" si="91">+K87-K86</f>
        <v>1658</v>
      </c>
      <c r="R87" s="6"/>
      <c r="S87" s="7">
        <f>30090+11970+4007</f>
        <v>46067</v>
      </c>
      <c r="T87" s="6"/>
      <c r="U87" s="288">
        <f t="shared" ref="U87" si="92">+S87/K87</f>
        <v>7.9302532957366306E-2</v>
      </c>
      <c r="W87">
        <f t="shared" si="0"/>
        <v>77</v>
      </c>
    </row>
    <row r="88" spans="3:25" x14ac:dyDescent="0.3">
      <c r="C88" s="172">
        <f t="shared" si="1"/>
        <v>43987</v>
      </c>
      <c r="E88" s="286">
        <v>376208</v>
      </c>
      <c r="F88" s="7"/>
      <c r="G88" s="7">
        <v>163336</v>
      </c>
      <c r="H88" s="7"/>
      <c r="I88" s="7">
        <v>43460</v>
      </c>
      <c r="J88" s="289"/>
      <c r="K88" s="7">
        <f t="shared" ref="K88" si="93">SUM(E88:I88)</f>
        <v>583004</v>
      </c>
      <c r="L88" s="6"/>
      <c r="M88" s="29">
        <f t="shared" ref="M88" si="94">+(K88-K87)/K87</f>
        <v>3.6185105232896426E-3</v>
      </c>
      <c r="N88" s="29"/>
      <c r="O88" s="29"/>
      <c r="P88" s="29"/>
      <c r="Q88" s="378">
        <f t="shared" ref="Q88" si="95">+K88-K87</f>
        <v>2102</v>
      </c>
      <c r="R88" s="6"/>
      <c r="S88" s="7">
        <f>30236+12049+4038</f>
        <v>46323</v>
      </c>
      <c r="T88" s="6"/>
      <c r="U88" s="288">
        <f t="shared" ref="U88" si="96">+S88/K88</f>
        <v>7.9455715569704502E-2</v>
      </c>
      <c r="W88">
        <f t="shared" si="0"/>
        <v>78</v>
      </c>
    </row>
    <row r="89" spans="3:25" x14ac:dyDescent="0.3">
      <c r="C89" s="172">
        <f t="shared" si="1"/>
        <v>43988</v>
      </c>
      <c r="E89" s="286">
        <v>377316</v>
      </c>
      <c r="F89" s="7"/>
      <c r="G89" s="7">
        <v>163893</v>
      </c>
      <c r="H89" s="7"/>
      <c r="I89" s="7">
        <v>43818</v>
      </c>
      <c r="J89" s="289"/>
      <c r="K89" s="7">
        <f t="shared" ref="K89" si="97">SUM(E89:I89)</f>
        <v>585027</v>
      </c>
      <c r="L89" s="6"/>
      <c r="M89" s="29">
        <f t="shared" ref="M89" si="98">+(K89-K88)/K88</f>
        <v>3.4699590397321458E-3</v>
      </c>
      <c r="N89" s="29"/>
      <c r="O89" s="29"/>
      <c r="P89" s="29"/>
      <c r="Q89" s="378">
        <f t="shared" ref="Q89" si="99">+K89-K88</f>
        <v>2023</v>
      </c>
      <c r="R89" s="6"/>
      <c r="S89" s="7">
        <f>30280+12106+4055</f>
        <v>46441</v>
      </c>
      <c r="T89" s="6"/>
      <c r="U89" s="288">
        <f t="shared" ref="U89" si="100">+S89/K89</f>
        <v>7.9382660971203042E-2</v>
      </c>
      <c r="W89">
        <f t="shared" si="0"/>
        <v>79</v>
      </c>
      <c r="X89" s="56">
        <f>SUM(Q83:Q89)</f>
        <v>13737</v>
      </c>
      <c r="Y89">
        <v>7</v>
      </c>
    </row>
    <row r="90" spans="3:25" x14ac:dyDescent="0.3">
      <c r="C90" s="172">
        <f t="shared" si="1"/>
        <v>43989</v>
      </c>
      <c r="E90" s="286">
        <v>378097</v>
      </c>
      <c r="F90" s="7"/>
      <c r="G90" s="7">
        <v>164164</v>
      </c>
      <c r="H90" s="7"/>
      <c r="I90" s="7">
        <v>43968</v>
      </c>
      <c r="J90" s="289"/>
      <c r="K90" s="7">
        <f t="shared" ref="K90" si="101">SUM(E90:I90)</f>
        <v>586229</v>
      </c>
      <c r="L90" s="6"/>
      <c r="M90" s="29">
        <f t="shared" ref="M90" si="102">+(K90-K89)/K89</f>
        <v>2.0546060267303901E-3</v>
      </c>
      <c r="N90" s="29"/>
      <c r="O90" s="29"/>
      <c r="P90" s="29"/>
      <c r="Q90" s="378">
        <f t="shared" ref="Q90" si="103">+K90-K89</f>
        <v>1202</v>
      </c>
      <c r="R90" s="6"/>
      <c r="S90" s="7">
        <f>30374+12176+4071</f>
        <v>46621</v>
      </c>
      <c r="T90" s="6"/>
      <c r="U90" s="288">
        <f t="shared" ref="U90" si="104">+S90/K90</f>
        <v>7.9526942542931175E-2</v>
      </c>
      <c r="W90">
        <f t="shared" si="0"/>
        <v>80</v>
      </c>
      <c r="Y90">
        <f>+X89/Y89</f>
        <v>1962.4285714285713</v>
      </c>
    </row>
    <row r="91" spans="3:25" x14ac:dyDescent="0.3">
      <c r="C91" s="172">
        <f t="shared" si="1"/>
        <v>43990</v>
      </c>
      <c r="E91" s="286"/>
      <c r="F91" s="7"/>
      <c r="G91" s="7"/>
      <c r="H91" s="7"/>
      <c r="I91" s="7"/>
      <c r="J91" s="289"/>
      <c r="K91" s="7"/>
      <c r="L91" s="6"/>
      <c r="M91" s="29"/>
      <c r="N91" s="29"/>
      <c r="O91" s="29"/>
      <c r="P91" s="29"/>
      <c r="Q91" s="378"/>
      <c r="R91" s="6"/>
      <c r="S91" s="7"/>
      <c r="T91" s="6"/>
      <c r="U91" s="288"/>
      <c r="W91">
        <f t="shared" si="0"/>
        <v>81</v>
      </c>
      <c r="Y91" s="56">
        <f>+Q89-Y90</f>
        <v>60.571428571428669</v>
      </c>
    </row>
    <row r="92" spans="3:25" ht="15" thickBot="1" x14ac:dyDescent="0.35">
      <c r="C92" s="172">
        <f t="shared" si="1"/>
        <v>43991</v>
      </c>
      <c r="E92" s="290"/>
      <c r="F92" s="291"/>
      <c r="G92" s="291"/>
      <c r="H92" s="291"/>
      <c r="I92" s="291"/>
      <c r="J92" s="291"/>
      <c r="K92" s="291"/>
      <c r="L92" s="292"/>
      <c r="M92" s="293"/>
      <c r="N92" s="293"/>
      <c r="O92" s="293"/>
      <c r="P92" s="293"/>
      <c r="Q92" s="377"/>
      <c r="R92" s="292"/>
      <c r="S92" s="292"/>
      <c r="T92" s="292"/>
      <c r="U92" s="294"/>
      <c r="W92">
        <f t="shared" si="0"/>
        <v>82</v>
      </c>
      <c r="Y92" s="59">
        <f>+Y91/Y90</f>
        <v>3.0865545606755529E-2</v>
      </c>
    </row>
    <row r="93" spans="3:25" x14ac:dyDescent="0.3">
      <c r="E93" s="56"/>
      <c r="F93" s="1"/>
      <c r="G93" s="56"/>
      <c r="H93" s="56"/>
      <c r="I93" s="56"/>
      <c r="J93" s="1"/>
      <c r="K93" s="56"/>
      <c r="S93" s="56"/>
    </row>
    <row r="94" spans="3:25" x14ac:dyDescent="0.3">
      <c r="C94" s="181" t="s">
        <v>83</v>
      </c>
      <c r="E94" s="56">
        <f>+E88</f>
        <v>376208</v>
      </c>
      <c r="F94" s="56">
        <f>+F52</f>
        <v>0</v>
      </c>
      <c r="G94" s="56">
        <f t="shared" ref="G94:S94" si="105">+G88</f>
        <v>163336</v>
      </c>
      <c r="H94" s="56">
        <f t="shared" si="105"/>
        <v>0</v>
      </c>
      <c r="I94" s="56">
        <f t="shared" si="105"/>
        <v>43460</v>
      </c>
      <c r="J94" s="56">
        <f t="shared" si="105"/>
        <v>0</v>
      </c>
      <c r="K94" s="56">
        <f t="shared" si="105"/>
        <v>583004</v>
      </c>
      <c r="L94" s="56">
        <f t="shared" si="105"/>
        <v>0</v>
      </c>
      <c r="M94" s="56">
        <f t="shared" si="105"/>
        <v>3.6185105232896426E-3</v>
      </c>
      <c r="N94" s="56">
        <f t="shared" si="105"/>
        <v>0</v>
      </c>
      <c r="O94" s="56">
        <f t="shared" si="105"/>
        <v>0</v>
      </c>
      <c r="P94" s="56">
        <f t="shared" si="105"/>
        <v>0</v>
      </c>
      <c r="Q94" s="56">
        <f t="shared" si="105"/>
        <v>2102</v>
      </c>
      <c r="R94" s="56">
        <f t="shared" si="105"/>
        <v>0</v>
      </c>
      <c r="S94" s="56">
        <f t="shared" si="105"/>
        <v>46323</v>
      </c>
      <c r="T94" s="56">
        <f>+T60</f>
        <v>0</v>
      </c>
    </row>
    <row r="95" spans="3:25" x14ac:dyDescent="0.3">
      <c r="E95" s="56"/>
      <c r="G95" s="56"/>
      <c r="H95" s="56"/>
      <c r="I95" s="56"/>
      <c r="J95" s="56"/>
      <c r="K95" s="56"/>
      <c r="L95" s="56"/>
      <c r="M95" s="59"/>
      <c r="N95" s="56"/>
      <c r="O95" s="56"/>
      <c r="P95" s="56"/>
      <c r="Q95" s="56"/>
      <c r="R95" s="56"/>
      <c r="S95" s="56">
        <f>+S90</f>
        <v>46621</v>
      </c>
    </row>
    <row r="96" spans="3:25" x14ac:dyDescent="0.3">
      <c r="E96" s="59"/>
      <c r="K96" s="1"/>
    </row>
    <row r="97" spans="3:41" x14ac:dyDescent="0.3">
      <c r="C97" s="123"/>
      <c r="D97" s="124"/>
      <c r="E97" s="395"/>
      <c r="F97" s="10"/>
      <c r="G97" s="10"/>
      <c r="H97" s="10"/>
      <c r="I97" s="61"/>
      <c r="J97" s="10"/>
      <c r="K97" s="10"/>
      <c r="L97" s="10"/>
      <c r="M97" s="10"/>
      <c r="N97" s="10"/>
      <c r="O97" s="10"/>
      <c r="P97" s="10"/>
      <c r="Q97" s="395"/>
      <c r="R97" s="10"/>
      <c r="S97" s="10"/>
    </row>
    <row r="98" spans="3:41" x14ac:dyDescent="0.3">
      <c r="E98" s="56"/>
      <c r="K98" s="56"/>
      <c r="Q98" s="56"/>
    </row>
    <row r="99" spans="3:41" x14ac:dyDescent="0.3">
      <c r="Q99" s="56"/>
      <c r="S99" s="59"/>
    </row>
    <row r="102" spans="3:41" x14ac:dyDescent="0.3">
      <c r="AO102" s="1">
        <v>3797000</v>
      </c>
    </row>
    <row r="103" spans="3:41" x14ac:dyDescent="0.3">
      <c r="C103" s="1"/>
    </row>
    <row r="104" spans="3:41" x14ac:dyDescent="0.3">
      <c r="C104" s="1"/>
      <c r="AO104" s="1">
        <v>30000</v>
      </c>
    </row>
    <row r="105" spans="3:41" x14ac:dyDescent="0.3">
      <c r="C105" s="59"/>
    </row>
    <row r="106" spans="3:41" x14ac:dyDescent="0.3">
      <c r="AO106" s="279">
        <f>+AO104/AO102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22" workbookViewId="0">
      <selection activeCell="Q56" sqref="Q56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60" t="s">
        <v>5</v>
      </c>
      <c r="C1" s="260"/>
      <c r="D1" s="260"/>
    </row>
    <row r="2" spans="2:29" ht="16.2" thickBot="1" x14ac:dyDescent="0.35">
      <c r="B2" s="260" t="s">
        <v>6</v>
      </c>
      <c r="C2" s="260"/>
      <c r="D2" s="260"/>
    </row>
    <row r="3" spans="2:29" ht="16.2" thickBot="1" x14ac:dyDescent="0.35">
      <c r="B3" s="258" t="s">
        <v>13</v>
      </c>
      <c r="C3" s="258"/>
      <c r="D3" s="168"/>
      <c r="S3" s="542" t="s">
        <v>116</v>
      </c>
      <c r="T3" s="543"/>
      <c r="U3" s="543"/>
      <c r="V3" s="543"/>
      <c r="W3" s="543"/>
      <c r="X3" s="543"/>
      <c r="Y3" s="543"/>
      <c r="Z3" s="543"/>
      <c r="AA3" s="543"/>
      <c r="AB3" s="543"/>
      <c r="AC3" s="544"/>
    </row>
    <row r="4" spans="2:29" ht="15.6" x14ac:dyDescent="0.3">
      <c r="B4" s="258"/>
      <c r="C4" s="258"/>
      <c r="D4" s="168"/>
      <c r="S4" s="295"/>
      <c r="T4" s="396" t="s">
        <v>80</v>
      </c>
      <c r="U4" s="6"/>
      <c r="V4" s="396" t="s">
        <v>108</v>
      </c>
      <c r="W4" s="5"/>
      <c r="X4" s="396" t="s">
        <v>109</v>
      </c>
      <c r="Y4" s="5"/>
      <c r="Z4" s="396" t="s">
        <v>75</v>
      </c>
      <c r="AA4" s="6"/>
      <c r="AB4" s="296" t="s">
        <v>15</v>
      </c>
      <c r="AC4" s="297"/>
    </row>
    <row r="5" spans="2:29" ht="15.6" x14ac:dyDescent="0.3">
      <c r="B5" s="258"/>
      <c r="C5" t="s">
        <v>94</v>
      </c>
      <c r="D5" s="168"/>
      <c r="E5" t="s">
        <v>95</v>
      </c>
      <c r="S5" s="295"/>
      <c r="T5" s="6"/>
      <c r="U5" s="6"/>
      <c r="V5" s="6"/>
      <c r="W5" s="6"/>
      <c r="X5" s="6"/>
      <c r="Y5" s="6"/>
      <c r="Z5" s="6"/>
      <c r="AA5" s="6"/>
      <c r="AB5" s="6"/>
      <c r="AC5" s="297"/>
    </row>
    <row r="6" spans="2:29" ht="15.6" x14ac:dyDescent="0.3">
      <c r="B6" s="258"/>
      <c r="C6" s="258"/>
      <c r="D6" s="171"/>
      <c r="E6" t="s">
        <v>96</v>
      </c>
      <c r="F6" t="s">
        <v>113</v>
      </c>
      <c r="S6" s="295"/>
      <c r="T6" s="298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7"/>
    </row>
    <row r="7" spans="2:29" ht="15.6" x14ac:dyDescent="0.3">
      <c r="B7" s="258"/>
      <c r="C7" s="258"/>
      <c r="D7" s="171"/>
      <c r="E7" t="s">
        <v>97</v>
      </c>
      <c r="F7" t="s">
        <v>99</v>
      </c>
      <c r="S7" s="295"/>
      <c r="T7" s="298">
        <f>+T6+1</f>
        <v>43952</v>
      </c>
      <c r="U7" s="6"/>
      <c r="V7" s="7">
        <v>432831</v>
      </c>
      <c r="W7" s="6"/>
      <c r="X7" s="44">
        <v>0.38300000000000001</v>
      </c>
      <c r="Y7" s="6"/>
      <c r="Z7" s="300">
        <f t="shared" ref="Z7:Z19" si="0">+V6-V7</f>
        <v>-5097</v>
      </c>
      <c r="AA7" s="6"/>
      <c r="AB7" s="6"/>
      <c r="AC7" s="297"/>
    </row>
    <row r="8" spans="2:29" ht="15.6" x14ac:dyDescent="0.3">
      <c r="B8" s="258"/>
      <c r="C8" s="258"/>
      <c r="D8" s="171"/>
      <c r="E8" t="s">
        <v>98</v>
      </c>
      <c r="F8" t="s">
        <v>114</v>
      </c>
      <c r="S8" s="295"/>
      <c r="T8" s="298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300">
        <f t="shared" si="0"/>
        <v>-681</v>
      </c>
      <c r="AA8" s="6"/>
      <c r="AB8" s="6"/>
      <c r="AC8" s="297"/>
    </row>
    <row r="9" spans="2:29" ht="15.6" x14ac:dyDescent="0.3">
      <c r="B9" s="258"/>
      <c r="C9" s="258"/>
      <c r="D9" s="171"/>
      <c r="R9" s="476"/>
      <c r="S9" s="295"/>
      <c r="T9" s="298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300">
        <f t="shared" si="0"/>
        <v>-833</v>
      </c>
      <c r="AA9" s="6"/>
      <c r="AB9" s="6"/>
      <c r="AC9" s="297"/>
    </row>
    <row r="10" spans="2:29" ht="15.6" x14ac:dyDescent="0.3">
      <c r="B10" s="258"/>
      <c r="C10" s="280" t="s">
        <v>100</v>
      </c>
      <c r="D10" s="171"/>
      <c r="E10" t="s">
        <v>103</v>
      </c>
      <c r="S10" s="295"/>
      <c r="T10" s="298">
        <f t="shared" si="1"/>
        <v>43955</v>
      </c>
      <c r="U10" s="6"/>
      <c r="V10" s="7">
        <v>458962</v>
      </c>
      <c r="W10" s="6"/>
      <c r="X10" s="44">
        <v>0.378</v>
      </c>
      <c r="Y10" s="6"/>
      <c r="Z10" s="300">
        <f t="shared" si="0"/>
        <v>-24617</v>
      </c>
      <c r="AA10" s="6"/>
      <c r="AB10" s="6"/>
      <c r="AC10" s="297"/>
    </row>
    <row r="11" spans="2:29" ht="15.6" x14ac:dyDescent="0.3">
      <c r="B11" s="258"/>
      <c r="C11" s="258"/>
      <c r="D11" s="171"/>
      <c r="E11" t="s">
        <v>96</v>
      </c>
      <c r="F11" t="s">
        <v>101</v>
      </c>
      <c r="S11" s="295"/>
      <c r="T11" s="298">
        <f t="shared" si="1"/>
        <v>43956</v>
      </c>
      <c r="U11" s="6"/>
      <c r="V11" s="299">
        <v>455743</v>
      </c>
      <c r="W11" s="6"/>
      <c r="X11" s="44">
        <v>0.36799999999999999</v>
      </c>
      <c r="Y11" s="6"/>
      <c r="Z11" s="300">
        <f t="shared" si="0"/>
        <v>3219</v>
      </c>
      <c r="AA11" s="6"/>
      <c r="AB11" s="304"/>
      <c r="AC11" s="297"/>
    </row>
    <row r="12" spans="2:29" ht="15.6" x14ac:dyDescent="0.3">
      <c r="B12" s="258"/>
      <c r="C12" s="258"/>
      <c r="D12" s="171"/>
      <c r="E12" t="s">
        <v>97</v>
      </c>
      <c r="F12" t="s">
        <v>102</v>
      </c>
      <c r="S12" s="295"/>
      <c r="T12" s="298">
        <f t="shared" si="1"/>
        <v>43957</v>
      </c>
      <c r="U12" s="6"/>
      <c r="V12" s="299">
        <v>454697</v>
      </c>
      <c r="W12" s="6"/>
      <c r="X12" s="44">
        <f>+L$36</f>
        <v>0.15157342595880369</v>
      </c>
      <c r="Y12" s="6"/>
      <c r="Z12" s="300">
        <f t="shared" si="0"/>
        <v>1046</v>
      </c>
      <c r="AA12" s="6"/>
      <c r="AB12" s="304"/>
      <c r="AC12" s="297"/>
    </row>
    <row r="13" spans="2:29" ht="15.6" x14ac:dyDescent="0.3">
      <c r="B13" s="258"/>
      <c r="C13" s="258"/>
      <c r="D13" s="171"/>
      <c r="S13" s="295"/>
      <c r="T13" s="298">
        <f t="shared" si="1"/>
        <v>43958</v>
      </c>
      <c r="U13" s="6"/>
      <c r="V13" s="299">
        <v>454838</v>
      </c>
      <c r="W13" s="6"/>
      <c r="X13" s="44">
        <f t="shared" ref="X13:X14" si="2">+L37</f>
        <v>0</v>
      </c>
      <c r="Y13" s="6"/>
      <c r="Z13" s="300">
        <f t="shared" si="0"/>
        <v>-141</v>
      </c>
      <c r="AA13" s="6"/>
      <c r="AB13" s="304"/>
      <c r="AC13" s="297"/>
    </row>
    <row r="14" spans="2:29" ht="15.6" x14ac:dyDescent="0.3">
      <c r="B14" s="258"/>
      <c r="C14" s="280" t="s">
        <v>104</v>
      </c>
      <c r="D14" s="171"/>
      <c r="E14" t="s">
        <v>105</v>
      </c>
      <c r="S14" s="295"/>
      <c r="T14" s="298">
        <f t="shared" si="1"/>
        <v>43959</v>
      </c>
      <c r="U14" s="6"/>
      <c r="V14" s="299">
        <v>452043</v>
      </c>
      <c r="W14" s="6"/>
      <c r="X14" s="44">
        <f t="shared" si="2"/>
        <v>0</v>
      </c>
      <c r="Y14" s="6"/>
      <c r="Z14" s="300">
        <f t="shared" si="0"/>
        <v>2795</v>
      </c>
      <c r="AA14" s="6"/>
      <c r="AB14" s="304"/>
      <c r="AC14" s="297"/>
    </row>
    <row r="15" spans="2:29" x14ac:dyDescent="0.3">
      <c r="B15" s="258"/>
      <c r="E15" s="545" t="s">
        <v>106</v>
      </c>
      <c r="F15" s="545"/>
      <c r="G15" s="545"/>
      <c r="H15" s="545"/>
      <c r="I15" s="545"/>
      <c r="S15" s="295"/>
      <c r="T15" s="298">
        <f t="shared" si="1"/>
        <v>43960</v>
      </c>
      <c r="U15" s="6"/>
      <c r="V15" s="299">
        <v>439209</v>
      </c>
      <c r="W15" s="6"/>
      <c r="X15" s="44">
        <f>+L40</f>
        <v>0</v>
      </c>
      <c r="Y15" s="6"/>
      <c r="Z15" s="300">
        <f t="shared" si="0"/>
        <v>12834</v>
      </c>
      <c r="AA15" s="6"/>
      <c r="AB15" s="304"/>
      <c r="AC15" s="297"/>
    </row>
    <row r="16" spans="2:29" x14ac:dyDescent="0.3">
      <c r="R16" s="476"/>
      <c r="S16" s="295"/>
      <c r="T16" s="298">
        <f t="shared" si="1"/>
        <v>43961</v>
      </c>
      <c r="U16" s="6"/>
      <c r="V16" s="299">
        <v>423501</v>
      </c>
      <c r="W16" s="6"/>
      <c r="X16" s="44">
        <f>+L41</f>
        <v>0</v>
      </c>
      <c r="Y16" s="6"/>
      <c r="Z16" s="300">
        <f t="shared" si="0"/>
        <v>15708</v>
      </c>
      <c r="AA16" s="6"/>
      <c r="AB16" s="304"/>
      <c r="AC16" s="297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5"/>
      <c r="T17" s="298">
        <f t="shared" si="1"/>
        <v>43962</v>
      </c>
      <c r="U17" s="6"/>
      <c r="V17" s="299">
        <v>415158</v>
      </c>
      <c r="W17" s="6"/>
      <c r="X17" s="44">
        <f>+L42</f>
        <v>0</v>
      </c>
      <c r="Y17" s="6"/>
      <c r="Z17" s="300">
        <f t="shared" si="0"/>
        <v>8343</v>
      </c>
      <c r="AA17" s="6"/>
      <c r="AB17" s="304"/>
      <c r="AC17" s="297"/>
    </row>
    <row r="18" spans="3:29" ht="15" thickBot="1" x14ac:dyDescent="0.35">
      <c r="C18" s="1"/>
      <c r="D18" s="551" t="s">
        <v>46</v>
      </c>
      <c r="E18" s="552"/>
      <c r="F18" s="552"/>
      <c r="G18" s="552"/>
      <c r="H18" s="552"/>
      <c r="I18" s="552"/>
      <c r="J18" s="552"/>
      <c r="K18" s="552"/>
      <c r="L18" s="552"/>
      <c r="M18" s="552"/>
      <c r="N18" s="552"/>
      <c r="O18" s="553"/>
      <c r="P18" s="90"/>
      <c r="Q18" s="90"/>
      <c r="R18" s="90"/>
      <c r="S18" s="295"/>
      <c r="T18" s="298">
        <f t="shared" si="1"/>
        <v>43963</v>
      </c>
      <c r="U18" s="6"/>
      <c r="V18" s="299">
        <v>413524</v>
      </c>
      <c r="W18" s="6"/>
      <c r="X18" s="44">
        <f>+L43</f>
        <v>0</v>
      </c>
      <c r="Y18" s="6"/>
      <c r="Z18" s="300">
        <f t="shared" si="0"/>
        <v>1634</v>
      </c>
      <c r="AA18" s="6"/>
      <c r="AB18" s="304"/>
      <c r="AC18" s="297"/>
    </row>
    <row r="19" spans="3:29" ht="15" thickBot="1" x14ac:dyDescent="0.35">
      <c r="C19" s="1"/>
      <c r="D19" s="146"/>
      <c r="E19" s="554" t="s">
        <v>77</v>
      </c>
      <c r="F19" s="554"/>
      <c r="G19" s="554"/>
      <c r="H19" s="554"/>
      <c r="I19" s="147" t="s">
        <v>76</v>
      </c>
      <c r="J19" s="148"/>
      <c r="K19" s="559" t="s">
        <v>74</v>
      </c>
      <c r="L19" s="559"/>
      <c r="M19" s="141"/>
      <c r="N19" s="145" t="s">
        <v>75</v>
      </c>
      <c r="O19" s="142"/>
      <c r="P19" s="114"/>
      <c r="Q19" s="114"/>
      <c r="R19" s="114"/>
      <c r="S19" s="295"/>
      <c r="T19" s="298">
        <f t="shared" si="1"/>
        <v>43964</v>
      </c>
      <c r="U19" s="6"/>
      <c r="V19" s="299">
        <v>410932</v>
      </c>
      <c r="W19" s="6"/>
      <c r="X19" s="44">
        <f>+L44</f>
        <v>0</v>
      </c>
      <c r="Y19" s="6"/>
      <c r="Z19" s="300">
        <f t="shared" si="0"/>
        <v>2592</v>
      </c>
      <c r="AA19" s="6"/>
      <c r="AB19" s="304"/>
      <c r="AC19" s="297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Table'!H76</f>
        <v>1706226</v>
      </c>
      <c r="J20" s="129"/>
      <c r="K20" s="140"/>
      <c r="L20" s="140"/>
      <c r="M20" s="140"/>
      <c r="N20" s="140"/>
      <c r="O20" s="136"/>
      <c r="P20" s="90"/>
      <c r="Q20" s="90"/>
      <c r="R20" s="90"/>
      <c r="S20" s="295"/>
      <c r="T20" s="298">
        <f t="shared" si="1"/>
        <v>43965</v>
      </c>
      <c r="U20" s="6"/>
      <c r="V20" s="299">
        <v>409640</v>
      </c>
      <c r="W20" s="6"/>
      <c r="X20" s="44">
        <v>0</v>
      </c>
      <c r="Y20" s="6"/>
      <c r="Z20" s="300">
        <f t="shared" ref="Z20" si="3">+V19-V20</f>
        <v>1292</v>
      </c>
      <c r="AA20" s="6"/>
      <c r="AB20" s="304"/>
      <c r="AC20" s="297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Table'!Z94</f>
        <v>112227</v>
      </c>
      <c r="J21" s="129"/>
      <c r="K21" s="140"/>
      <c r="L21" s="140"/>
      <c r="M21" s="140"/>
      <c r="N21" s="140"/>
      <c r="O21" s="136"/>
      <c r="P21" s="90"/>
      <c r="Q21" s="90"/>
      <c r="R21" s="90"/>
      <c r="S21" s="295"/>
      <c r="T21" s="298">
        <f t="shared" si="1"/>
        <v>43966</v>
      </c>
      <c r="U21" s="6"/>
      <c r="V21" s="299">
        <v>405327</v>
      </c>
      <c r="W21" s="6"/>
      <c r="X21" s="44">
        <v>0.27300000000000002</v>
      </c>
      <c r="Y21" s="6"/>
      <c r="Z21" s="300">
        <f t="shared" ref="Z21" si="4">+V20-V21</f>
        <v>4313</v>
      </c>
      <c r="AA21" s="6"/>
      <c r="AB21" s="304"/>
      <c r="AC21" s="297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16923</v>
      </c>
      <c r="J22" s="129"/>
      <c r="K22" s="140"/>
      <c r="L22" s="283">
        <v>16915</v>
      </c>
      <c r="M22" s="140"/>
      <c r="N22" s="160">
        <f>+(I22-L22)/I22</f>
        <v>4.7272942149737045E-4</v>
      </c>
      <c r="O22" s="136"/>
      <c r="P22" s="90"/>
      <c r="Q22" s="90"/>
      <c r="R22" s="90"/>
      <c r="S22" s="295"/>
      <c r="T22" s="298">
        <f t="shared" si="1"/>
        <v>43967</v>
      </c>
      <c r="U22" s="6"/>
      <c r="V22" s="299">
        <v>393991</v>
      </c>
      <c r="W22" s="6"/>
      <c r="X22" s="44">
        <v>0.26100000000000001</v>
      </c>
      <c r="Y22" s="6"/>
      <c r="Z22" s="300">
        <f t="shared" ref="Z22" si="5">+V21-V22</f>
        <v>11336</v>
      </c>
      <c r="AA22" s="6"/>
      <c r="AB22" s="304"/>
      <c r="AC22" s="297"/>
    </row>
    <row r="23" spans="3:29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1577076</v>
      </c>
      <c r="J23" s="129"/>
      <c r="K23" s="140"/>
      <c r="L23" s="140"/>
      <c r="M23" s="140"/>
      <c r="N23" s="140"/>
      <c r="O23" s="136"/>
      <c r="P23" s="113"/>
      <c r="Q23" s="113"/>
      <c r="R23" s="477"/>
      <c r="S23" s="295"/>
      <c r="T23" s="298">
        <f t="shared" si="1"/>
        <v>43968</v>
      </c>
      <c r="U23" s="6"/>
      <c r="V23" s="299">
        <v>384245</v>
      </c>
      <c r="W23" s="6"/>
      <c r="X23" s="44">
        <v>0.251</v>
      </c>
      <c r="Y23" s="6"/>
      <c r="Z23" s="300">
        <f t="shared" ref="Z23" si="6">+V22-V23</f>
        <v>9746</v>
      </c>
      <c r="AA23" s="6"/>
      <c r="AB23" s="304"/>
      <c r="AC23" s="297"/>
    </row>
    <row r="24" spans="3:29" x14ac:dyDescent="0.3">
      <c r="C24" s="1"/>
      <c r="D24" s="126"/>
      <c r="E24" s="127" t="s">
        <v>79</v>
      </c>
      <c r="F24" s="129"/>
      <c r="G24" s="129"/>
      <c r="H24" s="129"/>
      <c r="I24" s="131">
        <f>+'Main Table'!AO94</f>
        <v>761708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5"/>
      <c r="T24" s="298">
        <f t="shared" si="1"/>
        <v>43969</v>
      </c>
      <c r="U24" s="6"/>
      <c r="V24" s="299">
        <v>379527</v>
      </c>
      <c r="W24" s="6"/>
      <c r="X24" s="44">
        <v>0.245</v>
      </c>
      <c r="Y24" s="6"/>
      <c r="Z24" s="300">
        <f t="shared" ref="Z24" si="7">+V23-V24</f>
        <v>4718</v>
      </c>
      <c r="AA24" s="6"/>
      <c r="AB24" s="304"/>
      <c r="AC24" s="297"/>
    </row>
    <row r="25" spans="3:29" x14ac:dyDescent="0.3">
      <c r="C25" s="1"/>
      <c r="D25" s="555" t="s">
        <v>49</v>
      </c>
      <c r="E25" s="556"/>
      <c r="F25" s="556"/>
      <c r="G25" s="556"/>
      <c r="H25" s="556"/>
      <c r="I25" s="132">
        <f>+I23-I24</f>
        <v>815368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5"/>
      <c r="T25" s="298">
        <f t="shared" si="1"/>
        <v>43970</v>
      </c>
      <c r="U25" s="6"/>
      <c r="V25" s="299">
        <v>375997</v>
      </c>
      <c r="W25" s="6"/>
      <c r="X25" s="44">
        <v>0.23899999999999999</v>
      </c>
      <c r="Y25" s="6"/>
      <c r="Z25" s="300">
        <f t="shared" ref="Z25" si="8">+V24-V25</f>
        <v>3530</v>
      </c>
      <c r="AA25" s="6"/>
      <c r="AB25" s="304"/>
      <c r="AC25" s="297"/>
    </row>
    <row r="26" spans="3:29" x14ac:dyDescent="0.3">
      <c r="C26" s="1"/>
      <c r="D26" s="126"/>
      <c r="E26" s="127" t="s">
        <v>73</v>
      </c>
      <c r="F26" s="129"/>
      <c r="G26" s="129"/>
      <c r="H26" s="129"/>
      <c r="I26" s="131">
        <f>+I24</f>
        <v>761708</v>
      </c>
      <c r="J26" s="129"/>
      <c r="K26" s="140"/>
      <c r="L26" s="140"/>
      <c r="M26" s="140"/>
      <c r="N26" s="140"/>
      <c r="O26" s="136"/>
      <c r="P26" s="90"/>
      <c r="Q26" s="90"/>
      <c r="R26" s="90"/>
      <c r="S26" s="295"/>
      <c r="T26" s="298">
        <f t="shared" si="1"/>
        <v>43971</v>
      </c>
      <c r="U26" s="6"/>
      <c r="V26" s="299">
        <v>373168</v>
      </c>
      <c r="W26" s="6"/>
      <c r="X26" s="44">
        <v>0.23400000000000001</v>
      </c>
      <c r="Y26" s="6"/>
      <c r="Z26" s="300">
        <f t="shared" ref="Z26" si="9">+V25-V26</f>
        <v>2829</v>
      </c>
      <c r="AA26" s="6"/>
      <c r="AB26" s="304"/>
      <c r="AC26" s="297"/>
    </row>
    <row r="27" spans="3:29" ht="15" thickBot="1" x14ac:dyDescent="0.35">
      <c r="C27" s="1"/>
      <c r="D27" s="555" t="s">
        <v>46</v>
      </c>
      <c r="E27" s="556"/>
      <c r="F27" s="556"/>
      <c r="G27" s="556"/>
      <c r="H27" s="556"/>
      <c r="I27" s="149">
        <f>+I25+I26</f>
        <v>1577076</v>
      </c>
      <c r="J27" s="129"/>
      <c r="K27" s="560">
        <v>1538648</v>
      </c>
      <c r="L27" s="560"/>
      <c r="M27" s="140"/>
      <c r="N27" s="150">
        <f>+I27-K27</f>
        <v>38428</v>
      </c>
      <c r="O27" s="136"/>
      <c r="P27" s="90"/>
      <c r="Q27" s="90"/>
      <c r="R27" s="90"/>
      <c r="S27" s="295"/>
      <c r="T27" s="298">
        <f t="shared" si="1"/>
        <v>43972</v>
      </c>
      <c r="U27" s="6"/>
      <c r="V27" s="299">
        <v>346181</v>
      </c>
      <c r="W27" s="6"/>
      <c r="X27" s="44">
        <v>0.214</v>
      </c>
      <c r="Y27" s="6"/>
      <c r="Z27" s="300">
        <f t="shared" ref="Z27" si="10">+V26-V27</f>
        <v>26987</v>
      </c>
      <c r="AA27" s="6"/>
      <c r="AB27" s="304"/>
      <c r="AC27" s="297"/>
    </row>
    <row r="28" spans="3:29" ht="15.6" thickTop="1" thickBot="1" x14ac:dyDescent="0.35">
      <c r="C28" s="10"/>
      <c r="D28" s="135"/>
      <c r="E28" s="557" t="s">
        <v>71</v>
      </c>
      <c r="F28" s="557"/>
      <c r="G28" s="557"/>
      <c r="H28" s="137"/>
      <c r="I28" s="276">
        <f>+I27/I32</f>
        <v>0.79206228111984278</v>
      </c>
      <c r="J28" s="140"/>
      <c r="K28" s="140"/>
      <c r="L28" s="140"/>
      <c r="M28" s="110"/>
      <c r="N28" s="162">
        <f>+N27/K27</f>
        <v>2.4975173009031307E-2</v>
      </c>
      <c r="O28" s="136"/>
      <c r="P28" s="1"/>
      <c r="Q28" s="1"/>
      <c r="R28" s="1"/>
      <c r="S28" s="295"/>
      <c r="T28" s="298">
        <f t="shared" si="1"/>
        <v>43973</v>
      </c>
      <c r="U28" s="6"/>
      <c r="V28" s="299">
        <v>341216</v>
      </c>
      <c r="W28" s="6"/>
      <c r="X28" s="44">
        <v>0.20699999999999999</v>
      </c>
      <c r="Y28" s="6"/>
      <c r="Z28" s="300">
        <f t="shared" ref="Z28" si="11">+V27-V28</f>
        <v>4965</v>
      </c>
      <c r="AA28" s="6"/>
      <c r="AB28" s="304"/>
      <c r="AC28" s="297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5"/>
      <c r="T29" s="298">
        <f t="shared" si="1"/>
        <v>43974</v>
      </c>
      <c r="U29" s="6"/>
      <c r="V29" s="299">
        <v>336852</v>
      </c>
      <c r="W29" s="6"/>
      <c r="X29" s="44">
        <v>0.20200000000000001</v>
      </c>
      <c r="Y29" s="6"/>
      <c r="Z29" s="300">
        <f t="shared" ref="Z29" si="12">+V28-V29</f>
        <v>4364</v>
      </c>
      <c r="AA29" s="6"/>
      <c r="AB29" s="304"/>
      <c r="AC29" s="297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3"/>
      <c r="S30" s="295"/>
      <c r="T30" s="298">
        <f t="shared" si="1"/>
        <v>43975</v>
      </c>
      <c r="U30" s="6"/>
      <c r="V30" s="299">
        <v>336142</v>
      </c>
      <c r="W30" s="6"/>
      <c r="X30" s="44">
        <v>0.19900000000000001</v>
      </c>
      <c r="Y30" s="6"/>
      <c r="Z30" s="300">
        <f t="shared" ref="Z30" si="13">+V29-V30</f>
        <v>710</v>
      </c>
      <c r="AA30" s="6"/>
      <c r="AB30" s="304"/>
      <c r="AC30" s="297"/>
    </row>
    <row r="31" spans="3:29" ht="16.2" thickBot="1" x14ac:dyDescent="0.35">
      <c r="C31" s="90"/>
      <c r="D31" s="274"/>
      <c r="E31" s="566" t="s">
        <v>116</v>
      </c>
      <c r="F31" s="567"/>
      <c r="G31" s="567"/>
      <c r="H31" s="567"/>
      <c r="I31" s="567"/>
      <c r="J31" s="568"/>
      <c r="K31" s="273"/>
      <c r="L31" s="272" t="s">
        <v>10</v>
      </c>
      <c r="M31" s="271"/>
      <c r="N31" s="270"/>
      <c r="O31" s="110"/>
      <c r="P31" s="90"/>
      <c r="Q31" s="90"/>
      <c r="R31" s="90"/>
      <c r="S31" s="295"/>
      <c r="T31" s="298">
        <f t="shared" si="1"/>
        <v>43976</v>
      </c>
      <c r="U31" s="6"/>
      <c r="V31" s="299">
        <v>337736</v>
      </c>
      <c r="W31" s="6"/>
      <c r="X31" s="44">
        <v>0.19800000000000001</v>
      </c>
      <c r="Y31" s="6"/>
      <c r="Z31" s="300">
        <f t="shared" ref="Z31" si="14">+V30-V31</f>
        <v>-1594</v>
      </c>
      <c r="AA31" s="6"/>
      <c r="AB31" s="304"/>
      <c r="AC31" s="297"/>
    </row>
    <row r="32" spans="3:29" x14ac:dyDescent="0.3">
      <c r="C32" s="10"/>
      <c r="D32" s="261"/>
      <c r="E32" s="262" t="s">
        <v>90</v>
      </c>
      <c r="F32" s="24"/>
      <c r="G32" s="24"/>
      <c r="H32" s="24"/>
      <c r="I32" s="561">
        <f>+'Main Table'!H94</f>
        <v>1991101</v>
      </c>
      <c r="J32" s="561"/>
      <c r="K32" s="24"/>
      <c r="L32" s="25">
        <f>+I32/$I$32</f>
        <v>1</v>
      </c>
      <c r="M32" s="263"/>
      <c r="N32" s="90"/>
      <c r="O32" s="90"/>
      <c r="P32" s="90"/>
      <c r="Q32" s="90"/>
      <c r="R32" s="90"/>
      <c r="S32" s="295"/>
      <c r="T32" s="298">
        <f t="shared" si="1"/>
        <v>43977</v>
      </c>
      <c r="U32" s="6"/>
      <c r="V32" s="299">
        <v>333791</v>
      </c>
      <c r="W32" s="6"/>
      <c r="X32" s="44">
        <v>0.193</v>
      </c>
      <c r="Y32" s="6"/>
      <c r="Z32" s="300">
        <f t="shared" ref="Z32" si="15">+V31-V32</f>
        <v>3945</v>
      </c>
      <c r="AA32" s="6"/>
      <c r="AB32" s="304"/>
      <c r="AC32" s="297"/>
    </row>
    <row r="33" spans="3:29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90"/>
      <c r="S33" s="295"/>
      <c r="T33" s="298">
        <f t="shared" si="1"/>
        <v>43978</v>
      </c>
      <c r="U33" s="6"/>
      <c r="V33" s="299">
        <v>332639</v>
      </c>
      <c r="W33" s="6"/>
      <c r="X33" s="44">
        <v>0.191</v>
      </c>
      <c r="Y33" s="6"/>
      <c r="Z33" s="300">
        <f t="shared" ref="Z33" si="16">+V32-V33</f>
        <v>1152</v>
      </c>
      <c r="AA33" s="6"/>
      <c r="AB33" s="304"/>
      <c r="AC33" s="297"/>
    </row>
    <row r="34" spans="3:29" x14ac:dyDescent="0.3">
      <c r="D34" s="264"/>
      <c r="E34" s="22"/>
      <c r="F34" s="265" t="s">
        <v>115</v>
      </c>
      <c r="G34" s="265"/>
      <c r="H34" s="22"/>
      <c r="I34" s="562">
        <f>+I27</f>
        <v>1577076</v>
      </c>
      <c r="J34" s="563"/>
      <c r="K34" s="22"/>
      <c r="L34" s="25">
        <f>+I34/$I$32</f>
        <v>0.79206228111984278</v>
      </c>
      <c r="M34" s="266"/>
      <c r="P34" s="234"/>
      <c r="Q34" s="234"/>
      <c r="R34" s="234"/>
      <c r="S34" s="295"/>
      <c r="T34" s="298">
        <f t="shared" si="1"/>
        <v>43979</v>
      </c>
      <c r="U34" s="6"/>
      <c r="V34" s="299">
        <v>328088</v>
      </c>
      <c r="W34" s="6"/>
      <c r="X34" s="44">
        <v>0.186</v>
      </c>
      <c r="Y34" s="6"/>
      <c r="Z34" s="300">
        <f t="shared" ref="Z34" si="17">+V33-V34</f>
        <v>4551</v>
      </c>
      <c r="AA34" s="6"/>
      <c r="AB34" s="304"/>
      <c r="AC34" s="297"/>
    </row>
    <row r="35" spans="3:29" x14ac:dyDescent="0.3">
      <c r="D35" s="264"/>
      <c r="E35" s="22"/>
      <c r="F35" s="22" t="s">
        <v>91</v>
      </c>
      <c r="G35" s="22"/>
      <c r="H35" s="22"/>
      <c r="I35" s="569">
        <f>+I21</f>
        <v>112227</v>
      </c>
      <c r="J35" s="570"/>
      <c r="K35" s="22"/>
      <c r="L35" s="25">
        <f>+I35/$I$32</f>
        <v>5.6364292921353559E-2</v>
      </c>
      <c r="M35" s="266"/>
      <c r="P35" s="275"/>
      <c r="Q35" s="275"/>
      <c r="R35" s="275"/>
      <c r="S35" s="295"/>
      <c r="T35" s="298">
        <f t="shared" si="1"/>
        <v>43980</v>
      </c>
      <c r="U35" s="6"/>
      <c r="V35" s="299">
        <v>326426</v>
      </c>
      <c r="W35" s="6"/>
      <c r="X35" s="44">
        <v>0.182</v>
      </c>
      <c r="Y35" s="6"/>
      <c r="Z35" s="300">
        <f t="shared" ref="Z35" si="18">+V34-V35</f>
        <v>1662</v>
      </c>
      <c r="AA35" s="6"/>
      <c r="AB35" s="304"/>
      <c r="AC35" s="297"/>
    </row>
    <row r="36" spans="3:29" ht="15" thickBot="1" x14ac:dyDescent="0.35">
      <c r="D36" s="264"/>
      <c r="E36" s="558" t="s">
        <v>116</v>
      </c>
      <c r="F36" s="558"/>
      <c r="G36" s="558"/>
      <c r="H36" s="277"/>
      <c r="I36" s="564">
        <f>+I32-I34-I35</f>
        <v>301798</v>
      </c>
      <c r="J36" s="565"/>
      <c r="K36" s="305"/>
      <c r="L36" s="278">
        <f>+I36/$I$32</f>
        <v>0.15157342595880369</v>
      </c>
      <c r="M36" s="266"/>
      <c r="S36" s="295"/>
      <c r="T36" s="298">
        <f t="shared" si="1"/>
        <v>43981</v>
      </c>
      <c r="U36" s="6"/>
      <c r="V36" s="299">
        <v>326228</v>
      </c>
      <c r="W36" s="6"/>
      <c r="X36" s="44">
        <v>0.16900000000000001</v>
      </c>
      <c r="Y36" s="6"/>
      <c r="Z36" s="300">
        <f t="shared" ref="Z36" si="19">+V35-V36</f>
        <v>198</v>
      </c>
      <c r="AA36" s="6"/>
      <c r="AB36" s="304"/>
      <c r="AC36" s="297"/>
    </row>
    <row r="37" spans="3:29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476"/>
      <c r="S37" s="295"/>
      <c r="T37" s="298">
        <f t="shared" si="1"/>
        <v>43982</v>
      </c>
      <c r="U37" s="6"/>
      <c r="V37" s="299">
        <v>303951</v>
      </c>
      <c r="W37" s="6"/>
      <c r="X37" s="44">
        <v>0.16500000000000001</v>
      </c>
      <c r="Y37" s="6"/>
      <c r="Z37" s="300">
        <f t="shared" ref="Z37" si="20">+V36-V37</f>
        <v>22277</v>
      </c>
      <c r="AA37" s="6"/>
      <c r="AB37" s="304"/>
      <c r="AC37" s="297"/>
    </row>
    <row r="38" spans="3:29" x14ac:dyDescent="0.3">
      <c r="S38" s="295"/>
      <c r="T38" s="298">
        <f t="shared" si="1"/>
        <v>43983</v>
      </c>
      <c r="U38" s="6"/>
      <c r="V38" s="299">
        <v>305817</v>
      </c>
      <c r="W38" s="6"/>
      <c r="X38" s="44">
        <v>0.16400000000000001</v>
      </c>
      <c r="Y38" s="6"/>
      <c r="Z38" s="300">
        <f t="shared" ref="Z38" si="21">+V37-V38</f>
        <v>-1866</v>
      </c>
      <c r="AA38" s="6"/>
      <c r="AB38" s="304"/>
      <c r="AC38" s="297"/>
    </row>
    <row r="39" spans="3:29" x14ac:dyDescent="0.3">
      <c r="S39" s="295"/>
      <c r="T39" s="298">
        <f t="shared" si="1"/>
        <v>43984</v>
      </c>
      <c r="U39" s="6"/>
      <c r="V39" s="299">
        <v>305724</v>
      </c>
      <c r="W39" s="6"/>
      <c r="X39" s="44">
        <v>0.16300000000000001</v>
      </c>
      <c r="Y39" s="6"/>
      <c r="Z39" s="300">
        <f t="shared" ref="Z39" si="22">+V38-V39</f>
        <v>93</v>
      </c>
      <c r="AA39" s="6"/>
      <c r="AB39" s="304"/>
      <c r="AC39" s="297"/>
    </row>
    <row r="40" spans="3:29" ht="15" thickBot="1" x14ac:dyDescent="0.35">
      <c r="S40" s="295"/>
      <c r="T40" s="298">
        <f t="shared" si="1"/>
        <v>43985</v>
      </c>
      <c r="U40" s="6"/>
      <c r="V40" s="299">
        <v>297824</v>
      </c>
      <c r="W40" s="6"/>
      <c r="X40" s="44">
        <v>0.157</v>
      </c>
      <c r="Y40" s="6"/>
      <c r="Z40" s="300">
        <f t="shared" ref="Z40" si="23">+V39-V40</f>
        <v>7900</v>
      </c>
      <c r="AA40" s="6"/>
      <c r="AB40" s="304"/>
      <c r="AC40" s="297"/>
    </row>
    <row r="41" spans="3:29" ht="15" thickBot="1" x14ac:dyDescent="0.35">
      <c r="D41" s="546" t="s">
        <v>129</v>
      </c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8"/>
      <c r="S41" s="295"/>
      <c r="T41" s="298">
        <f t="shared" si="1"/>
        <v>43986</v>
      </c>
      <c r="U41" s="6"/>
      <c r="V41" s="299">
        <v>296183</v>
      </c>
      <c r="W41" s="6"/>
      <c r="X41" s="44">
        <v>0.154</v>
      </c>
      <c r="Y41" s="6"/>
      <c r="Z41" s="300">
        <f t="shared" ref="Z41" si="24">+V40-V41</f>
        <v>1641</v>
      </c>
      <c r="AA41" s="6"/>
      <c r="AB41" s="304"/>
      <c r="AC41" s="297"/>
    </row>
    <row r="42" spans="3:29" ht="15" thickBot="1" x14ac:dyDescent="0.35">
      <c r="D42" s="323"/>
      <c r="E42" s="549" t="s">
        <v>77</v>
      </c>
      <c r="F42" s="549"/>
      <c r="G42" s="549"/>
      <c r="H42" s="549"/>
      <c r="I42" s="306" t="s">
        <v>76</v>
      </c>
      <c r="J42" s="307"/>
      <c r="K42" s="550" t="s">
        <v>37</v>
      </c>
      <c r="L42" s="550"/>
      <c r="M42" s="308"/>
      <c r="N42" s="309" t="s">
        <v>75</v>
      </c>
      <c r="O42" s="324"/>
      <c r="S42" s="295"/>
      <c r="T42" s="298">
        <f t="shared" si="1"/>
        <v>43987</v>
      </c>
      <c r="U42" s="6"/>
      <c r="V42" s="299">
        <v>299564</v>
      </c>
      <c r="W42" s="6"/>
      <c r="X42" s="44">
        <v>0.154</v>
      </c>
      <c r="Y42" s="6"/>
      <c r="Z42" s="300">
        <f t="shared" ref="Z42" si="25">+V41-V42</f>
        <v>-3381</v>
      </c>
      <c r="AA42" s="6"/>
      <c r="AB42" s="304"/>
      <c r="AC42" s="297"/>
    </row>
    <row r="43" spans="3:29" x14ac:dyDescent="0.3">
      <c r="D43" s="325"/>
      <c r="E43" s="310" t="s">
        <v>43</v>
      </c>
      <c r="F43" s="311"/>
      <c r="G43" s="310"/>
      <c r="H43" s="310"/>
      <c r="I43" s="382">
        <v>25405</v>
      </c>
      <c r="J43" s="382"/>
      <c r="K43" s="383"/>
      <c r="L43" s="383"/>
      <c r="M43" s="383"/>
      <c r="N43" s="383"/>
      <c r="O43" s="317"/>
      <c r="S43" s="295"/>
      <c r="T43" s="298">
        <f t="shared" si="1"/>
        <v>43988</v>
      </c>
      <c r="U43" s="6"/>
      <c r="V43" s="299">
        <v>299553</v>
      </c>
      <c r="W43" s="6"/>
      <c r="X43" s="44">
        <v>0.154</v>
      </c>
      <c r="Y43" s="6"/>
      <c r="Z43" s="300">
        <f t="shared" ref="Z43" si="26">+V42-V43</f>
        <v>11</v>
      </c>
      <c r="AA43" s="6"/>
      <c r="AB43" s="304"/>
      <c r="AC43" s="297"/>
    </row>
    <row r="44" spans="3:29" x14ac:dyDescent="0.3">
      <c r="D44" s="325"/>
      <c r="E44" s="310" t="s">
        <v>44</v>
      </c>
      <c r="F44" s="310" t="s">
        <v>4</v>
      </c>
      <c r="G44" s="310"/>
      <c r="H44" s="310"/>
      <c r="I44" s="382">
        <v>1836</v>
      </c>
      <c r="J44" s="382"/>
      <c r="K44" s="383"/>
      <c r="L44" s="383"/>
      <c r="M44" s="383"/>
      <c r="N44" s="383"/>
      <c r="O44" s="317"/>
      <c r="S44" s="295"/>
      <c r="T44" s="298">
        <f t="shared" si="1"/>
        <v>43989</v>
      </c>
      <c r="U44" s="6"/>
      <c r="V44" s="299">
        <f>+I$36</f>
        <v>301798</v>
      </c>
      <c r="W44" s="6"/>
      <c r="X44" s="44">
        <f>+L$36</f>
        <v>0.15157342595880369</v>
      </c>
      <c r="Y44" s="6"/>
      <c r="Z44" s="300">
        <f t="shared" ref="Z44" si="27">+V43-V44</f>
        <v>-2245</v>
      </c>
      <c r="AA44" s="6"/>
      <c r="AB44" s="304"/>
      <c r="AC44" s="297"/>
    </row>
    <row r="45" spans="3:29" x14ac:dyDescent="0.3">
      <c r="D45" s="325"/>
      <c r="E45" s="310"/>
      <c r="F45" s="310" t="s">
        <v>45</v>
      </c>
      <c r="G45" s="310"/>
      <c r="H45" s="310"/>
      <c r="I45" s="384">
        <v>1397</v>
      </c>
      <c r="J45" s="382"/>
      <c r="K45" s="383"/>
      <c r="L45" s="382"/>
      <c r="M45" s="383"/>
      <c r="N45" s="385"/>
      <c r="O45" s="317"/>
      <c r="S45" s="295"/>
      <c r="T45" s="298">
        <f t="shared" si="1"/>
        <v>43990</v>
      </c>
      <c r="U45" s="6"/>
      <c r="V45" s="299"/>
      <c r="W45" s="6"/>
      <c r="X45" s="44"/>
      <c r="Y45" s="6"/>
      <c r="Z45" s="300"/>
      <c r="AA45" s="6"/>
      <c r="AB45" s="304"/>
      <c r="AC45" s="297"/>
    </row>
    <row r="46" spans="3:29" x14ac:dyDescent="0.3">
      <c r="D46" s="325"/>
      <c r="E46" s="310"/>
      <c r="F46" s="314" t="s">
        <v>72</v>
      </c>
      <c r="G46" s="314"/>
      <c r="H46" s="314"/>
      <c r="I46" s="382">
        <f>+I43-I44-I45</f>
        <v>22172</v>
      </c>
      <c r="J46" s="382"/>
      <c r="K46" s="383"/>
      <c r="L46" s="383"/>
      <c r="M46" s="383"/>
      <c r="N46" s="383"/>
      <c r="O46" s="317"/>
      <c r="S46" s="295"/>
      <c r="T46" s="298">
        <f t="shared" si="1"/>
        <v>43991</v>
      </c>
      <c r="U46" s="6"/>
      <c r="V46" s="299"/>
      <c r="W46" s="6"/>
      <c r="X46" s="44"/>
      <c r="Y46" s="6"/>
      <c r="Z46" s="300"/>
      <c r="AA46" s="6"/>
      <c r="AB46" s="304"/>
      <c r="AC46" s="297"/>
    </row>
    <row r="47" spans="3:29" x14ac:dyDescent="0.3">
      <c r="D47" s="325"/>
      <c r="E47" s="310" t="s">
        <v>79</v>
      </c>
      <c r="F47" s="312"/>
      <c r="G47" s="312"/>
      <c r="H47" s="312"/>
      <c r="I47" s="384">
        <f>+'Main Table'!AO111</f>
        <v>0</v>
      </c>
      <c r="J47" s="382"/>
      <c r="K47" s="383"/>
      <c r="L47" s="383"/>
      <c r="M47" s="383"/>
      <c r="N47" s="383"/>
      <c r="O47" s="317"/>
      <c r="S47" s="295"/>
      <c r="T47" s="298">
        <f t="shared" si="1"/>
        <v>43992</v>
      </c>
      <c r="U47" s="6"/>
      <c r="V47" s="299"/>
      <c r="W47" s="6"/>
      <c r="X47" s="44"/>
      <c r="Y47" s="6"/>
      <c r="Z47" s="300"/>
      <c r="AA47" s="6"/>
      <c r="AB47" s="304"/>
      <c r="AC47" s="297"/>
    </row>
    <row r="48" spans="3:29" x14ac:dyDescent="0.3">
      <c r="D48" s="572" t="s">
        <v>49</v>
      </c>
      <c r="E48" s="573"/>
      <c r="F48" s="573"/>
      <c r="G48" s="573"/>
      <c r="H48" s="573"/>
      <c r="I48" s="315">
        <f>+I46-I47</f>
        <v>22172</v>
      </c>
      <c r="J48" s="382"/>
      <c r="K48" s="383"/>
      <c r="L48" s="383"/>
      <c r="M48" s="383"/>
      <c r="N48" s="383"/>
      <c r="O48" s="317"/>
      <c r="S48" s="295"/>
      <c r="T48" s="298">
        <f t="shared" si="1"/>
        <v>43993</v>
      </c>
      <c r="U48" s="6"/>
      <c r="V48" s="299"/>
      <c r="W48" s="6"/>
      <c r="X48" s="44"/>
      <c r="Y48" s="6"/>
      <c r="Z48" s="300"/>
      <c r="AA48" s="6"/>
      <c r="AB48" s="304"/>
      <c r="AC48" s="297"/>
    </row>
    <row r="49" spans="4:29" x14ac:dyDescent="0.3">
      <c r="D49" s="325"/>
      <c r="E49" s="310" t="s">
        <v>73</v>
      </c>
      <c r="F49" s="312"/>
      <c r="G49" s="312"/>
      <c r="H49" s="312"/>
      <c r="I49" s="384">
        <f>+I47</f>
        <v>0</v>
      </c>
      <c r="J49" s="382"/>
      <c r="K49" s="383"/>
      <c r="L49" s="383"/>
      <c r="M49" s="383"/>
      <c r="N49" s="383"/>
      <c r="O49" s="317"/>
      <c r="S49" s="295"/>
      <c r="T49" s="298">
        <f t="shared" si="1"/>
        <v>43994</v>
      </c>
      <c r="U49" s="6"/>
      <c r="V49" s="299"/>
      <c r="W49" s="6"/>
      <c r="X49" s="44"/>
      <c r="Y49" s="6"/>
      <c r="Z49" s="300"/>
      <c r="AA49" s="6"/>
      <c r="AB49" s="304"/>
      <c r="AC49" s="297"/>
    </row>
    <row r="50" spans="4:29" ht="15" thickBot="1" x14ac:dyDescent="0.35">
      <c r="D50" s="572" t="s">
        <v>46</v>
      </c>
      <c r="E50" s="573"/>
      <c r="F50" s="573"/>
      <c r="G50" s="573"/>
      <c r="H50" s="573"/>
      <c r="I50" s="386">
        <f>+I48+I49</f>
        <v>22172</v>
      </c>
      <c r="J50" s="382"/>
      <c r="K50" s="574">
        <v>30167</v>
      </c>
      <c r="L50" s="574"/>
      <c r="M50" s="383"/>
      <c r="N50" s="387">
        <f>+K50-I50</f>
        <v>7995</v>
      </c>
      <c r="O50" s="317"/>
      <c r="S50" s="295"/>
      <c r="T50" s="298">
        <f t="shared" si="1"/>
        <v>43995</v>
      </c>
      <c r="U50" s="6"/>
      <c r="V50" s="299"/>
      <c r="W50" s="6"/>
      <c r="X50" s="44"/>
      <c r="Y50" s="6"/>
      <c r="Z50" s="300"/>
      <c r="AA50" s="6"/>
      <c r="AB50" s="304"/>
      <c r="AC50" s="297"/>
    </row>
    <row r="51" spans="4:29" ht="15.6" thickTop="1" thickBot="1" x14ac:dyDescent="0.35">
      <c r="D51" s="316"/>
      <c r="E51" s="575" t="s">
        <v>71</v>
      </c>
      <c r="F51" s="575"/>
      <c r="G51" s="575"/>
      <c r="H51" s="314"/>
      <c r="I51" s="388">
        <f>+I50/K50</f>
        <v>0.73497530414028578</v>
      </c>
      <c r="J51" s="383"/>
      <c r="K51" s="383"/>
      <c r="L51" s="383"/>
      <c r="M51" s="383"/>
      <c r="N51" s="389">
        <f>+N50/K50</f>
        <v>0.26502469585971428</v>
      </c>
      <c r="O51" s="317"/>
      <c r="R51" s="56"/>
      <c r="S51" s="301"/>
      <c r="T51" s="397">
        <f>+T50+1</f>
        <v>43996</v>
      </c>
      <c r="U51" s="292"/>
      <c r="V51" s="398"/>
      <c r="W51" s="292"/>
      <c r="X51" s="302"/>
      <c r="Y51" s="292"/>
      <c r="Z51" s="399"/>
      <c r="AA51" s="292"/>
      <c r="AB51" s="400"/>
      <c r="AC51" s="303"/>
    </row>
    <row r="52" spans="4:29" ht="15.6" thickTop="1" thickBot="1" x14ac:dyDescent="0.35">
      <c r="D52" s="326"/>
      <c r="E52" s="327"/>
      <c r="F52" s="327"/>
      <c r="G52" s="327"/>
      <c r="H52" s="327"/>
      <c r="I52" s="390"/>
      <c r="J52" s="391"/>
      <c r="K52" s="392"/>
      <c r="L52" s="392"/>
      <c r="M52" s="392"/>
      <c r="N52" s="392"/>
      <c r="O52" s="320"/>
    </row>
    <row r="53" spans="4:29" ht="15" thickBot="1" x14ac:dyDescent="0.35">
      <c r="D53" s="90"/>
      <c r="E53" s="152"/>
      <c r="F53" s="152"/>
      <c r="G53" s="152"/>
      <c r="H53" s="152"/>
      <c r="I53" s="356"/>
      <c r="J53" s="90"/>
      <c r="K53" s="110"/>
      <c r="L53" s="110"/>
      <c r="M53" s="362"/>
      <c r="N53" s="110"/>
      <c r="O53" s="110"/>
      <c r="P53" s="61"/>
      <c r="Q53" s="61"/>
    </row>
    <row r="54" spans="4:29" ht="16.2" thickBot="1" x14ac:dyDescent="0.35">
      <c r="D54" s="363"/>
      <c r="E54" s="538" t="s">
        <v>130</v>
      </c>
      <c r="F54" s="539"/>
      <c r="G54" s="539"/>
      <c r="H54" s="539"/>
      <c r="I54" s="539"/>
      <c r="J54" s="540"/>
      <c r="K54" s="364"/>
      <c r="L54" s="367" t="s">
        <v>10</v>
      </c>
      <c r="M54" s="366"/>
      <c r="N54" s="110"/>
      <c r="O54" s="110"/>
      <c r="P54" s="61"/>
      <c r="Q54" s="61"/>
    </row>
    <row r="55" spans="4:29" x14ac:dyDescent="0.3">
      <c r="D55" s="325"/>
      <c r="E55" s="357" t="s">
        <v>90</v>
      </c>
      <c r="F55" s="312"/>
      <c r="G55" s="312"/>
      <c r="H55" s="312"/>
      <c r="I55" s="576">
        <f>+K50</f>
        <v>30167</v>
      </c>
      <c r="J55" s="576"/>
      <c r="K55" s="312"/>
      <c r="L55" s="358">
        <f>+I55/$I$55</f>
        <v>1</v>
      </c>
      <c r="M55" s="365"/>
      <c r="N55" s="110"/>
      <c r="O55" s="110"/>
      <c r="P55" s="61"/>
      <c r="Q55" s="61"/>
    </row>
    <row r="56" spans="4:29" x14ac:dyDescent="0.3">
      <c r="D56" s="325"/>
      <c r="E56" s="357"/>
      <c r="F56" s="312"/>
      <c r="G56" s="312"/>
      <c r="H56" s="312"/>
      <c r="I56" s="312"/>
      <c r="J56" s="312"/>
      <c r="K56" s="312"/>
      <c r="L56" s="312"/>
      <c r="M56" s="365"/>
      <c r="N56" s="110"/>
      <c r="O56" s="110"/>
      <c r="P56" s="61"/>
      <c r="Q56" s="61"/>
    </row>
    <row r="57" spans="4:29" x14ac:dyDescent="0.3">
      <c r="D57" s="316"/>
      <c r="E57" s="313"/>
      <c r="F57" s="359" t="s">
        <v>115</v>
      </c>
      <c r="G57" s="359"/>
      <c r="H57" s="313"/>
      <c r="I57" s="577">
        <f>+I50</f>
        <v>22172</v>
      </c>
      <c r="J57" s="578"/>
      <c r="K57" s="313"/>
      <c r="L57" s="358">
        <f>+I57/$I$55</f>
        <v>0.73497530414028578</v>
      </c>
      <c r="M57" s="317"/>
      <c r="N57" s="110"/>
      <c r="O57" s="110"/>
      <c r="P57" s="61"/>
      <c r="Q57" s="61"/>
    </row>
    <row r="58" spans="4:29" x14ac:dyDescent="0.3">
      <c r="D58" s="316"/>
      <c r="E58" s="313"/>
      <c r="F58" s="313" t="s">
        <v>91</v>
      </c>
      <c r="G58" s="313"/>
      <c r="H58" s="313"/>
      <c r="I58" s="579">
        <f>+I44</f>
        <v>1836</v>
      </c>
      <c r="J58" s="580"/>
      <c r="K58" s="313"/>
      <c r="L58" s="358">
        <f>+I58/$I$55</f>
        <v>6.0861205953525378E-2</v>
      </c>
      <c r="M58" s="317"/>
      <c r="N58" s="110"/>
      <c r="O58" s="110"/>
      <c r="P58" s="61"/>
      <c r="Q58" s="61"/>
    </row>
    <row r="59" spans="4:29" ht="15" thickBot="1" x14ac:dyDescent="0.35">
      <c r="D59" s="316"/>
      <c r="E59" s="581" t="s">
        <v>116</v>
      </c>
      <c r="F59" s="581"/>
      <c r="G59" s="581"/>
      <c r="H59" s="313"/>
      <c r="I59" s="541">
        <f>+I55-I57-I58</f>
        <v>6159</v>
      </c>
      <c r="J59" s="582"/>
      <c r="K59" s="360"/>
      <c r="L59" s="361">
        <f>+I59/$I$55</f>
        <v>0.20416348990618888</v>
      </c>
      <c r="M59" s="317"/>
      <c r="N59" s="110"/>
      <c r="O59" s="110"/>
      <c r="P59" s="158"/>
      <c r="Q59" s="158"/>
    </row>
    <row r="60" spans="4:29" ht="15" thickTop="1" x14ac:dyDescent="0.3">
      <c r="D60" s="316"/>
      <c r="E60" s="471"/>
      <c r="F60" s="471" t="s">
        <v>131</v>
      </c>
      <c r="G60" s="471"/>
      <c r="H60" s="313"/>
      <c r="I60" s="583">
        <f>+I45</f>
        <v>1397</v>
      </c>
      <c r="J60" s="583"/>
      <c r="K60" s="360"/>
      <c r="L60" s="380"/>
      <c r="M60" s="317"/>
      <c r="N60" s="110"/>
      <c r="O60" s="110"/>
      <c r="P60" s="158"/>
      <c r="Q60" s="158"/>
    </row>
    <row r="61" spans="4:29" ht="15" thickBot="1" x14ac:dyDescent="0.35">
      <c r="D61" s="316"/>
      <c r="E61" s="379"/>
      <c r="F61" s="379" t="s">
        <v>132</v>
      </c>
      <c r="G61" s="379"/>
      <c r="H61" s="313"/>
      <c r="I61" s="541">
        <f>+I59-I60</f>
        <v>4762</v>
      </c>
      <c r="J61" s="541"/>
      <c r="K61" s="360"/>
      <c r="L61" s="361">
        <f>+I61/K50</f>
        <v>0.15785460934133325</v>
      </c>
      <c r="M61" s="317"/>
      <c r="N61" s="110"/>
      <c r="O61" s="110"/>
      <c r="P61" s="61"/>
      <c r="Q61" s="61"/>
    </row>
    <row r="62" spans="4:29" ht="15.6" thickTop="1" thickBot="1" x14ac:dyDescent="0.35">
      <c r="D62" s="318"/>
      <c r="E62" s="319"/>
      <c r="F62" s="319"/>
      <c r="G62" s="319"/>
      <c r="H62" s="319"/>
      <c r="I62" s="319"/>
      <c r="J62" s="319"/>
      <c r="K62" s="319"/>
      <c r="L62" s="319"/>
      <c r="M62" s="320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38" t="s">
        <v>119</v>
      </c>
      <c r="F64" s="539"/>
      <c r="G64" s="539"/>
      <c r="H64" s="539"/>
      <c r="I64" s="539"/>
      <c r="J64" s="539"/>
      <c r="K64" s="539"/>
      <c r="L64" s="539"/>
      <c r="M64" s="540"/>
      <c r="P64" s="373"/>
      <c r="Q64" s="373"/>
    </row>
    <row r="65" spans="4:18" x14ac:dyDescent="0.3">
      <c r="E65" s="368"/>
      <c r="F65" s="321" t="s">
        <v>111</v>
      </c>
      <c r="G65" s="321"/>
      <c r="H65" s="321"/>
      <c r="I65" s="571">
        <v>11690000</v>
      </c>
      <c r="J65" s="571"/>
      <c r="K65" s="571"/>
      <c r="L65" s="571"/>
      <c r="M65" s="369"/>
      <c r="P65" s="57">
        <f>+I59/I65</f>
        <v>5.2686056458511551E-4</v>
      </c>
      <c r="Q65" s="57"/>
      <c r="R65" s="57"/>
    </row>
    <row r="66" spans="4:18" x14ac:dyDescent="0.3">
      <c r="E66" s="368"/>
      <c r="F66" s="321" t="s">
        <v>112</v>
      </c>
      <c r="G66" s="321"/>
      <c r="H66" s="321"/>
      <c r="I66" s="321"/>
      <c r="J66" s="321"/>
      <c r="K66" s="321"/>
      <c r="L66" s="322">
        <f>+I59/I65</f>
        <v>5.2686056458511551E-4</v>
      </c>
      <c r="M66" s="369"/>
    </row>
    <row r="67" spans="4:18" x14ac:dyDescent="0.3">
      <c r="E67" s="368"/>
      <c r="F67" s="537" t="s">
        <v>110</v>
      </c>
      <c r="G67" s="537"/>
      <c r="H67" s="321"/>
      <c r="I67" s="321"/>
      <c r="J67" s="321"/>
      <c r="K67" s="321"/>
      <c r="L67" s="381">
        <f>+I59/(I65/100000)</f>
        <v>52.686056458511544</v>
      </c>
      <c r="M67" s="369"/>
    </row>
    <row r="68" spans="4:18" ht="15" thickBot="1" x14ac:dyDescent="0.35">
      <c r="E68" s="370"/>
      <c r="F68" s="371"/>
      <c r="G68" s="371"/>
      <c r="H68" s="371"/>
      <c r="I68" s="371"/>
      <c r="J68" s="371"/>
      <c r="K68" s="371"/>
      <c r="L68" s="371"/>
      <c r="M68" s="372"/>
    </row>
    <row r="71" spans="4:18" ht="15" thickBot="1" x14ac:dyDescent="0.35"/>
    <row r="72" spans="4:18" ht="15" thickBot="1" x14ac:dyDescent="0.35">
      <c r="D72" s="600" t="s">
        <v>133</v>
      </c>
      <c r="E72" s="601"/>
      <c r="F72" s="601"/>
      <c r="G72" s="601"/>
      <c r="H72" s="601"/>
      <c r="I72" s="601"/>
      <c r="J72" s="601"/>
      <c r="K72" s="601"/>
      <c r="L72" s="601"/>
      <c r="M72" s="601"/>
      <c r="N72" s="601"/>
      <c r="O72" s="602"/>
    </row>
    <row r="73" spans="4:18" ht="15" thickBot="1" x14ac:dyDescent="0.35">
      <c r="D73" s="401"/>
      <c r="E73" s="603" t="s">
        <v>77</v>
      </c>
      <c r="F73" s="603"/>
      <c r="G73" s="603"/>
      <c r="H73" s="603"/>
      <c r="I73" s="402" t="s">
        <v>76</v>
      </c>
      <c r="J73" s="403"/>
      <c r="K73" s="604" t="s">
        <v>37</v>
      </c>
      <c r="L73" s="604"/>
      <c r="M73" s="404"/>
      <c r="N73" s="405" t="s">
        <v>75</v>
      </c>
      <c r="O73" s="406"/>
    </row>
    <row r="74" spans="4:18" x14ac:dyDescent="0.3">
      <c r="D74" s="407"/>
      <c r="E74" s="408" t="s">
        <v>43</v>
      </c>
      <c r="F74" s="409"/>
      <c r="G74" s="408"/>
      <c r="H74" s="408"/>
      <c r="I74" s="410">
        <v>38828</v>
      </c>
      <c r="J74" s="410"/>
      <c r="K74" s="411"/>
      <c r="L74" s="411"/>
      <c r="M74" s="411"/>
      <c r="N74" s="411"/>
      <c r="O74" s="412"/>
    </row>
    <row r="75" spans="4:18" x14ac:dyDescent="0.3">
      <c r="D75" s="407"/>
      <c r="E75" s="408" t="s">
        <v>44</v>
      </c>
      <c r="F75" s="408" t="s">
        <v>4</v>
      </c>
      <c r="G75" s="408"/>
      <c r="H75" s="408"/>
      <c r="I75" s="410">
        <v>2144</v>
      </c>
      <c r="J75" s="410"/>
      <c r="K75" s="411"/>
      <c r="L75" s="411"/>
      <c r="M75" s="411"/>
      <c r="N75" s="411"/>
      <c r="O75" s="412"/>
    </row>
    <row r="76" spans="4:18" x14ac:dyDescent="0.3">
      <c r="D76" s="407"/>
      <c r="E76" s="408"/>
      <c r="F76" s="408" t="s">
        <v>45</v>
      </c>
      <c r="G76" s="408"/>
      <c r="H76" s="408"/>
      <c r="I76" s="413"/>
      <c r="J76" s="410"/>
      <c r="K76" s="411"/>
      <c r="L76" s="410"/>
      <c r="M76" s="411"/>
      <c r="N76" s="414"/>
      <c r="O76" s="412"/>
    </row>
    <row r="77" spans="4:18" x14ac:dyDescent="0.3">
      <c r="D77" s="407"/>
      <c r="E77" s="408"/>
      <c r="F77" s="415" t="s">
        <v>72</v>
      </c>
      <c r="G77" s="415"/>
      <c r="H77" s="415"/>
      <c r="I77" s="410">
        <f>+I74-I75-I76</f>
        <v>36684</v>
      </c>
      <c r="J77" s="410"/>
      <c r="K77" s="411"/>
      <c r="L77" s="411"/>
      <c r="M77" s="411"/>
      <c r="N77" s="411"/>
      <c r="O77" s="412"/>
    </row>
    <row r="78" spans="4:18" x14ac:dyDescent="0.3">
      <c r="D78" s="407"/>
      <c r="E78" s="408" t="s">
        <v>79</v>
      </c>
      <c r="F78" s="16"/>
      <c r="G78" s="16"/>
      <c r="H78" s="16"/>
      <c r="I78" s="413">
        <f>+'Main Table'!AO141</f>
        <v>0</v>
      </c>
      <c r="J78" s="410"/>
      <c r="K78" s="411"/>
      <c r="L78" s="411"/>
      <c r="M78" s="411"/>
      <c r="N78" s="411"/>
      <c r="O78" s="412"/>
    </row>
    <row r="79" spans="4:18" x14ac:dyDescent="0.3">
      <c r="D79" s="605" t="s">
        <v>49</v>
      </c>
      <c r="E79" s="606"/>
      <c r="F79" s="606"/>
      <c r="G79" s="606"/>
      <c r="H79" s="606"/>
      <c r="I79" s="416">
        <f>+I77-I78</f>
        <v>36684</v>
      </c>
      <c r="J79" s="410"/>
      <c r="K79" s="411"/>
      <c r="L79" s="411"/>
      <c r="M79" s="411"/>
      <c r="N79" s="411"/>
      <c r="O79" s="412"/>
    </row>
    <row r="80" spans="4:18" x14ac:dyDescent="0.3">
      <c r="D80" s="407"/>
      <c r="E80" s="408" t="s">
        <v>73</v>
      </c>
      <c r="F80" s="16"/>
      <c r="G80" s="16"/>
      <c r="H80" s="16"/>
      <c r="I80" s="413">
        <f>+I78</f>
        <v>0</v>
      </c>
      <c r="J80" s="410"/>
      <c r="K80" s="411"/>
      <c r="L80" s="411"/>
      <c r="M80" s="411"/>
      <c r="N80" s="411"/>
      <c r="O80" s="412"/>
    </row>
    <row r="81" spans="4:18" ht="15" thickBot="1" x14ac:dyDescent="0.35">
      <c r="D81" s="605" t="s">
        <v>46</v>
      </c>
      <c r="E81" s="606"/>
      <c r="F81" s="606"/>
      <c r="G81" s="606"/>
      <c r="H81" s="606"/>
      <c r="I81" s="417">
        <f>+I79+I80</f>
        <v>36684</v>
      </c>
      <c r="J81" s="410"/>
      <c r="K81" s="608">
        <v>48675</v>
      </c>
      <c r="L81" s="608"/>
      <c r="M81" s="411"/>
      <c r="N81" s="418">
        <f>+K81-I81</f>
        <v>11991</v>
      </c>
      <c r="O81" s="412"/>
      <c r="R81" s="57"/>
    </row>
    <row r="82" spans="4:18" ht="15.6" thickTop="1" thickBot="1" x14ac:dyDescent="0.35">
      <c r="D82" s="419"/>
      <c r="E82" s="607" t="s">
        <v>71</v>
      </c>
      <c r="F82" s="607"/>
      <c r="G82" s="607"/>
      <c r="H82" s="415"/>
      <c r="I82" s="420">
        <f>+I81/K81</f>
        <v>0.75365177195685673</v>
      </c>
      <c r="J82" s="411"/>
      <c r="K82" s="411"/>
      <c r="L82" s="411"/>
      <c r="M82" s="411"/>
      <c r="N82" s="421">
        <f>+N81/K81</f>
        <v>0.2463482280431433</v>
      </c>
      <c r="O82" s="412"/>
    </row>
    <row r="83" spans="4:18" ht="15.6" thickTop="1" thickBot="1" x14ac:dyDescent="0.35">
      <c r="D83" s="422"/>
      <c r="E83" s="423"/>
      <c r="F83" s="423"/>
      <c r="G83" s="423"/>
      <c r="H83" s="423"/>
      <c r="I83" s="424"/>
      <c r="J83" s="425"/>
      <c r="K83" s="426"/>
      <c r="L83" s="426"/>
      <c r="M83" s="426"/>
      <c r="N83" s="426"/>
      <c r="O83" s="427"/>
    </row>
    <row r="84" spans="4:18" ht="15" thickBot="1" x14ac:dyDescent="0.35">
      <c r="D84" s="90"/>
      <c r="E84" s="152"/>
      <c r="F84" s="152"/>
      <c r="G84" s="152"/>
      <c r="H84" s="152"/>
      <c r="I84" s="356"/>
      <c r="J84" s="90"/>
      <c r="K84" s="110"/>
      <c r="L84" s="110"/>
      <c r="M84" s="362"/>
      <c r="N84" s="110"/>
      <c r="O84" s="110"/>
    </row>
    <row r="85" spans="4:18" ht="16.2" thickBot="1" x14ac:dyDescent="0.35">
      <c r="D85" s="428"/>
      <c r="E85" s="584" t="s">
        <v>134</v>
      </c>
      <c r="F85" s="585"/>
      <c r="G85" s="585"/>
      <c r="H85" s="585"/>
      <c r="I85" s="585"/>
      <c r="J85" s="586"/>
      <c r="K85" s="429"/>
      <c r="L85" s="441" t="s">
        <v>10</v>
      </c>
      <c r="M85" s="430"/>
      <c r="N85" s="110"/>
      <c r="O85" s="110"/>
    </row>
    <row r="86" spans="4:18" x14ac:dyDescent="0.3">
      <c r="D86" s="407"/>
      <c r="E86" s="431" t="s">
        <v>90</v>
      </c>
      <c r="F86" s="16"/>
      <c r="G86" s="16"/>
      <c r="H86" s="16"/>
      <c r="I86" s="587">
        <f>+K81</f>
        <v>48675</v>
      </c>
      <c r="J86" s="587"/>
      <c r="K86" s="16"/>
      <c r="L86" s="60">
        <f>+I86/$I$86</f>
        <v>1</v>
      </c>
      <c r="M86" s="432"/>
      <c r="N86" s="110"/>
      <c r="O86" s="110"/>
    </row>
    <row r="87" spans="4:18" x14ac:dyDescent="0.3">
      <c r="D87" s="407"/>
      <c r="E87" s="431"/>
      <c r="F87" s="16"/>
      <c r="G87" s="16"/>
      <c r="H87" s="16"/>
      <c r="I87" s="16"/>
      <c r="J87" s="16"/>
      <c r="K87" s="16"/>
      <c r="L87" s="16"/>
      <c r="M87" s="432"/>
      <c r="N87" s="110"/>
      <c r="O87" s="110"/>
    </row>
    <row r="88" spans="4:18" x14ac:dyDescent="0.3">
      <c r="D88" s="419"/>
      <c r="E88" s="15"/>
      <c r="F88" s="433" t="s">
        <v>115</v>
      </c>
      <c r="G88" s="433"/>
      <c r="H88" s="15"/>
      <c r="I88" s="588">
        <f>+I81</f>
        <v>36684</v>
      </c>
      <c r="J88" s="589"/>
      <c r="K88" s="15"/>
      <c r="L88" s="60">
        <f>+I88/$I$86</f>
        <v>0.75365177195685673</v>
      </c>
      <c r="M88" s="412"/>
      <c r="N88" s="110"/>
      <c r="O88" s="110"/>
    </row>
    <row r="89" spans="4:18" x14ac:dyDescent="0.3">
      <c r="D89" s="419"/>
      <c r="E89" s="15"/>
      <c r="F89" s="15" t="s">
        <v>91</v>
      </c>
      <c r="G89" s="15"/>
      <c r="H89" s="15"/>
      <c r="I89" s="590">
        <f>+I75</f>
        <v>2144</v>
      </c>
      <c r="J89" s="591"/>
      <c r="K89" s="15"/>
      <c r="L89" s="60">
        <f>+I89/$I$86</f>
        <v>4.4047252182845401E-2</v>
      </c>
      <c r="M89" s="412"/>
      <c r="N89" s="110"/>
      <c r="O89" s="110"/>
    </row>
    <row r="90" spans="4:18" ht="15" thickBot="1" x14ac:dyDescent="0.35">
      <c r="D90" s="419"/>
      <c r="E90" s="593" t="s">
        <v>116</v>
      </c>
      <c r="F90" s="593"/>
      <c r="G90" s="593"/>
      <c r="H90" s="15"/>
      <c r="I90" s="594">
        <f>+I86-I88-I89</f>
        <v>9847</v>
      </c>
      <c r="J90" s="595"/>
      <c r="K90" s="434"/>
      <c r="L90" s="435">
        <f>+I90/$I$86</f>
        <v>0.20230097586029788</v>
      </c>
      <c r="M90" s="412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9"/>
      <c r="E91" s="436"/>
      <c r="F91" s="436"/>
      <c r="G91" s="436"/>
      <c r="H91" s="15"/>
      <c r="I91" s="437"/>
      <c r="J91" s="436"/>
      <c r="K91" s="434"/>
      <c r="L91" s="438"/>
      <c r="M91" s="412"/>
      <c r="N91" s="110"/>
      <c r="O91" s="110"/>
    </row>
    <row r="92" spans="4:18" ht="15" thickBot="1" x14ac:dyDescent="0.35">
      <c r="D92" s="439"/>
      <c r="E92" s="440"/>
      <c r="F92" s="440"/>
      <c r="G92" s="440"/>
      <c r="H92" s="440"/>
      <c r="I92" s="440"/>
      <c r="J92" s="440"/>
      <c r="K92" s="440"/>
      <c r="L92" s="440"/>
      <c r="M92" s="427"/>
      <c r="N92" s="110"/>
      <c r="O92" s="110"/>
    </row>
    <row r="93" spans="4:18" ht="15" thickBot="1" x14ac:dyDescent="0.35"/>
    <row r="94" spans="4:18" ht="15" thickBot="1" x14ac:dyDescent="0.35">
      <c r="E94" s="596" t="s">
        <v>121</v>
      </c>
      <c r="F94" s="597"/>
      <c r="G94" s="597"/>
      <c r="H94" s="597"/>
      <c r="I94" s="597"/>
      <c r="J94" s="597"/>
      <c r="K94" s="597"/>
      <c r="L94" s="597"/>
      <c r="M94" s="598"/>
    </row>
    <row r="95" spans="4:18" x14ac:dyDescent="0.3">
      <c r="E95" s="442"/>
      <c r="F95" s="443" t="s">
        <v>122</v>
      </c>
      <c r="G95" s="443"/>
      <c r="H95" s="443"/>
      <c r="I95" s="599">
        <v>21477737</v>
      </c>
      <c r="J95" s="599"/>
      <c r="K95" s="599"/>
      <c r="L95" s="599"/>
      <c r="M95" s="444"/>
    </row>
    <row r="96" spans="4:18" x14ac:dyDescent="0.3">
      <c r="E96" s="442"/>
      <c r="F96" s="443" t="s">
        <v>112</v>
      </c>
      <c r="G96" s="443"/>
      <c r="H96" s="443"/>
      <c r="I96" s="443"/>
      <c r="J96" s="443"/>
      <c r="K96" s="443"/>
      <c r="L96" s="445">
        <f>+I90/I95</f>
        <v>4.5847474526762295E-4</v>
      </c>
      <c r="M96" s="444"/>
    </row>
    <row r="97" spans="5:13" x14ac:dyDescent="0.3">
      <c r="E97" s="442"/>
      <c r="F97" s="592" t="s">
        <v>110</v>
      </c>
      <c r="G97" s="592"/>
      <c r="H97" s="443"/>
      <c r="I97" s="443"/>
      <c r="J97" s="443"/>
      <c r="K97" s="443"/>
      <c r="L97" s="446">
        <f>+I90/(I95/100000)</f>
        <v>45.847474526762298</v>
      </c>
      <c r="M97" s="444"/>
    </row>
    <row r="98" spans="5:13" x14ac:dyDescent="0.3">
      <c r="E98" s="442"/>
      <c r="F98" s="447"/>
      <c r="G98" s="447"/>
      <c r="H98" s="443"/>
      <c r="I98" s="443"/>
      <c r="J98" s="443"/>
      <c r="K98" s="443"/>
      <c r="L98" s="446"/>
      <c r="M98" s="444"/>
    </row>
    <row r="99" spans="5:13" x14ac:dyDescent="0.3">
      <c r="E99" s="442"/>
      <c r="F99" s="447" t="s">
        <v>123</v>
      </c>
      <c r="G99" s="447"/>
      <c r="H99" s="592" t="s">
        <v>124</v>
      </c>
      <c r="I99" s="592"/>
      <c r="J99" s="443"/>
      <c r="K99" s="443"/>
      <c r="L99" s="446"/>
      <c r="M99" s="444"/>
    </row>
    <row r="100" spans="5:13" ht="15" thickBot="1" x14ac:dyDescent="0.35">
      <c r="E100" s="448"/>
      <c r="F100" s="449"/>
      <c r="G100" s="449"/>
      <c r="H100" s="449"/>
      <c r="I100" s="449"/>
      <c r="J100" s="449"/>
      <c r="K100" s="449"/>
      <c r="L100" s="449"/>
      <c r="M100" s="450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83" t="s">
        <v>5</v>
      </c>
      <c r="C1" s="483"/>
      <c r="D1" s="483"/>
    </row>
    <row r="2" spans="2:31" ht="15.6" x14ac:dyDescent="0.3">
      <c r="B2" s="483" t="s">
        <v>6</v>
      </c>
      <c r="C2" s="483"/>
      <c r="D2" s="483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10" t="s">
        <v>23</v>
      </c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2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Table'!J94</f>
        <v>9.585761252938349E-3</v>
      </c>
      <c r="U14" s="231"/>
      <c r="V14" s="1"/>
      <c r="X14" s="235"/>
      <c r="Y14" s="609" t="s">
        <v>63</v>
      </c>
      <c r="Z14" s="609"/>
      <c r="AA14" s="609"/>
      <c r="AB14" s="609"/>
      <c r="AC14" s="609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86253.959512644797</v>
      </c>
      <c r="Q15" s="81"/>
      <c r="R15" s="81"/>
      <c r="S15" s="81"/>
      <c r="T15" s="82">
        <f t="shared" ref="T15:T59" si="5">+T14</f>
        <v>9.585761252938349E-3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87080.769375653632</v>
      </c>
      <c r="Q16" s="81"/>
      <c r="R16" s="81"/>
      <c r="S16" s="81"/>
      <c r="T16" s="82">
        <f t="shared" si="5"/>
        <v>9.585761252938349E-3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87915.50484061084</v>
      </c>
      <c r="Q17" s="81"/>
      <c r="R17" s="81"/>
      <c r="S17" s="81"/>
      <c r="T17" s="82">
        <f t="shared" si="5"/>
        <v>9.585761252938349E-3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88758.24188044449</v>
      </c>
      <c r="Q18" s="81"/>
      <c r="R18" s="81"/>
      <c r="S18" s="81"/>
      <c r="T18" s="82">
        <f t="shared" si="5"/>
        <v>9.585761252938349E-3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89609.057196340989</v>
      </c>
      <c r="Q19" s="81"/>
      <c r="R19" s="81"/>
      <c r="S19" s="81"/>
      <c r="T19" s="82">
        <f t="shared" si="5"/>
        <v>9.585761252938349E-3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90468.028224726018</v>
      </c>
      <c r="Q20" s="81"/>
      <c r="R20" s="81"/>
      <c r="S20" s="81"/>
      <c r="T20" s="82">
        <f t="shared" si="5"/>
        <v>9.585761252938349E-3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91335.23314431234</v>
      </c>
      <c r="Q21" s="81"/>
      <c r="R21" s="81"/>
      <c r="S21" s="81"/>
      <c r="T21" s="82">
        <f t="shared" si="5"/>
        <v>9.585761252938349E-3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92210.75088321518</v>
      </c>
      <c r="Q22" s="81"/>
      <c r="R22" s="81"/>
      <c r="S22" s="81"/>
      <c r="T22" s="82">
        <f t="shared" si="5"/>
        <v>9.585761252938349E-3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93094.661126135863</v>
      </c>
      <c r="Q23" s="81"/>
      <c r="R23" s="81"/>
      <c r="S23" s="81"/>
      <c r="T23" s="82">
        <f t="shared" si="5"/>
        <v>9.585761252938349E-3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93987.044321614216</v>
      </c>
      <c r="Q24" s="81"/>
      <c r="R24" s="81"/>
      <c r="S24" s="81"/>
      <c r="T24" s="82">
        <f t="shared" si="5"/>
        <v>9.585761252938349E-3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94887.981689350549</v>
      </c>
      <c r="Q25" s="81"/>
      <c r="R25" s="81"/>
      <c r="S25" s="81"/>
      <c r="T25" s="82">
        <f t="shared" si="5"/>
        <v>9.585761252938349E-3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95797.555227597855</v>
      </c>
      <c r="Q26" s="81"/>
      <c r="R26" s="81"/>
      <c r="S26" s="81"/>
      <c r="T26" s="82">
        <f t="shared" si="5"/>
        <v>9.585761252938349E-3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96715.847720624792</v>
      </c>
      <c r="Q27" s="81"/>
      <c r="R27" s="81"/>
      <c r="S27" s="81"/>
      <c r="T27" s="82">
        <f t="shared" si="5"/>
        <v>9.585761252938349E-3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97642.94274625025</v>
      </c>
      <c r="Q28" s="81"/>
      <c r="R28" s="81"/>
      <c r="S28" s="81"/>
      <c r="T28" s="82">
        <f t="shared" si="5"/>
        <v>9.585761252938349E-3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98578.924683450139</v>
      </c>
      <c r="Q29" s="81"/>
      <c r="R29" s="81"/>
      <c r="S29" s="81"/>
      <c r="T29" s="82">
        <f t="shared" si="5"/>
        <v>9.585761252938349E-3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99523.878720037086</v>
      </c>
      <c r="Q30" s="81"/>
      <c r="R30" s="81"/>
      <c r="S30" s="81"/>
      <c r="T30" s="82">
        <f t="shared" si="5"/>
        <v>9.585761252938349E-3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100477.89086041375</v>
      </c>
      <c r="Q31" s="81"/>
      <c r="R31" s="81"/>
      <c r="S31" s="81"/>
      <c r="T31" s="82">
        <f t="shared" si="5"/>
        <v>9.585761252938349E-3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101441.04793340048</v>
      </c>
      <c r="Q32" s="81"/>
      <c r="R32" s="81"/>
      <c r="S32" s="81"/>
      <c r="T32" s="82">
        <f t="shared" si="5"/>
        <v>9.585761252938349E-3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102413.43760013794</v>
      </c>
      <c r="Q33" s="81"/>
      <c r="R33" s="81"/>
      <c r="S33" s="81"/>
      <c r="T33" s="82">
        <f t="shared" si="5"/>
        <v>9.585761252938349E-3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103395.14836206558</v>
      </c>
      <c r="Q34" s="81"/>
      <c r="R34" s="81"/>
      <c r="S34" s="81"/>
      <c r="T34" s="82">
        <f t="shared" si="5"/>
        <v>9.585761252938349E-3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104386.26956897648</v>
      </c>
      <c r="Q35" s="81"/>
      <c r="R35" s="81"/>
      <c r="S35" s="81"/>
      <c r="T35" s="82">
        <f t="shared" si="5"/>
        <v>9.585761252938349E-3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105386.89142714956</v>
      </c>
      <c r="Q36" s="81"/>
      <c r="R36" s="81"/>
      <c r="S36" s="81"/>
      <c r="T36" s="82">
        <f t="shared" si="5"/>
        <v>9.585761252938349E-3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106397.10500755956</v>
      </c>
      <c r="Q37" s="81"/>
      <c r="R37" s="81"/>
      <c r="S37" s="81"/>
      <c r="T37" s="82">
        <f t="shared" si="5"/>
        <v>9.585761252938349E-3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107417.00225416584</v>
      </c>
      <c r="Q38" s="81"/>
      <c r="R38" s="81"/>
      <c r="S38" s="81"/>
      <c r="T38" s="82">
        <f t="shared" si="5"/>
        <v>9.585761252938349E-3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108446.67599228062</v>
      </c>
      <c r="Q39" s="81"/>
      <c r="R39" s="81"/>
      <c r="S39" s="81"/>
      <c r="T39" s="82">
        <f t="shared" si="5"/>
        <v>9.585761252938349E-3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109486.21993701739</v>
      </c>
      <c r="Q40" s="81"/>
      <c r="R40" s="81"/>
      <c r="S40" s="81"/>
      <c r="T40" s="82">
        <f t="shared" si="5"/>
        <v>9.585761252938349E-3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110535.72870182035</v>
      </c>
      <c r="Q41" s="81"/>
      <c r="R41" s="81"/>
      <c r="S41" s="81"/>
      <c r="T41" s="82">
        <f t="shared" si="5"/>
        <v>9.585761252938349E-3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111595.29780707558</v>
      </c>
      <c r="Q42" s="81"/>
      <c r="R42" s="81"/>
      <c r="S42" s="81"/>
      <c r="T42" s="82">
        <f t="shared" si="5"/>
        <v>9.585761252938349E-3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112665.02368880477</v>
      </c>
      <c r="Q43" s="81"/>
      <c r="R43" s="81"/>
      <c r="S43" s="81"/>
      <c r="T43" s="82">
        <f t="shared" si="5"/>
        <v>9.585761252938349E-3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113745.0037074423</v>
      </c>
      <c r="Q44" s="81"/>
      <c r="R44" s="81"/>
      <c r="S44" s="81"/>
      <c r="T44" s="82">
        <f t="shared" si="5"/>
        <v>9.585761252938349E-3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114835.33615669644</v>
      </c>
      <c r="Q45" s="81"/>
      <c r="R45" s="81"/>
      <c r="S45" s="81"/>
      <c r="T45" s="82">
        <f t="shared" si="5"/>
        <v>9.585761252938349E-3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115936.12027249546</v>
      </c>
      <c r="Q46" s="81"/>
      <c r="R46" s="81"/>
      <c r="S46" s="81"/>
      <c r="T46" s="82">
        <f t="shared" si="5"/>
        <v>9.585761252938349E-3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117047.45624201956</v>
      </c>
      <c r="Q47" s="81"/>
      <c r="R47" s="81"/>
      <c r="S47" s="81"/>
      <c r="T47" s="82">
        <f t="shared" si="5"/>
        <v>9.585761252938349E-3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118169.44521281931</v>
      </c>
      <c r="Q48" s="81"/>
      <c r="R48" s="81"/>
      <c r="S48" s="81"/>
      <c r="T48" s="82">
        <f t="shared" si="5"/>
        <v>9.585761252938349E-3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119302.18930202158</v>
      </c>
      <c r="Q49" s="81"/>
      <c r="R49" s="81"/>
      <c r="S49" s="81"/>
      <c r="T49" s="82">
        <f t="shared" si="5"/>
        <v>9.585761252938349E-3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120445.79160562363</v>
      </c>
      <c r="Q50" s="81"/>
      <c r="R50" s="81"/>
      <c r="S50" s="81"/>
      <c r="T50" s="82">
        <f t="shared" si="5"/>
        <v>9.585761252938349E-3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121600.35620787631</v>
      </c>
      <c r="Q51" s="81"/>
      <c r="R51" s="81"/>
      <c r="S51" s="81"/>
      <c r="T51" s="82">
        <f t="shared" si="5"/>
        <v>9.585761252938349E-3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122765.98819075727</v>
      </c>
      <c r="Q52" s="81"/>
      <c r="R52" s="81"/>
      <c r="S52" s="81"/>
      <c r="T52" s="82">
        <f t="shared" si="5"/>
        <v>9.585761252938349E-3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123942.79364353493</v>
      </c>
      <c r="Q53" s="81"/>
      <c r="R53" s="81"/>
      <c r="S53" s="81"/>
      <c r="T53" s="82">
        <f t="shared" si="5"/>
        <v>9.585761252938349E-3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125130.87967242407</v>
      </c>
      <c r="Q54" s="81"/>
      <c r="R54" s="81"/>
      <c r="S54" s="81"/>
      <c r="T54" s="82">
        <f t="shared" si="5"/>
        <v>9.585761252938349E-3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126330.35441033408</v>
      </c>
      <c r="Q55" s="81"/>
      <c r="R55" s="81"/>
      <c r="S55" s="81"/>
      <c r="T55" s="82">
        <f t="shared" si="5"/>
        <v>9.585761252938349E-3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127541.32702671064</v>
      </c>
      <c r="Q56" s="81"/>
      <c r="R56" s="81"/>
      <c r="S56" s="81"/>
      <c r="T56" s="82">
        <f t="shared" si="5"/>
        <v>9.585761252938349E-3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128763.90773747163</v>
      </c>
      <c r="Q57" s="81"/>
      <c r="R57" s="81"/>
      <c r="S57" s="81"/>
      <c r="T57" s="82">
        <f t="shared" si="5"/>
        <v>9.585761252938349E-3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129998.20781503842</v>
      </c>
      <c r="Q58" s="81"/>
      <c r="R58" s="81"/>
      <c r="S58" s="81"/>
      <c r="T58" s="82">
        <f t="shared" si="5"/>
        <v>9.585761252938349E-3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131244.33959846324</v>
      </c>
      <c r="Q59" s="81"/>
      <c r="R59" s="81"/>
      <c r="S59" s="81"/>
      <c r="T59" s="82">
        <f t="shared" si="5"/>
        <v>9.585761252938349E-3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2020-06-08T10:23:47Z</dcterms:modified>
</cp:coreProperties>
</file>