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C5EB0ED3-FBBA-4C2B-B22A-D47B35D40229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9" i="2" l="1"/>
  <c r="R99" i="2"/>
  <c r="P99" i="2"/>
  <c r="O99" i="2"/>
  <c r="N99" i="2"/>
  <c r="L99" i="2"/>
  <c r="J99" i="2"/>
  <c r="I99" i="2"/>
  <c r="H99" i="2"/>
  <c r="G99" i="2"/>
  <c r="E99" i="2"/>
  <c r="S93" i="2"/>
  <c r="K93" i="2"/>
  <c r="M93" i="2" s="1"/>
  <c r="M99" i="2" s="1"/>
  <c r="BN101" i="1"/>
  <c r="BM101" i="1"/>
  <c r="BK101" i="1"/>
  <c r="BI101" i="1"/>
  <c r="BH101" i="1"/>
  <c r="BG101" i="1"/>
  <c r="BE101" i="1"/>
  <c r="BC101" i="1"/>
  <c r="BB101" i="1"/>
  <c r="BA101" i="1"/>
  <c r="AY101" i="1"/>
  <c r="AX101" i="1"/>
  <c r="AV101" i="1"/>
  <c r="AT101" i="1"/>
  <c r="AS101" i="1"/>
  <c r="AR101" i="1"/>
  <c r="AP101" i="1"/>
  <c r="AO101" i="1"/>
  <c r="AN101" i="1"/>
  <c r="AM101" i="1"/>
  <c r="AL101" i="1"/>
  <c r="AJ101" i="1"/>
  <c r="AI101" i="1"/>
  <c r="AG101" i="1"/>
  <c r="AF101" i="1"/>
  <c r="AE101" i="1"/>
  <c r="AC101" i="1"/>
  <c r="AA101" i="1"/>
  <c r="Y101" i="1"/>
  <c r="X101" i="1"/>
  <c r="W101" i="1"/>
  <c r="V101" i="1"/>
  <c r="U101" i="1"/>
  <c r="T101" i="1"/>
  <c r="S101" i="1"/>
  <c r="Q101" i="1"/>
  <c r="O101" i="1"/>
  <c r="M101" i="1"/>
  <c r="L101" i="1"/>
  <c r="K101" i="1"/>
  <c r="I101" i="1"/>
  <c r="BN100" i="1"/>
  <c r="BK100" i="1"/>
  <c r="BI100" i="1"/>
  <c r="BH100" i="1"/>
  <c r="BG100" i="1"/>
  <c r="BE100" i="1"/>
  <c r="BC100" i="1"/>
  <c r="BB100" i="1"/>
  <c r="BA100" i="1"/>
  <c r="AY100" i="1"/>
  <c r="AX100" i="1"/>
  <c r="AV100" i="1"/>
  <c r="AT100" i="1"/>
  <c r="AS100" i="1"/>
  <c r="AR100" i="1"/>
  <c r="AP100" i="1"/>
  <c r="AO100" i="1"/>
  <c r="AN100" i="1"/>
  <c r="AM100" i="1"/>
  <c r="AL100" i="1"/>
  <c r="AJ100" i="1"/>
  <c r="AI100" i="1"/>
  <c r="AH100" i="1"/>
  <c r="AG100" i="1"/>
  <c r="AF100" i="1"/>
  <c r="AE100" i="1"/>
  <c r="AC100" i="1"/>
  <c r="AA100" i="1"/>
  <c r="Y100" i="1"/>
  <c r="X100" i="1"/>
  <c r="W100" i="1"/>
  <c r="V100" i="1"/>
  <c r="U100" i="1"/>
  <c r="T100" i="1"/>
  <c r="S100" i="1"/>
  <c r="Q100" i="1"/>
  <c r="O100" i="1"/>
  <c r="M100" i="1"/>
  <c r="L100" i="1"/>
  <c r="K100" i="1"/>
  <c r="I100" i="1"/>
  <c r="D101" i="1"/>
  <c r="D100" i="1"/>
  <c r="BM92" i="1"/>
  <c r="BM100" i="1" s="1"/>
  <c r="BD92" i="1"/>
  <c r="BO92" i="1" s="1"/>
  <c r="BQ92" i="1" s="1"/>
  <c r="AZ92" i="1"/>
  <c r="BJ92" i="1" s="1"/>
  <c r="BJ101" i="1" s="1"/>
  <c r="AW92" i="1"/>
  <c r="AW100" i="1" s="1"/>
  <c r="AK92" i="1"/>
  <c r="AQ92" i="1" s="1"/>
  <c r="AF92" i="1"/>
  <c r="AH92" i="1" s="1"/>
  <c r="AH101" i="1" s="1"/>
  <c r="Z92" i="1"/>
  <c r="Z101" i="1" s="1"/>
  <c r="P92" i="1"/>
  <c r="J92" i="1"/>
  <c r="J100" i="1" s="1"/>
  <c r="H92" i="1"/>
  <c r="N92" i="1" s="1"/>
  <c r="N101" i="1" s="1"/>
  <c r="I20" i="3"/>
  <c r="AW101" i="1" l="1"/>
  <c r="AK100" i="1"/>
  <c r="AK101" i="1"/>
  <c r="Q93" i="2"/>
  <c r="Q99" i="2" s="1"/>
  <c r="U93" i="2"/>
  <c r="K99" i="2"/>
  <c r="AZ100" i="1"/>
  <c r="BJ100" i="1"/>
  <c r="BF92" i="1"/>
  <c r="BL92" i="1"/>
  <c r="BL101" i="1" s="1"/>
  <c r="AZ101" i="1"/>
  <c r="AQ100" i="1"/>
  <c r="AQ101" i="1"/>
  <c r="Z100" i="1"/>
  <c r="N100" i="1"/>
  <c r="J101" i="1"/>
  <c r="BO101" i="1"/>
  <c r="AU92" i="1"/>
  <c r="H100" i="1"/>
  <c r="P100" i="1"/>
  <c r="BD100" i="1"/>
  <c r="BO100" i="1"/>
  <c r="AB92" i="1"/>
  <c r="H101" i="1"/>
  <c r="P101" i="1"/>
  <c r="BD101" i="1"/>
  <c r="AD92" i="1"/>
  <c r="R92" i="1"/>
  <c r="BF101" i="1" l="1"/>
  <c r="BF100" i="1"/>
  <c r="BL100" i="1"/>
  <c r="AD101" i="1"/>
  <c r="AD100" i="1"/>
  <c r="R100" i="1"/>
  <c r="R101" i="1"/>
  <c r="AU101" i="1"/>
  <c r="AU100" i="1"/>
  <c r="AB100" i="1"/>
  <c r="AB101" i="1"/>
  <c r="S92" i="2" l="1"/>
  <c r="BM91" i="1" l="1"/>
  <c r="BD91" i="1"/>
  <c r="BO91" i="1" s="1"/>
  <c r="BQ91" i="1" s="1"/>
  <c r="AZ91" i="1"/>
  <c r="BJ91" i="1" s="1"/>
  <c r="AW91" i="1"/>
  <c r="AK91" i="1"/>
  <c r="AQ91" i="1" s="1"/>
  <c r="AF91" i="1"/>
  <c r="AH91" i="1" s="1"/>
  <c r="Z91" i="1"/>
  <c r="P91" i="1"/>
  <c r="R91" i="1" s="1"/>
  <c r="J91" i="1"/>
  <c r="H91" i="1"/>
  <c r="N91" i="1" s="1"/>
  <c r="BV91" i="1"/>
  <c r="BV92" i="1" s="1"/>
  <c r="BV93" i="1" s="1"/>
  <c r="BV94" i="1" s="1"/>
  <c r="BV95" i="1" s="1"/>
  <c r="BV96" i="1" s="1"/>
  <c r="BV97" i="1" s="1"/>
  <c r="BV98" i="1" s="1"/>
  <c r="B91" i="1"/>
  <c r="B92" i="1" s="1"/>
  <c r="B93" i="1" s="1"/>
  <c r="B94" i="1" s="1"/>
  <c r="B95" i="1" s="1"/>
  <c r="B96" i="1" s="1"/>
  <c r="B97" i="1" s="1"/>
  <c r="B98" i="1" s="1"/>
  <c r="K92" i="2"/>
  <c r="Q92" i="2" s="1"/>
  <c r="AD91" i="1" l="1"/>
  <c r="BL91" i="1"/>
  <c r="AB91" i="1"/>
  <c r="BF91" i="1"/>
  <c r="AU91" i="1"/>
  <c r="U92" i="2"/>
  <c r="M92" i="2"/>
  <c r="S91" i="2"/>
  <c r="BD90" i="1" l="1"/>
  <c r="AZ90" i="1"/>
  <c r="BJ90" i="1" s="1"/>
  <c r="AK90" i="1"/>
  <c r="AQ90" i="1" s="1"/>
  <c r="AF90" i="1"/>
  <c r="AH90" i="1" s="1"/>
  <c r="P90" i="1"/>
  <c r="R90" i="1" s="1"/>
  <c r="K91" i="2"/>
  <c r="M91" i="2" s="1"/>
  <c r="W91" i="2"/>
  <c r="W92" i="2" s="1"/>
  <c r="W93" i="2" s="1"/>
  <c r="W94" i="2" s="1"/>
  <c r="W95" i="2" s="1"/>
  <c r="W96" i="2" s="1"/>
  <c r="W97" i="2" s="1"/>
  <c r="C91" i="2"/>
  <c r="C92" i="2" s="1"/>
  <c r="C93" i="2" s="1"/>
  <c r="C94" i="2" s="1"/>
  <c r="C95" i="2" s="1"/>
  <c r="C96" i="2" s="1"/>
  <c r="C97" i="2" s="1"/>
  <c r="BL90" i="1" l="1"/>
  <c r="BJ103" i="1"/>
  <c r="BF90" i="1"/>
  <c r="U91" i="2"/>
  <c r="Q91" i="2"/>
  <c r="S89" i="2"/>
  <c r="U90" i="2"/>
  <c r="S90" i="2"/>
  <c r="K90" i="2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AH89" i="1" l="1"/>
  <c r="AH33" i="1"/>
  <c r="BF89" i="1"/>
  <c r="BD88" i="1"/>
  <c r="AZ88" i="1"/>
  <c r="AK88" i="1"/>
  <c r="AQ88" i="1" s="1"/>
  <c r="K89" i="2"/>
  <c r="Q89" i="2" s="1"/>
  <c r="Q90" i="2" l="1"/>
  <c r="M90" i="2"/>
  <c r="X89" i="2"/>
  <c r="Y90" i="2" s="1"/>
  <c r="Y96" i="2" s="1"/>
  <c r="Y97" i="2" s="1"/>
  <c r="BJ89" i="1"/>
  <c r="BL89" i="1" s="1"/>
  <c r="BF88" i="1"/>
  <c r="M89" i="2"/>
  <c r="U89" i="2"/>
  <c r="S88" i="2"/>
  <c r="BD87" i="1" l="1"/>
  <c r="AZ87" i="1"/>
  <c r="AK87" i="1"/>
  <c r="AQ87" i="1" s="1"/>
  <c r="K88" i="2"/>
  <c r="Q88" i="2" s="1"/>
  <c r="BF87" i="1" l="1"/>
  <c r="U88" i="2"/>
  <c r="M88" i="2"/>
  <c r="S87" i="2"/>
  <c r="U87" i="2"/>
  <c r="Q87" i="2"/>
  <c r="M87" i="2"/>
  <c r="K87" i="2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29" i="1" l="1"/>
  <c r="BD75" i="1"/>
  <c r="AZ75" i="1"/>
  <c r="AK75" i="1"/>
  <c r="AQ75" i="1" s="1"/>
  <c r="K76" i="2"/>
  <c r="M76" i="2" s="1"/>
  <c r="BF75" i="1" l="1"/>
  <c r="U76" i="2"/>
  <c r="Q76" i="2"/>
  <c r="D133" i="1"/>
  <c r="D132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15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23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99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11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9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AJ49" i="2" l="1"/>
  <c r="AD50" i="2"/>
  <c r="AD51" i="2" s="1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AD53" i="2" l="1"/>
  <c r="AD55" i="2" s="1"/>
  <c r="BV14" i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49" i="1"/>
  <c r="B152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AD34" i="1" s="1"/>
  <c r="H31" i="1"/>
  <c r="J31" i="1"/>
  <c r="AU30" i="1"/>
  <c r="AB30" i="1"/>
  <c r="BV80" i="1" l="1"/>
  <c r="BM79" i="1"/>
  <c r="AW79" i="1"/>
  <c r="BM78" i="1"/>
  <c r="AW78" i="1"/>
  <c r="J32" i="1"/>
  <c r="N31" i="1"/>
  <c r="BQ53" i="1"/>
  <c r="BO54" i="1"/>
  <c r="H32" i="1"/>
  <c r="AB31" i="1"/>
  <c r="AU31" i="1"/>
  <c r="Z35" i="1"/>
  <c r="AD35" i="1" s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N34" i="1" s="1"/>
  <c r="BQ55" i="1"/>
  <c r="BO56" i="1"/>
  <c r="J34" i="1"/>
  <c r="Z37" i="1"/>
  <c r="AD37" i="1" s="1"/>
  <c r="BV83" i="1" l="1"/>
  <c r="BV84" i="1" s="1"/>
  <c r="BM82" i="1"/>
  <c r="AW82" i="1"/>
  <c r="AB34" i="1"/>
  <c r="J35" i="1"/>
  <c r="H35" i="1"/>
  <c r="N35" i="1" s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M90" i="1" l="1"/>
  <c r="AW90" i="1"/>
  <c r="BQ62" i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Z67" i="1"/>
  <c r="AD66" i="1"/>
  <c r="J64" i="1"/>
  <c r="H64" i="1"/>
  <c r="AU63" i="1"/>
  <c r="N63" i="1"/>
  <c r="AB63" i="1"/>
  <c r="Z17" i="3"/>
  <c r="Z18" i="3"/>
  <c r="Z15" i="3"/>
  <c r="Z16" i="3"/>
  <c r="Z14" i="3"/>
  <c r="BQ90" i="1" l="1"/>
  <c r="Z68" i="1"/>
  <c r="Z69" i="1" s="1"/>
  <c r="AD67" i="1"/>
  <c r="H65" i="1"/>
  <c r="J65" i="1"/>
  <c r="AU64" i="1"/>
  <c r="N64" i="1"/>
  <c r="AB64" i="1"/>
  <c r="Z70" i="1" l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Z20" i="3"/>
  <c r="Z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27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M23" i="2"/>
  <c r="AD82" i="1"/>
  <c r="AU76" i="1"/>
  <c r="J77" i="1"/>
  <c r="H77" i="1"/>
  <c r="N76" i="1"/>
  <c r="AB76" i="1"/>
  <c r="Z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N79" i="1"/>
  <c r="J80" i="1"/>
  <c r="H80" i="1"/>
  <c r="AB79" i="1"/>
  <c r="AU79" i="1"/>
  <c r="Z32" i="3"/>
  <c r="AD90" i="1" l="1"/>
  <c r="H81" i="1"/>
  <c r="J81" i="1"/>
  <c r="AU80" i="1"/>
  <c r="N80" i="1"/>
  <c r="AB80" i="1"/>
  <c r="AJ21" i="2" l="1"/>
  <c r="I21" i="3"/>
  <c r="N81" i="1"/>
  <c r="H82" i="1"/>
  <c r="J82" i="1"/>
  <c r="AB81" i="1"/>
  <c r="AU81" i="1"/>
  <c r="Z36" i="3"/>
  <c r="Z34" i="3"/>
  <c r="Z35" i="3"/>
  <c r="Z33" i="3"/>
  <c r="I35" i="3" l="1"/>
  <c r="I23" i="3"/>
  <c r="I25" i="3" s="1"/>
  <c r="I27" i="3" s="1"/>
  <c r="AM21" i="2"/>
  <c r="AN24" i="2" s="1"/>
  <c r="AN23" i="2"/>
  <c r="J83" i="1"/>
  <c r="H83" i="1"/>
  <c r="AU82" i="1"/>
  <c r="N82" i="1"/>
  <c r="AB82" i="1"/>
  <c r="AN25" i="2" l="1"/>
  <c r="AN26" i="2" s="1"/>
  <c r="N27" i="3"/>
  <c r="N28" i="3" s="1"/>
  <c r="I34" i="3"/>
  <c r="J84" i="1"/>
  <c r="H84" i="1"/>
  <c r="AU83" i="1"/>
  <c r="N83" i="1"/>
  <c r="AB83" i="1"/>
  <c r="AU84" i="1" l="1"/>
  <c r="J85" i="1"/>
  <c r="H85" i="1"/>
  <c r="N84" i="1"/>
  <c r="AB84" i="1"/>
  <c r="H86" i="1" l="1"/>
  <c r="J86" i="1"/>
  <c r="AU85" i="1"/>
  <c r="N85" i="1"/>
  <c r="AB85" i="1"/>
  <c r="Z39" i="3"/>
  <c r="Z38" i="3"/>
  <c r="Z37" i="3"/>
  <c r="J87" i="1" l="1"/>
  <c r="H87" i="1"/>
  <c r="AU86" i="1"/>
  <c r="N86" i="1"/>
  <c r="AB86" i="1"/>
  <c r="AU87" i="1" l="1"/>
  <c r="J88" i="1"/>
  <c r="H88" i="1"/>
  <c r="N87" i="1"/>
  <c r="AB87" i="1"/>
  <c r="AU88" i="1" l="1"/>
  <c r="J89" i="1"/>
  <c r="H89" i="1"/>
  <c r="N88" i="1"/>
  <c r="AB88" i="1"/>
  <c r="Z45" i="3"/>
  <c r="Z43" i="3"/>
  <c r="Z44" i="3"/>
  <c r="Z41" i="3"/>
  <c r="Z42" i="3"/>
  <c r="Z40" i="3"/>
  <c r="J90" i="1" l="1"/>
  <c r="T14" i="7" s="1"/>
  <c r="H90" i="1"/>
  <c r="N89" i="1"/>
  <c r="AU89" i="1"/>
  <c r="AB89" i="1"/>
  <c r="AU90" i="1" l="1"/>
  <c r="N90" i="1"/>
  <c r="AB90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F21" i="2"/>
  <c r="I32" i="3"/>
  <c r="I36" i="3" l="1"/>
  <c r="V47" i="3" s="1"/>
  <c r="Z47" i="3" s="1"/>
  <c r="L34" i="3"/>
  <c r="L32" i="3"/>
  <c r="L35" i="3"/>
  <c r="I28" i="3"/>
  <c r="L36" i="3" l="1"/>
  <c r="X47" i="3" s="1"/>
  <c r="Z46" i="3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<sst xmlns="http://schemas.openxmlformats.org/spreadsheetml/2006/main" count="243" uniqueCount="135">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</sst>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38" fontId="0" fillId="0" borderId="0" xfId="0" applyNumberFormat="1"/>
    <xf numFmtId="166" fontId="0" fillId="6" borderId="0" xfId="2" applyNumberFormat="1" applyFont="1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Table'!$AF$25:$AF$89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Table'!$P$26:$P$89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Table'!$BL$39:$BL$89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103</xdr:row>
      <xdr:rowOff>0</xdr:rowOff>
    </xdr:from>
    <xdr:to>
      <xdr:col>53</xdr:col>
      <xdr:colOff>160020</xdr:colOff>
      <xdr:row>103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104</xdr:row>
      <xdr:rowOff>0</xdr:rowOff>
    </xdr:from>
    <xdr:to>
      <xdr:col>53</xdr:col>
      <xdr:colOff>160020</xdr:colOff>
      <xdr:row>104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113</xdr:row>
      <xdr:rowOff>99060</xdr:rowOff>
    </xdr:from>
    <xdr:to>
      <xdr:col>21</xdr:col>
      <xdr:colOff>274320</xdr:colOff>
      <xdr:row>114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113</xdr:row>
      <xdr:rowOff>129540</xdr:rowOff>
    </xdr:from>
    <xdr:to>
      <xdr:col>22</xdr:col>
      <xdr:colOff>38100</xdr:colOff>
      <xdr:row>114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75</xdr:col>
      <xdr:colOff>548640</xdr:colOff>
      <xdr:row>8</xdr:row>
      <xdr:rowOff>68580</xdr:rowOff>
    </xdr:from>
    <xdr:to>
      <xdr:col>85</xdr:col>
      <xdr:colOff>342900</xdr:colOff>
      <xdr:row>26</xdr:row>
      <xdr:rowOff>53340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77</xdr:col>
      <xdr:colOff>586740</xdr:colOff>
      <xdr:row>21</xdr:row>
      <xdr:rowOff>137160</xdr:rowOff>
    </xdr:from>
    <xdr:to>
      <xdr:col>88</xdr:col>
      <xdr:colOff>822960</xdr:colOff>
      <xdr:row>39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75</xdr:col>
      <xdr:colOff>647700</xdr:colOff>
      <xdr:row>1</xdr:row>
      <xdr:rowOff>137160</xdr:rowOff>
    </xdr:from>
    <xdr:to>
      <xdr:col>88</xdr:col>
      <xdr:colOff>548640</xdr:colOff>
      <xdr:row>19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69"/>
  <sheetViews>
    <sheetView tabSelected="1" zoomScaleNormal="100" workbookViewId="0">
      <selection activeCell="BB93" sqref="BB9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03" t="s">
        <v>5</v>
      </c>
      <c r="C1" s="503"/>
      <c r="D1" s="503"/>
    </row>
    <row r="2" spans="2:89" ht="15.6" x14ac:dyDescent="0.3">
      <c r="B2" s="503" t="s">
        <v>6</v>
      </c>
      <c r="C2" s="503"/>
      <c r="D2" s="50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06" t="s">
        <v>13</v>
      </c>
      <c r="C3" s="506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04" t="s">
        <v>11</v>
      </c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11"/>
      <c r="AD4" s="328"/>
      <c r="AE4" s="451"/>
      <c r="AF4" s="451"/>
      <c r="AG4" s="451"/>
      <c r="AH4" s="451"/>
      <c r="AI4" s="12"/>
      <c r="AK4" s="486" t="s">
        <v>14</v>
      </c>
      <c r="AL4" s="487"/>
      <c r="AM4" s="487"/>
      <c r="AN4" s="487"/>
      <c r="AO4" s="487"/>
      <c r="AP4" s="487"/>
      <c r="AQ4" s="487"/>
      <c r="AR4" s="487"/>
      <c r="AS4" s="487"/>
      <c r="AT4" s="487"/>
      <c r="AU4" s="487"/>
      <c r="AV4" s="487"/>
      <c r="AW4" s="487"/>
      <c r="AX4" s="487"/>
      <c r="AY4" s="487"/>
      <c r="AZ4" s="487"/>
      <c r="BA4" s="487"/>
      <c r="BB4" s="487"/>
      <c r="BC4" s="487"/>
      <c r="BD4" s="487"/>
      <c r="BE4" s="487"/>
      <c r="BF4" s="487"/>
      <c r="BG4" s="487"/>
      <c r="BH4" s="487"/>
      <c r="BI4" s="487"/>
      <c r="BJ4" s="487"/>
      <c r="BK4" s="487"/>
      <c r="BL4" s="487"/>
      <c r="BM4" s="487"/>
      <c r="BN4" s="487"/>
      <c r="BO4" s="487"/>
      <c r="BP4" s="487"/>
      <c r="BQ4" s="487"/>
      <c r="BR4" s="487"/>
      <c r="BS4" s="487"/>
      <c r="BT4" s="488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507" t="s">
        <v>12</v>
      </c>
      <c r="G6" s="507"/>
      <c r="H6" s="507"/>
      <c r="I6" s="507"/>
      <c r="J6" s="507"/>
      <c r="K6" s="507"/>
      <c r="L6" s="507"/>
      <c r="M6" s="338"/>
      <c r="N6" s="338"/>
      <c r="O6" s="339"/>
      <c r="P6" s="513" t="s">
        <v>125</v>
      </c>
      <c r="Q6" s="507"/>
      <c r="R6" s="507"/>
      <c r="S6" s="507"/>
      <c r="T6" s="514"/>
      <c r="U6" s="3"/>
      <c r="V6" s="8" t="s">
        <v>7</v>
      </c>
      <c r="W6" s="30"/>
      <c r="X6" s="508">
        <v>1.2500000000000001E-2</v>
      </c>
      <c r="Y6" s="508"/>
      <c r="Z6" s="508"/>
      <c r="AA6" s="508"/>
      <c r="AB6" s="508"/>
      <c r="AC6" s="508"/>
      <c r="AD6" s="508"/>
      <c r="AE6" s="508"/>
      <c r="AF6" s="508"/>
      <c r="AG6" s="508"/>
      <c r="AH6" s="508"/>
      <c r="AI6" s="509"/>
      <c r="AJ6" s="3"/>
      <c r="AK6" s="495" t="s">
        <v>27</v>
      </c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7"/>
      <c r="AY6" s="3"/>
      <c r="AZ6" s="498" t="s">
        <v>7</v>
      </c>
      <c r="BA6" s="490"/>
      <c r="BB6" s="490"/>
      <c r="BC6" s="97"/>
      <c r="BD6" s="489" t="s">
        <v>26</v>
      </c>
      <c r="BE6" s="489"/>
      <c r="BF6" s="489"/>
      <c r="BG6" s="489"/>
      <c r="BH6" s="489"/>
      <c r="BI6" s="489"/>
      <c r="BJ6" s="489"/>
      <c r="BK6" s="489"/>
      <c r="BL6" s="489"/>
      <c r="BM6" s="489"/>
      <c r="BN6" s="489"/>
      <c r="BO6" s="489"/>
      <c r="BP6" s="489"/>
      <c r="BQ6" s="490"/>
      <c r="BR6" s="490"/>
      <c r="BS6" s="490"/>
      <c r="BT6" s="491"/>
      <c r="BU6" s="3"/>
    </row>
    <row r="7" spans="2:89" ht="16.2" x14ac:dyDescent="0.3">
      <c r="D7" s="492" t="s">
        <v>20</v>
      </c>
      <c r="E7" s="493"/>
      <c r="F7" s="493"/>
      <c r="G7" s="493"/>
      <c r="H7" s="493"/>
      <c r="I7" s="493"/>
      <c r="J7" s="493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510" t="s">
        <v>35</v>
      </c>
      <c r="W7" s="511"/>
      <c r="X7" s="511"/>
      <c r="Y7" s="511"/>
      <c r="Z7" s="511"/>
      <c r="AA7" s="511"/>
      <c r="AB7" s="511"/>
      <c r="AC7" s="511"/>
      <c r="AD7" s="511"/>
      <c r="AE7" s="511"/>
      <c r="AF7" s="511"/>
      <c r="AG7" s="511"/>
      <c r="AH7" s="511"/>
      <c r="AI7" s="512"/>
      <c r="AJ7" s="3"/>
      <c r="AK7" s="492" t="s">
        <v>77</v>
      </c>
      <c r="AL7" s="493"/>
      <c r="AM7" s="493"/>
      <c r="AN7" s="493"/>
      <c r="AO7" s="493"/>
      <c r="AP7" s="493"/>
      <c r="AQ7" s="493"/>
      <c r="AR7" s="493"/>
      <c r="AS7" s="493"/>
      <c r="AT7" s="493"/>
      <c r="AU7" s="493"/>
      <c r="AV7" s="493"/>
      <c r="AW7" s="493"/>
      <c r="AX7" s="494"/>
      <c r="AZ7" s="492" t="s">
        <v>25</v>
      </c>
      <c r="BA7" s="493"/>
      <c r="BB7" s="493"/>
      <c r="BC7" s="493"/>
      <c r="BD7" s="493"/>
      <c r="BE7" s="493"/>
      <c r="BF7" s="493"/>
      <c r="BG7" s="493"/>
      <c r="BH7" s="493"/>
      <c r="BI7" s="493"/>
      <c r="BJ7" s="493"/>
      <c r="BK7" s="493"/>
      <c r="BL7" s="493"/>
      <c r="BM7" s="493"/>
      <c r="BN7" s="493"/>
      <c r="BO7" s="493"/>
      <c r="BP7" s="493"/>
      <c r="BQ7" s="493"/>
      <c r="BR7" s="493"/>
      <c r="BS7" s="493"/>
      <c r="BT7" s="494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116</v>
      </c>
      <c r="O8" s="341"/>
      <c r="P8" s="456" t="s">
        <v>1</v>
      </c>
      <c r="Q8" s="331"/>
      <c r="R8" s="53" t="s">
        <v>80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116</v>
      </c>
      <c r="AE8" s="465"/>
      <c r="AF8" s="459" t="s">
        <v>1</v>
      </c>
      <c r="AG8" s="458"/>
      <c r="AH8" s="464" t="s">
        <v>126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116</v>
      </c>
      <c r="AX8" s="350"/>
      <c r="AZ8" s="484" t="s">
        <v>1</v>
      </c>
      <c r="BA8" s="485"/>
      <c r="BB8" s="485"/>
      <c r="BC8" s="64"/>
      <c r="BD8" s="485" t="s">
        <v>24</v>
      </c>
      <c r="BE8" s="485"/>
      <c r="BF8" s="485"/>
      <c r="BG8" s="485"/>
      <c r="BH8" s="499"/>
      <c r="BI8" s="500" t="s">
        <v>125</v>
      </c>
      <c r="BJ8" s="501"/>
      <c r="BK8" s="501"/>
      <c r="BL8" s="502"/>
      <c r="BM8" s="484" t="s">
        <v>24</v>
      </c>
      <c r="BN8" s="485"/>
      <c r="BO8" s="485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127</v>
      </c>
      <c r="BK9" s="64"/>
      <c r="BL9" s="63" t="s">
        <v>10</v>
      </c>
      <c r="BM9" s="467" t="s">
        <v>116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480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48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393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4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48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480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8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480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8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68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298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2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480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60"/>
      <c r="S46" s="16"/>
      <c r="T46" s="41"/>
      <c r="U46" s="48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2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480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60"/>
      <c r="S53" s="16"/>
      <c r="T53" s="41"/>
      <c r="U53" s="48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2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480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60"/>
      <c r="S60" s="16"/>
      <c r="T60" s="41"/>
      <c r="U60" s="48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2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480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60"/>
      <c r="S67" s="16"/>
      <c r="T67" s="41"/>
      <c r="U67" s="48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2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479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481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ref="Z76" si="190">+Z75+V76</f>
        <v>99805</v>
      </c>
      <c r="AA76" s="33"/>
      <c r="AB76" s="46">
        <f t="shared" ref="AB76" si="191">+Z76/H76</f>
        <v>5.8494595674898869E-2</v>
      </c>
      <c r="AC76" s="33"/>
      <c r="AD76" s="33">
        <f t="shared" ref="AD76" si="192">+Z76/BV76</f>
        <v>1489.6268656716418</v>
      </c>
      <c r="AE76" s="50"/>
      <c r="AF76" s="33"/>
      <c r="AG76" s="33"/>
      <c r="AH76" s="233"/>
      <c r="AI76" s="50"/>
      <c r="AJ76" s="10"/>
      <c r="AK76" s="23">
        <f t="shared" ref="AK76" si="193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4">+AK76/AO75</f>
        <v>2.8709193229164362E-2</v>
      </c>
      <c r="AR76" s="25"/>
      <c r="AS76" s="25"/>
      <c r="AT76" s="24"/>
      <c r="AU76" s="344">
        <f t="shared" ref="AU76" si="195">+AO76/H76</f>
        <v>0.27233789662096347</v>
      </c>
      <c r="AV76" s="344"/>
      <c r="AW76" s="24">
        <f t="shared" ref="AW76" si="196">+AO76/BV76</f>
        <v>6935.373134328358</v>
      </c>
      <c r="AX76" s="354"/>
      <c r="AY76" s="10"/>
      <c r="AZ76" s="66">
        <f t="shared" ref="AZ76" si="197">+BB76-BB75</f>
        <v>437891</v>
      </c>
      <c r="BA76" s="67"/>
      <c r="BB76" s="67">
        <v>15187647</v>
      </c>
      <c r="BC76" s="67"/>
      <c r="BD76" s="67">
        <f t="shared" ref="BD76" si="198">+D76</f>
        <v>19790</v>
      </c>
      <c r="BE76" s="67"/>
      <c r="BF76" s="157">
        <f t="shared" ref="BF76" si="199">+BD76/AZ76</f>
        <v>4.5193895284442932E-2</v>
      </c>
      <c r="BG76" s="67"/>
      <c r="BH76" s="185"/>
      <c r="BI76" s="67"/>
      <c r="BJ76" s="67"/>
      <c r="BK76" s="67"/>
      <c r="BL76" s="157"/>
      <c r="BM76" s="66">
        <f t="shared" ref="BM76" si="200">+BB76/BV76</f>
        <v>226681.29850746269</v>
      </c>
      <c r="BN76" s="67"/>
      <c r="BO76" s="67">
        <f t="shared" ref="BO76" si="201">+BO75+BD76</f>
        <v>1453904</v>
      </c>
      <c r="BP76" s="67"/>
      <c r="BQ76" s="74">
        <f t="shared" ref="BQ76" si="202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98" si="203">1+B76</f>
        <v>43977</v>
      </c>
      <c r="C77" s="61"/>
      <c r="D77" s="17">
        <v>19031</v>
      </c>
      <c r="E77" s="16"/>
      <c r="F77" s="16"/>
      <c r="G77" s="16"/>
      <c r="H77" s="16">
        <f t="shared" ref="H77" si="204">+H76+D77</f>
        <v>1725257</v>
      </c>
      <c r="I77" s="16"/>
      <c r="J77" s="38">
        <f t="shared" ref="J77" si="205">+D77/H76</f>
        <v>1.1153856523110069E-2</v>
      </c>
      <c r="K77" s="16"/>
      <c r="L77" s="16"/>
      <c r="M77" s="16"/>
      <c r="N77" s="16">
        <f t="shared" ref="N77" si="206">+H77/BV77</f>
        <v>25371.426470588234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ref="Z77" si="207">+Z76+V77</f>
        <v>100579</v>
      </c>
      <c r="AA77" s="33"/>
      <c r="AB77" s="46">
        <f t="shared" ref="AB77" si="208">+Z77/H77</f>
        <v>5.8297981112379202E-2</v>
      </c>
      <c r="AC77" s="33"/>
      <c r="AD77" s="33">
        <f t="shared" ref="AD77" si="209">+Z77/BV77</f>
        <v>1479.1029411764705</v>
      </c>
      <c r="AE77" s="50"/>
      <c r="AF77" s="33"/>
      <c r="AG77" s="33"/>
      <c r="AH77" s="233"/>
      <c r="AI77" s="50"/>
      <c r="AJ77" s="10"/>
      <c r="AK77" s="23">
        <f t="shared" ref="AK77" si="21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11">+AK77/AO76</f>
        <v>3.2924441001140593E-2</v>
      </c>
      <c r="AR77" s="25"/>
      <c r="AS77" s="25"/>
      <c r="AT77" s="24"/>
      <c r="AU77" s="344">
        <f t="shared" ref="AU77" si="212">+AO77/H77</f>
        <v>0.27820145056649531</v>
      </c>
      <c r="AV77" s="344"/>
      <c r="AW77" s="24">
        <f t="shared" ref="AW77" si="213">+AO77/BV77</f>
        <v>7058.3676470588234</v>
      </c>
      <c r="AX77" s="354"/>
      <c r="AY77" s="10"/>
      <c r="AZ77" s="66">
        <f t="shared" ref="AZ77" si="214">+BB77-BB76</f>
        <v>344512</v>
      </c>
      <c r="BA77" s="67"/>
      <c r="BB77" s="67">
        <v>15532159</v>
      </c>
      <c r="BC77" s="67"/>
      <c r="BD77" s="67">
        <f t="shared" ref="BD77" si="215">+D77</f>
        <v>19031</v>
      </c>
      <c r="BE77" s="67"/>
      <c r="BF77" s="157">
        <f t="shared" ref="BF77" si="216">+BD77/AZ77</f>
        <v>5.5240456065391047E-2</v>
      </c>
      <c r="BG77" s="67"/>
      <c r="BH77" s="185"/>
      <c r="BI77" s="67"/>
      <c r="BJ77" s="67"/>
      <c r="BK77" s="67"/>
      <c r="BL77" s="157"/>
      <c r="BM77" s="66">
        <f t="shared" ref="BM77" si="217">+BB77/BV77</f>
        <v>228414.10294117648</v>
      </c>
      <c r="BN77" s="67"/>
      <c r="BO77" s="67">
        <f t="shared" ref="BO77" si="218">+BO76+BD77</f>
        <v>1472935</v>
      </c>
      <c r="BP77" s="67"/>
      <c r="BQ77" s="74">
        <f t="shared" ref="BQ77" si="219">+BO77/BB77</f>
        <v>9.4831310959410081E-2</v>
      </c>
      <c r="BR77" s="67"/>
      <c r="BS77" s="86"/>
      <c r="BT77" s="185"/>
      <c r="BU77" s="1"/>
      <c r="BV77">
        <f t="shared" ref="BV77:BV98" si="220">+BV76+1</f>
        <v>68</v>
      </c>
    </row>
    <row r="78" spans="2:74" x14ac:dyDescent="0.3">
      <c r="B78" s="173">
        <f t="shared" si="203"/>
        <v>43978</v>
      </c>
      <c r="C78" s="61"/>
      <c r="D78" s="17">
        <v>20546</v>
      </c>
      <c r="E78" s="16"/>
      <c r="F78" s="16"/>
      <c r="G78" s="16"/>
      <c r="H78" s="16">
        <f t="shared" ref="H78" si="221">+H77+D78</f>
        <v>1745803</v>
      </c>
      <c r="I78" s="16"/>
      <c r="J78" s="38">
        <f t="shared" ref="J78" si="222">+D78/H77</f>
        <v>1.1908950376668519E-2</v>
      </c>
      <c r="K78" s="16"/>
      <c r="L78" s="16"/>
      <c r="M78" s="16"/>
      <c r="N78" s="16">
        <f t="shared" ref="N78" si="223">+H78/BV78</f>
        <v>25301.492753623188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ref="Z78" si="224">+Z77+V78</f>
        <v>102107</v>
      </c>
      <c r="AA78" s="33"/>
      <c r="AB78" s="46">
        <f t="shared" ref="AB78" si="225">+Z78/H78</f>
        <v>5.8487125981568369E-2</v>
      </c>
      <c r="AC78" s="33"/>
      <c r="AD78" s="33">
        <f t="shared" ref="AD78" si="226">+Z78/BV78</f>
        <v>1479.8115942028985</v>
      </c>
      <c r="AE78" s="50"/>
      <c r="AF78" s="33"/>
      <c r="AG78" s="33"/>
      <c r="AH78" s="233"/>
      <c r="AI78" s="50"/>
      <c r="AJ78" s="10"/>
      <c r="AK78" s="23">
        <f t="shared" ref="AK78" si="227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28">+AK78/AO77</f>
        <v>2.1170117236738208E-2</v>
      </c>
      <c r="AR78" s="25"/>
      <c r="AS78" s="25"/>
      <c r="AT78" s="24"/>
      <c r="AU78" s="344">
        <f t="shared" ref="AU78" si="229">+AO78/H78</f>
        <v>0.28074759866949478</v>
      </c>
      <c r="AV78" s="344"/>
      <c r="AW78" s="24">
        <f t="shared" ref="AW78" si="230">+AO78/BV78</f>
        <v>7103.333333333333</v>
      </c>
      <c r="AX78" s="354"/>
      <c r="AY78" s="10"/>
      <c r="AZ78" s="66">
        <f t="shared" ref="AZ78" si="231">+BB78-BB77</f>
        <v>343314</v>
      </c>
      <c r="BA78" s="67"/>
      <c r="BB78" s="67">
        <v>15875473</v>
      </c>
      <c r="BC78" s="67"/>
      <c r="BD78" s="67">
        <f t="shared" ref="BD78" si="232">+D78</f>
        <v>20546</v>
      </c>
      <c r="BE78" s="67"/>
      <c r="BF78" s="157">
        <f t="shared" ref="BF78" si="233">+BD78/AZ78</f>
        <v>5.9846088420512998E-2</v>
      </c>
      <c r="BG78" s="67"/>
      <c r="BH78" s="185"/>
      <c r="BI78" s="67"/>
      <c r="BJ78" s="67"/>
      <c r="BK78" s="67"/>
      <c r="BL78" s="157"/>
      <c r="BM78" s="66">
        <f t="shared" ref="BM78" si="234">+BB78/BV78</f>
        <v>230079.31884057971</v>
      </c>
      <c r="BN78" s="67"/>
      <c r="BO78" s="67">
        <f t="shared" ref="BO78" si="235">+BO77+BD78</f>
        <v>1493481</v>
      </c>
      <c r="BP78" s="67"/>
      <c r="BQ78" s="74">
        <f t="shared" ref="BQ78" si="236">+BO78/BB78</f>
        <v>9.4074740324272543E-2</v>
      </c>
      <c r="BR78" s="67"/>
      <c r="BS78" s="86"/>
      <c r="BT78" s="185"/>
      <c r="BU78" s="1"/>
      <c r="BV78">
        <f t="shared" si="220"/>
        <v>69</v>
      </c>
    </row>
    <row r="79" spans="2:74" x14ac:dyDescent="0.3">
      <c r="B79" s="173">
        <f t="shared" si="203"/>
        <v>43979</v>
      </c>
      <c r="C79" s="61"/>
      <c r="D79" s="17">
        <v>22658</v>
      </c>
      <c r="E79" s="16"/>
      <c r="F79" s="16"/>
      <c r="G79" s="16"/>
      <c r="H79" s="16">
        <f t="shared" ref="H79:H80" si="237">+H78+D79</f>
        <v>1768461</v>
      </c>
      <c r="I79" s="16"/>
      <c r="J79" s="38">
        <f t="shared" ref="J79:J80" si="238">+D79/H78</f>
        <v>1.2978554854127298E-2</v>
      </c>
      <c r="K79" s="16"/>
      <c r="L79" s="16"/>
      <c r="M79" s="16"/>
      <c r="N79" s="16">
        <f t="shared" ref="N79:N80" si="239">+H79/BV79</f>
        <v>25263.728571428572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ref="Z79" si="240">+Z78+V79</f>
        <v>103330</v>
      </c>
      <c r="AA79" s="33"/>
      <c r="AB79" s="46">
        <f t="shared" ref="AB79" si="241">+Z79/H79</f>
        <v>5.8429334884964948E-2</v>
      </c>
      <c r="AC79" s="33"/>
      <c r="AD79" s="33">
        <f t="shared" ref="AD79" si="242">+Z79/BV79</f>
        <v>1476.1428571428571</v>
      </c>
      <c r="AE79" s="50"/>
      <c r="AF79" s="33"/>
      <c r="AG79" s="33"/>
      <c r="AH79" s="233"/>
      <c r="AI79" s="50"/>
      <c r="AJ79" s="10"/>
      <c r="AK79" s="23">
        <f t="shared" ref="AK79" si="243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44">+AK79/AO78</f>
        <v>1.7536163874890334E-2</v>
      </c>
      <c r="AR79" s="25"/>
      <c r="AS79" s="25"/>
      <c r="AT79" s="24"/>
      <c r="AU79" s="344">
        <f t="shared" ref="AU79" si="245">+AO79/H79</f>
        <v>0.28201074267399734</v>
      </c>
      <c r="AV79" s="344"/>
      <c r="AW79" s="24">
        <f t="shared" ref="AW79" si="246">+AO79/BV79</f>
        <v>7124.6428571428569</v>
      </c>
      <c r="AX79" s="354"/>
      <c r="AY79" s="10"/>
      <c r="AZ79" s="66">
        <f t="shared" ref="AZ79" si="247">+BB79-BB78</f>
        <v>455839</v>
      </c>
      <c r="BA79" s="67"/>
      <c r="BB79" s="67">
        <v>16331312</v>
      </c>
      <c r="BC79" s="67"/>
      <c r="BD79" s="67">
        <f t="shared" ref="BD79" si="248">+D79</f>
        <v>22658</v>
      </c>
      <c r="BE79" s="67"/>
      <c r="BF79" s="157">
        <f t="shared" ref="BF79" si="249">+BD79/AZ79</f>
        <v>4.9706146249004581E-2</v>
      </c>
      <c r="BG79" s="67"/>
      <c r="BH79" s="185"/>
      <c r="BI79" s="67"/>
      <c r="BJ79" s="67"/>
      <c r="BK79" s="67"/>
      <c r="BL79" s="157"/>
      <c r="BM79" s="66">
        <f t="shared" ref="BM79" si="250">+BB79/BV79</f>
        <v>233304.45714285714</v>
      </c>
      <c r="BN79" s="67"/>
      <c r="BO79" s="67">
        <f t="shared" ref="BO79" si="251">+BO78+BD79</f>
        <v>1516139</v>
      </c>
      <c r="BP79" s="67"/>
      <c r="BQ79" s="74">
        <f t="shared" ref="BQ79" si="252">+BO79/BB79</f>
        <v>9.2836325703654424E-2</v>
      </c>
      <c r="BR79" s="67"/>
      <c r="BS79" s="86"/>
      <c r="BT79" s="185"/>
      <c r="BU79" s="1"/>
      <c r="BV79">
        <f t="shared" si="220"/>
        <v>70</v>
      </c>
    </row>
    <row r="80" spans="2:74" x14ac:dyDescent="0.3">
      <c r="B80" s="173">
        <f t="shared" si="203"/>
        <v>43980</v>
      </c>
      <c r="C80" s="61"/>
      <c r="D80" s="17">
        <v>25069</v>
      </c>
      <c r="E80" s="16"/>
      <c r="F80" s="16"/>
      <c r="G80" s="16"/>
      <c r="H80" s="16">
        <f t="shared" si="237"/>
        <v>1793530</v>
      </c>
      <c r="I80" s="16"/>
      <c r="J80" s="38">
        <f t="shared" si="238"/>
        <v>1.4175602402314781E-2</v>
      </c>
      <c r="K80" s="16"/>
      <c r="L80" s="16"/>
      <c r="M80" s="16"/>
      <c r="N80" s="16">
        <f t="shared" si="239"/>
        <v>25260.985915492958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ref="Z80" si="253">+Z79+V80</f>
        <v>104542</v>
      </c>
      <c r="AA80" s="33"/>
      <c r="AB80" s="46">
        <f t="shared" ref="AB80" si="254">+Z80/H80</f>
        <v>5.8288403316364937E-2</v>
      </c>
      <c r="AC80" s="33"/>
      <c r="AD80" s="33">
        <f t="shared" ref="AD80" si="255">+Z80/BV80</f>
        <v>1472.4225352112676</v>
      </c>
      <c r="AE80" s="50"/>
      <c r="AF80" s="33"/>
      <c r="AG80" s="33"/>
      <c r="AH80" s="233"/>
      <c r="AI80" s="50"/>
      <c r="AJ80" s="10"/>
      <c r="AK80" s="23">
        <f t="shared" ref="AK80" si="256">+AO80-AO79</f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ref="AQ80" si="257">+AK80/AO79</f>
        <v>4.1794576169231538E-2</v>
      </c>
      <c r="AR80" s="25"/>
      <c r="AS80" s="25"/>
      <c r="AT80" s="24"/>
      <c r="AU80" s="344">
        <f t="shared" ref="AU80" si="258">+AO80/H80</f>
        <v>0.28969072164948456</v>
      </c>
      <c r="AV80" s="344"/>
      <c r="AW80" s="24">
        <f t="shared" ref="AW80" si="259">+AO80/BV80</f>
        <v>7317.8732394366198</v>
      </c>
      <c r="AX80" s="354"/>
      <c r="AY80" s="10"/>
      <c r="AZ80" s="66">
        <f t="shared" ref="AZ80" si="260">+BB80-BB79</f>
        <v>479466</v>
      </c>
      <c r="BA80" s="67"/>
      <c r="BB80" s="67">
        <v>16810778</v>
      </c>
      <c r="BC80" s="67"/>
      <c r="BD80" s="67">
        <f t="shared" ref="BD80" si="261">+D80</f>
        <v>25069</v>
      </c>
      <c r="BE80" s="67"/>
      <c r="BF80" s="157">
        <f t="shared" ref="BF80" si="262">+BD80/AZ80</f>
        <v>5.2285250674708947E-2</v>
      </c>
      <c r="BG80" s="67"/>
      <c r="BH80" s="185"/>
      <c r="BI80" s="67"/>
      <c r="BJ80" s="67"/>
      <c r="BK80" s="67"/>
      <c r="BL80" s="157"/>
      <c r="BM80" s="66">
        <f t="shared" ref="BM80" si="263">+BB80/BV80</f>
        <v>236771.52112676058</v>
      </c>
      <c r="BN80" s="67"/>
      <c r="BO80" s="67">
        <f t="shared" ref="BO80" si="264">+BO79+BD80</f>
        <v>1541208</v>
      </c>
      <c r="BP80" s="67"/>
      <c r="BQ80" s="74">
        <f t="shared" ref="BQ80" si="265">+BO80/BB80</f>
        <v>9.1679754500356855E-2</v>
      </c>
      <c r="BR80" s="67"/>
      <c r="BS80" s="86"/>
      <c r="BT80" s="185"/>
      <c r="BU80" s="1"/>
      <c r="BV80">
        <f t="shared" si="220"/>
        <v>71</v>
      </c>
    </row>
    <row r="81" spans="2:74" x14ac:dyDescent="0.3">
      <c r="B81" s="479">
        <f t="shared" si="203"/>
        <v>43981</v>
      </c>
      <c r="C81" s="61"/>
      <c r="D81" s="17">
        <v>23290</v>
      </c>
      <c r="E81" s="16"/>
      <c r="F81" s="16"/>
      <c r="G81" s="16"/>
      <c r="H81" s="16">
        <f t="shared" ref="H81" si="266">+H80+D81</f>
        <v>1816820</v>
      </c>
      <c r="I81" s="16"/>
      <c r="J81" s="38">
        <f t="shared" ref="J81" si="267">+D81/H80</f>
        <v>1.2985564780070588E-2</v>
      </c>
      <c r="K81" s="16"/>
      <c r="L81" s="16"/>
      <c r="M81" s="16"/>
      <c r="N81" s="16">
        <f t="shared" ref="N81" si="268">+H81/BV81</f>
        <v>25233.611111111109</v>
      </c>
      <c r="O81" s="41"/>
      <c r="P81" s="17"/>
      <c r="Q81" s="16"/>
      <c r="R81" s="60"/>
      <c r="S81" s="16"/>
      <c r="T81" s="41"/>
      <c r="U81" s="481"/>
      <c r="V81" s="34">
        <v>1015</v>
      </c>
      <c r="W81" s="33"/>
      <c r="X81" s="33"/>
      <c r="Y81" s="33"/>
      <c r="Z81" s="33">
        <f t="shared" ref="Z81" si="269">+Z80+V81</f>
        <v>105557</v>
      </c>
      <c r="AA81" s="33"/>
      <c r="AB81" s="46">
        <f t="shared" ref="AB81" si="270">+Z81/H81</f>
        <v>5.8099866800233373E-2</v>
      </c>
      <c r="AC81" s="33"/>
      <c r="AD81" s="33">
        <f t="shared" ref="AD81" si="271">+Z81/BV81</f>
        <v>1466.0694444444443</v>
      </c>
      <c r="AE81" s="50"/>
      <c r="AF81" s="33"/>
      <c r="AG81" s="33"/>
      <c r="AH81" s="233"/>
      <c r="AI81" s="50"/>
      <c r="AJ81" s="10"/>
      <c r="AK81" s="23">
        <f t="shared" ref="AK81" si="272">+AO81-AO80</f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ref="AQ81" si="273">+AK81/AO80</f>
        <v>3.0157688391724679E-2</v>
      </c>
      <c r="AR81" s="25"/>
      <c r="AS81" s="25"/>
      <c r="AT81" s="24"/>
      <c r="AU81" s="344">
        <f t="shared" ref="AU81" si="274">+AO81/H81</f>
        <v>0.29460155656586784</v>
      </c>
      <c r="AV81" s="344"/>
      <c r="AW81" s="24">
        <f t="shared" ref="AW81" si="275">+AO81/BV81</f>
        <v>7433.8611111111113</v>
      </c>
      <c r="AX81" s="354"/>
      <c r="AY81" s="10"/>
      <c r="AZ81" s="66">
        <f t="shared" ref="AZ81" si="276">+BB81-BB80</f>
        <v>460063</v>
      </c>
      <c r="BA81" s="67"/>
      <c r="BB81" s="67">
        <v>17270841</v>
      </c>
      <c r="BC81" s="67"/>
      <c r="BD81" s="67">
        <f t="shared" ref="BD81" si="277">+D81</f>
        <v>23290</v>
      </c>
      <c r="BE81" s="67"/>
      <c r="BF81" s="157">
        <f t="shared" ref="BF81" si="278">+BD81/AZ81</f>
        <v>5.0623501563916248E-2</v>
      </c>
      <c r="BG81" s="67"/>
      <c r="BH81" s="185"/>
      <c r="BI81" s="67"/>
      <c r="BJ81" s="67"/>
      <c r="BK81" s="67"/>
      <c r="BL81" s="157"/>
      <c r="BM81" s="66">
        <f t="shared" ref="BM81" si="279">+BB81/BV81</f>
        <v>239872.79166666666</v>
      </c>
      <c r="BN81" s="67"/>
      <c r="BO81" s="67">
        <f t="shared" ref="BO81" si="280">+BO80+BD81</f>
        <v>1564498</v>
      </c>
      <c r="BP81" s="67"/>
      <c r="BQ81" s="74">
        <f t="shared" ref="BQ81" si="281">+BO81/BB81</f>
        <v>9.0586092478067509E-2</v>
      </c>
      <c r="BR81" s="67"/>
      <c r="BS81" s="86"/>
      <c r="BT81" s="185"/>
      <c r="BU81" s="1"/>
      <c r="BV81">
        <f t="shared" si="220"/>
        <v>72</v>
      </c>
    </row>
    <row r="82" spans="2:74" x14ac:dyDescent="0.3">
      <c r="B82" s="393">
        <f t="shared" si="203"/>
        <v>43982</v>
      </c>
      <c r="C82" s="61"/>
      <c r="D82" s="17">
        <v>20350</v>
      </c>
      <c r="E82" s="16"/>
      <c r="F82" s="16"/>
      <c r="G82" s="16"/>
      <c r="H82" s="16">
        <f t="shared" ref="H82" si="282">+H81+D82</f>
        <v>1837170</v>
      </c>
      <c r="I82" s="16"/>
      <c r="J82" s="38">
        <f t="shared" ref="J82" si="283">+D82/H81</f>
        <v>1.1200889466210191E-2</v>
      </c>
      <c r="K82" s="16"/>
      <c r="L82" s="16"/>
      <c r="M82" s="16"/>
      <c r="N82" s="16">
        <f t="shared" ref="N82" si="284">+H82/BV82</f>
        <v>25166.712328767124</v>
      </c>
      <c r="O82" s="41"/>
      <c r="P82" s="17">
        <f t="shared" ref="P82" si="285">SUM(D76:D82)</f>
        <v>150734</v>
      </c>
      <c r="Q82" s="16"/>
      <c r="R82" s="60">
        <f t="shared" ref="R82" si="286"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ref="Z82" si="287">+Z81+V82</f>
        <v>106195</v>
      </c>
      <c r="AA82" s="33"/>
      <c r="AB82" s="46">
        <f t="shared" ref="AB82" si="288">+Z82/H82</f>
        <v>5.7803578329713633E-2</v>
      </c>
      <c r="AC82" s="33"/>
      <c r="AD82" s="33">
        <f t="shared" ref="AD82" si="289">+Z82/BV82</f>
        <v>1454.7260273972602</v>
      </c>
      <c r="AE82" s="50"/>
      <c r="AF82" s="33">
        <f t="shared" ref="AF82" si="290">SUM(V76:V82)</f>
        <v>6895</v>
      </c>
      <c r="AG82" s="33"/>
      <c r="AH82" s="233">
        <f t="shared" ref="AH82" si="291">+(AF82-AF75)/AF75</f>
        <v>-0.17147320355683729</v>
      </c>
      <c r="AI82" s="50"/>
      <c r="AJ82" s="394"/>
      <c r="AK82" s="23">
        <f t="shared" ref="AK82" si="292">+AO82-AO81</f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ref="AQ82" si="293">+AK82/AO81</f>
        <v>0.12074815315803437</v>
      </c>
      <c r="AR82" s="25"/>
      <c r="AS82" s="25"/>
      <c r="AT82" s="24"/>
      <c r="AU82" s="344">
        <f t="shared" ref="AU82" si="294">+AO82/H82</f>
        <v>0.32651687105711502</v>
      </c>
      <c r="AV82" s="344"/>
      <c r="AW82" s="24">
        <f t="shared" ref="AW82" si="295">+AO82/BV82</f>
        <v>8217.3561643835619</v>
      </c>
      <c r="AX82" s="354"/>
      <c r="AY82" s="394"/>
      <c r="AZ82" s="66">
        <f t="shared" ref="AZ82" si="296">+BB82-BB81</f>
        <v>401726</v>
      </c>
      <c r="BA82" s="67"/>
      <c r="BB82" s="67">
        <v>17672567</v>
      </c>
      <c r="BC82" s="67"/>
      <c r="BD82" s="67">
        <f t="shared" ref="BD82" si="297">+D82</f>
        <v>20350</v>
      </c>
      <c r="BE82" s="67"/>
      <c r="BF82" s="157">
        <f t="shared" ref="BF82" si="298">+BD82/AZ82</f>
        <v>5.0656417558236209E-2</v>
      </c>
      <c r="BG82" s="67"/>
      <c r="BH82" s="185"/>
      <c r="BI82" s="67"/>
      <c r="BJ82" s="67">
        <f t="shared" ref="BJ82" si="299">SUM(AZ76:AZ82)</f>
        <v>2922811</v>
      </c>
      <c r="BK82" s="67"/>
      <c r="BL82" s="157">
        <f t="shared" ref="BL82" si="300">+P82/BJ82</f>
        <v>5.1571586394056956E-2</v>
      </c>
      <c r="BM82" s="66">
        <f t="shared" ref="BM82" si="301">+BB82/BV82</f>
        <v>242089.95890410958</v>
      </c>
      <c r="BN82" s="67"/>
      <c r="BO82" s="67">
        <f t="shared" ref="BO82" si="302">+BO81+BD82</f>
        <v>1584848</v>
      </c>
      <c r="BP82" s="67"/>
      <c r="BQ82" s="74">
        <f t="shared" ref="BQ82" si="303">+BO82/BB82</f>
        <v>8.9678426456100011E-2</v>
      </c>
      <c r="BR82" s="67"/>
      <c r="BS82" s="86"/>
      <c r="BT82" s="185"/>
      <c r="BU82" s="1"/>
      <c r="BV82">
        <f t="shared" si="220"/>
        <v>73</v>
      </c>
    </row>
    <row r="83" spans="2:74" x14ac:dyDescent="0.3">
      <c r="B83" s="173">
        <f t="shared" si="203"/>
        <v>43983</v>
      </c>
      <c r="C83" s="61"/>
      <c r="D83" s="17">
        <v>22153</v>
      </c>
      <c r="E83" s="16"/>
      <c r="F83" s="16"/>
      <c r="G83" s="16"/>
      <c r="H83" s="16">
        <f t="shared" ref="H83" si="304">+H82+D83</f>
        <v>1859323</v>
      </c>
      <c r="I83" s="16"/>
      <c r="J83" s="38">
        <f t="shared" ref="J83" si="305">+D83/H82</f>
        <v>1.2058219979642602E-2</v>
      </c>
      <c r="K83" s="16"/>
      <c r="L83" s="16"/>
      <c r="M83" s="16"/>
      <c r="N83" s="16">
        <f t="shared" ref="N83" si="306">+H83/BV83</f>
        <v>25125.986486486487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ref="Z83" si="307">+Z82+V83</f>
        <v>106925</v>
      </c>
      <c r="AA83" s="33"/>
      <c r="AB83" s="46">
        <f t="shared" ref="AB83" si="308">+Z83/H83</f>
        <v>5.7507490629653914E-2</v>
      </c>
      <c r="AC83" s="33"/>
      <c r="AD83" s="33">
        <f t="shared" ref="AD83" si="309">+Z83/BV83</f>
        <v>1444.9324324324325</v>
      </c>
      <c r="AE83" s="50"/>
      <c r="AF83" s="33"/>
      <c r="AG83" s="33"/>
      <c r="AH83" s="233"/>
      <c r="AI83" s="50"/>
      <c r="AJ83" s="10"/>
      <c r="AK83" s="23">
        <f t="shared" ref="AK83" si="310">+AO83-AO82</f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ref="AQ83" si="311">+AK83/AO82</f>
        <v>2.5774046580325307E-2</v>
      </c>
      <c r="AR83" s="25"/>
      <c r="AS83" s="25"/>
      <c r="AT83" s="24"/>
      <c r="AU83" s="344">
        <f t="shared" ref="AU83" si="312">+AO83/H83</f>
        <v>0.33094196113316515</v>
      </c>
      <c r="AV83" s="344"/>
      <c r="AW83" s="24">
        <f t="shared" ref="AW83" si="313">+AO83/BV83</f>
        <v>8315.2432432432433</v>
      </c>
      <c r="AX83" s="354"/>
      <c r="AY83" s="10"/>
      <c r="AZ83" s="66">
        <f t="shared" ref="AZ83" si="314">+BB83-BB82</f>
        <v>477486</v>
      </c>
      <c r="BA83" s="67"/>
      <c r="BB83" s="67">
        <v>18150053</v>
      </c>
      <c r="BC83" s="67"/>
      <c r="BD83" s="67">
        <f t="shared" ref="BD83" si="315">+D83</f>
        <v>22153</v>
      </c>
      <c r="BE83" s="67"/>
      <c r="BF83" s="157">
        <f t="shared" ref="BF83" si="316">+BD83/AZ83</f>
        <v>4.6395077552011998E-2</v>
      </c>
      <c r="BG83" s="67"/>
      <c r="BH83" s="185"/>
      <c r="BI83" s="67"/>
      <c r="BJ83" s="67"/>
      <c r="BK83" s="67"/>
      <c r="BL83" s="157"/>
      <c r="BM83" s="66">
        <f t="shared" ref="BM83" si="317">+BB83/BV83</f>
        <v>245270.98648648648</v>
      </c>
      <c r="BN83" s="67"/>
      <c r="BO83" s="67">
        <f t="shared" ref="BO83" si="318">+BO82+BD83</f>
        <v>1607001</v>
      </c>
      <c r="BP83" s="67"/>
      <c r="BQ83" s="74">
        <f t="shared" ref="BQ83" si="319">+BO83/BB83</f>
        <v>8.8539741454198503E-2</v>
      </c>
      <c r="BR83" s="67"/>
      <c r="BS83" s="86"/>
      <c r="BT83" s="185"/>
      <c r="BU83" s="1"/>
      <c r="BV83">
        <f t="shared" si="220"/>
        <v>74</v>
      </c>
    </row>
    <row r="84" spans="2:74" x14ac:dyDescent="0.3">
      <c r="B84" s="173">
        <f t="shared" si="203"/>
        <v>43984</v>
      </c>
      <c r="C84" s="61"/>
      <c r="D84" s="17">
        <v>21882</v>
      </c>
      <c r="E84" s="16"/>
      <c r="F84" s="16"/>
      <c r="G84" s="16"/>
      <c r="H84" s="16">
        <f t="shared" ref="H84" si="320">+H83+D84</f>
        <v>1881205</v>
      </c>
      <c r="I84" s="16"/>
      <c r="J84" s="38">
        <f t="shared" ref="J84" si="321">+D84/H83</f>
        <v>1.176879971903752E-2</v>
      </c>
      <c r="K84" s="16"/>
      <c r="L84" s="16"/>
      <c r="M84" s="16"/>
      <c r="N84" s="16">
        <f t="shared" ref="N84" si="322">+H84/BV84</f>
        <v>25082.733333333334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ref="Z84" si="323">+Z83+V84</f>
        <v>108059</v>
      </c>
      <c r="AA84" s="33"/>
      <c r="AB84" s="46">
        <f t="shared" ref="AB84" si="324">+Z84/H84</f>
        <v>5.74413740129332E-2</v>
      </c>
      <c r="AC84" s="33"/>
      <c r="AD84" s="33">
        <f t="shared" ref="AD84" si="325">+Z84/BV84</f>
        <v>1440.7866666666666</v>
      </c>
      <c r="AE84" s="50"/>
      <c r="AF84" s="33"/>
      <c r="AG84" s="33"/>
      <c r="AH84" s="233"/>
      <c r="AI84" s="50"/>
      <c r="AJ84" s="10"/>
      <c r="AK84" s="23">
        <f t="shared" ref="AK84" si="326">+AO84-AO83</f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ref="AQ84" si="327">+AK84/AO83</f>
        <v>4.9320037443444799E-2</v>
      </c>
      <c r="AR84" s="25"/>
      <c r="AS84" s="25"/>
      <c r="AT84" s="24"/>
      <c r="AU84" s="344">
        <f t="shared" ref="AU84" si="328">+AO84/H84</f>
        <v>0.34322468843108539</v>
      </c>
      <c r="AV84" s="344"/>
      <c r="AW84" s="24">
        <f t="shared" ref="AW84" si="329">+AO84/BV84</f>
        <v>8609.0133333333342</v>
      </c>
      <c r="AX84" s="354"/>
      <c r="AY84" s="10"/>
      <c r="AZ84" s="66">
        <f t="shared" ref="AZ84" si="330">+BB84-BB83</f>
        <v>453121</v>
      </c>
      <c r="BA84" s="67"/>
      <c r="BB84" s="67">
        <v>18603174</v>
      </c>
      <c r="BC84" s="67"/>
      <c r="BD84" s="67">
        <f t="shared" ref="BD84" si="331">+D84</f>
        <v>21882</v>
      </c>
      <c r="BE84" s="67"/>
      <c r="BF84" s="157">
        <f t="shared" ref="BF84" si="332">+BD84/AZ84</f>
        <v>4.8291736644295896E-2</v>
      </c>
      <c r="BG84" s="67"/>
      <c r="BH84" s="185"/>
      <c r="BI84" s="67"/>
      <c r="BJ84" s="67"/>
      <c r="BK84" s="67"/>
      <c r="BL84" s="157"/>
      <c r="BM84" s="66">
        <f t="shared" ref="BM84" si="333">+BB84/BV84</f>
        <v>248042.32</v>
      </c>
      <c r="BN84" s="67"/>
      <c r="BO84" s="67">
        <f t="shared" ref="BO84" si="334">+BO83+BD84</f>
        <v>1628883</v>
      </c>
      <c r="BP84" s="67"/>
      <c r="BQ84" s="74">
        <f t="shared" ref="BQ84" si="335">+BO84/BB84</f>
        <v>8.7559413248513393E-2</v>
      </c>
      <c r="BR84" s="67"/>
      <c r="BS84" s="86"/>
      <c r="BT84" s="185"/>
      <c r="BU84" s="1"/>
      <c r="BV84">
        <f t="shared" si="220"/>
        <v>75</v>
      </c>
    </row>
    <row r="85" spans="2:74" x14ac:dyDescent="0.3">
      <c r="B85" s="173">
        <f t="shared" si="203"/>
        <v>43985</v>
      </c>
      <c r="C85" s="61"/>
      <c r="D85" s="17">
        <v>20578</v>
      </c>
      <c r="E85" s="16"/>
      <c r="F85" s="16"/>
      <c r="G85" s="16"/>
      <c r="H85" s="16">
        <f t="shared" ref="H85" si="336">+H84+D85</f>
        <v>1901783</v>
      </c>
      <c r="I85" s="16"/>
      <c r="J85" s="38">
        <f t="shared" ref="J85" si="337">+D85/H84</f>
        <v>1.0938733418208011E-2</v>
      </c>
      <c r="K85" s="16"/>
      <c r="L85" s="16"/>
      <c r="M85" s="16"/>
      <c r="N85" s="16">
        <f t="shared" ref="N85" si="338">+H85/BV85</f>
        <v>25023.46052631579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ref="Z85" si="339">+Z84+V85</f>
        <v>109142</v>
      </c>
      <c r="AA85" s="33"/>
      <c r="AB85" s="46">
        <f t="shared" ref="AB85" si="340">+Z85/H85</f>
        <v>5.738930256501399E-2</v>
      </c>
      <c r="AC85" s="33"/>
      <c r="AD85" s="33">
        <f t="shared" ref="AD85" si="341">+Z85/BV85</f>
        <v>1436.078947368421</v>
      </c>
      <c r="AE85" s="50"/>
      <c r="AF85" s="33"/>
      <c r="AG85" s="33"/>
      <c r="AH85" s="233"/>
      <c r="AI85" s="50"/>
      <c r="AJ85" s="10"/>
      <c r="AK85" s="23">
        <f t="shared" ref="AK85" si="342">+AO85-AO84</f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ref="AQ85" si="343">+AK85/AO84</f>
        <v>6.6587576431522938E-2</v>
      </c>
      <c r="AR85" s="25"/>
      <c r="AS85" s="25"/>
      <c r="AT85" s="24"/>
      <c r="AU85" s="344">
        <f t="shared" ref="AU85" si="344">+AO85/H85</f>
        <v>0.36211807551124392</v>
      </c>
      <c r="AV85" s="344"/>
      <c r="AW85" s="24">
        <f t="shared" ref="AW85" si="345">+AO85/BV85</f>
        <v>9061.4473684210534</v>
      </c>
      <c r="AX85" s="354"/>
      <c r="AY85" s="10"/>
      <c r="AZ85" s="66">
        <f t="shared" ref="AZ85" si="346">+BB85-BB84</f>
        <v>493497</v>
      </c>
      <c r="BA85" s="67"/>
      <c r="BB85" s="67">
        <v>19096671</v>
      </c>
      <c r="BC85" s="67"/>
      <c r="BD85" s="67">
        <f t="shared" ref="BD85" si="347">+D85</f>
        <v>20578</v>
      </c>
      <c r="BE85" s="67"/>
      <c r="BF85" s="157">
        <f t="shared" ref="BF85" si="348">+BD85/AZ85</f>
        <v>4.1698328459950113E-2</v>
      </c>
      <c r="BG85" s="67"/>
      <c r="BH85" s="185"/>
      <c r="BI85" s="67"/>
      <c r="BJ85" s="67"/>
      <c r="BK85" s="67"/>
      <c r="BL85" s="157"/>
      <c r="BM85" s="66">
        <f t="shared" ref="BM85" si="349">+BB85/BV85</f>
        <v>251271.98684210525</v>
      </c>
      <c r="BN85" s="67"/>
      <c r="BO85" s="67">
        <f t="shared" ref="BO85" si="350">+BO84+BD85</f>
        <v>1649461</v>
      </c>
      <c r="BP85" s="67"/>
      <c r="BQ85" s="74">
        <f t="shared" ref="BQ85" si="351">+BO85/BB85</f>
        <v>8.6374269106903503E-2</v>
      </c>
      <c r="BR85" s="67"/>
      <c r="BS85" s="86"/>
      <c r="BT85" s="185"/>
      <c r="BU85" s="1"/>
      <c r="BV85">
        <f t="shared" si="220"/>
        <v>76</v>
      </c>
    </row>
    <row r="86" spans="2:74" x14ac:dyDescent="0.3">
      <c r="B86" s="173">
        <f t="shared" si="203"/>
        <v>43986</v>
      </c>
      <c r="C86" s="61"/>
      <c r="D86" s="17">
        <v>22268</v>
      </c>
      <c r="E86" s="16"/>
      <c r="F86" s="16"/>
      <c r="G86" s="16"/>
      <c r="H86" s="16">
        <f t="shared" ref="H86" si="352">+H85+D86</f>
        <v>1924051</v>
      </c>
      <c r="I86" s="16"/>
      <c r="J86" s="38">
        <f t="shared" ref="J86" si="353">+D86/H85</f>
        <v>1.170901201661809E-2</v>
      </c>
      <c r="K86" s="16"/>
      <c r="L86" s="16"/>
      <c r="M86" s="16"/>
      <c r="N86" s="16">
        <f t="shared" ref="N86" si="354">+H86/BV86</f>
        <v>24987.675324675325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ref="Z86" si="355">+Z85+V86</f>
        <v>110173</v>
      </c>
      <c r="AA86" s="33"/>
      <c r="AB86" s="46">
        <f t="shared" ref="AB86" si="356">+Z86/H86</f>
        <v>5.7260956180475463E-2</v>
      </c>
      <c r="AC86" s="33"/>
      <c r="AD86" s="33">
        <f t="shared" ref="AD86" si="357">+Z86/BV86</f>
        <v>1430.8181818181818</v>
      </c>
      <c r="AE86" s="50"/>
      <c r="AF86" s="33"/>
      <c r="AG86" s="33"/>
      <c r="AH86" s="233"/>
      <c r="AI86" s="50"/>
      <c r="AJ86" s="10"/>
      <c r="AK86" s="23">
        <f t="shared" ref="AK86" si="358">+AO86-AO85</f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ref="AQ86" si="359">+AK86/AO85</f>
        <v>3.4242815862459523E-2</v>
      </c>
      <c r="AR86" s="25"/>
      <c r="AS86" s="25"/>
      <c r="AT86" s="24"/>
      <c r="AU86" s="344">
        <f t="shared" ref="AU86" si="360">+AO86/H86</f>
        <v>0.37018353463603615</v>
      </c>
      <c r="AV86" s="344"/>
      <c r="AW86" s="24">
        <f t="shared" ref="AW86" si="361">+AO86/BV86</f>
        <v>9250.0259740259735</v>
      </c>
      <c r="AX86" s="354"/>
      <c r="AY86" s="10"/>
      <c r="AZ86" s="66">
        <f t="shared" ref="AZ86" si="362">+BB86-BB85</f>
        <v>471398</v>
      </c>
      <c r="BA86" s="67"/>
      <c r="BB86" s="67">
        <v>19568069</v>
      </c>
      <c r="BC86" s="67"/>
      <c r="BD86" s="67">
        <f t="shared" ref="BD86" si="363">+D86</f>
        <v>22268</v>
      </c>
      <c r="BE86" s="67"/>
      <c r="BF86" s="157">
        <f t="shared" ref="BF86" si="364">+BD86/AZ86</f>
        <v>4.7238214841810955E-2</v>
      </c>
      <c r="BG86" s="67"/>
      <c r="BH86" s="185"/>
      <c r="BI86" s="67"/>
      <c r="BJ86" s="67"/>
      <c r="BK86" s="67"/>
      <c r="BL86" s="157"/>
      <c r="BM86" s="66">
        <f t="shared" ref="BM86" si="365">+BB86/BV86</f>
        <v>254130.76623376625</v>
      </c>
      <c r="BN86" s="67"/>
      <c r="BO86" s="67">
        <f t="shared" ref="BO86" si="366">+BO85+BD86</f>
        <v>1671729</v>
      </c>
      <c r="BP86" s="67"/>
      <c r="BQ86" s="74">
        <f t="shared" ref="BQ86" si="367">+BO86/BB86</f>
        <v>8.5431475124091188E-2</v>
      </c>
      <c r="BR86" s="67"/>
      <c r="BS86" s="86"/>
      <c r="BT86" s="185"/>
      <c r="BU86" s="1"/>
      <c r="BV86">
        <f t="shared" si="220"/>
        <v>77</v>
      </c>
    </row>
    <row r="87" spans="2:74" x14ac:dyDescent="0.3">
      <c r="B87" s="173">
        <f t="shared" si="203"/>
        <v>43987</v>
      </c>
      <c r="C87" s="61"/>
      <c r="D87" s="17">
        <v>25309</v>
      </c>
      <c r="E87" s="16"/>
      <c r="F87" s="16"/>
      <c r="G87" s="16"/>
      <c r="H87" s="16">
        <f t="shared" ref="H87" si="368">+H86+D87</f>
        <v>1949360</v>
      </c>
      <c r="I87" s="16"/>
      <c r="J87" s="38">
        <f t="shared" ref="J87" si="369">+D87/H86</f>
        <v>1.3154017227194082E-2</v>
      </c>
      <c r="K87" s="16"/>
      <c r="L87" s="16"/>
      <c r="M87" s="16"/>
      <c r="N87" s="16">
        <f t="shared" ref="N87" si="370">+H87/BV87</f>
        <v>24991.794871794871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ref="Z87" si="371">+Z86+V87</f>
        <v>111148</v>
      </c>
      <c r="AA87" s="33"/>
      <c r="AB87" s="46">
        <f t="shared" ref="AB87" si="372">+Z87/H87</f>
        <v>5.701768785652727E-2</v>
      </c>
      <c r="AC87" s="33"/>
      <c r="AD87" s="33">
        <f t="shared" ref="AD87" si="373">+Z87/BV87</f>
        <v>1424.9743589743589</v>
      </c>
      <c r="AE87" s="50"/>
      <c r="AF87" s="33"/>
      <c r="AG87" s="33"/>
      <c r="AH87" s="233"/>
      <c r="AI87" s="50"/>
      <c r="AJ87" s="10"/>
      <c r="AK87" s="23">
        <f t="shared" ref="AK87" si="374">+AO87-AO86</f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ref="AQ87" si="375">+AK87/AO86</f>
        <v>3.7057109000746928E-2</v>
      </c>
      <c r="AR87" s="25"/>
      <c r="AS87" s="25"/>
      <c r="AT87" s="24"/>
      <c r="AU87" s="344">
        <f t="shared" ref="AU87" si="376">+AO87/H87</f>
        <v>0.3789171830754709</v>
      </c>
      <c r="AV87" s="344"/>
      <c r="AW87" s="24">
        <f t="shared" ref="AW87" si="377">+AO87/BV87</f>
        <v>9469.8205128205136</v>
      </c>
      <c r="AX87" s="354"/>
      <c r="AY87" s="10"/>
      <c r="AZ87" s="66">
        <f t="shared" ref="AZ87" si="378">+BB87-BB86</f>
        <v>699286</v>
      </c>
      <c r="BA87" s="67"/>
      <c r="BB87" s="67">
        <v>20267355</v>
      </c>
      <c r="BC87" s="67"/>
      <c r="BD87" s="67">
        <f t="shared" ref="BD87" si="379">+D87</f>
        <v>25309</v>
      </c>
      <c r="BE87" s="67"/>
      <c r="BF87" s="157">
        <f t="shared" ref="BF87" si="380">+BD87/AZ87</f>
        <v>3.6192630769098767E-2</v>
      </c>
      <c r="BG87" s="67"/>
      <c r="BH87" s="185"/>
      <c r="BI87" s="67"/>
      <c r="BJ87" s="67"/>
      <c r="BK87" s="67"/>
      <c r="BL87" s="157"/>
      <c r="BM87" s="66">
        <f t="shared" ref="BM87" si="381">+BB87/BV87</f>
        <v>259837.88461538462</v>
      </c>
      <c r="BN87" s="67"/>
      <c r="BO87" s="67">
        <f t="shared" ref="BO87" si="382">+BO86+BD87</f>
        <v>1697038</v>
      </c>
      <c r="BP87" s="67"/>
      <c r="BQ87" s="74">
        <f t="shared" ref="BQ87" si="383">+BO87/BB87</f>
        <v>8.3732583753528766E-2</v>
      </c>
      <c r="BR87" s="67"/>
      <c r="BS87" s="86"/>
      <c r="BT87" s="185"/>
      <c r="BU87" s="1"/>
      <c r="BV87">
        <f t="shared" si="220"/>
        <v>78</v>
      </c>
    </row>
    <row r="88" spans="2:74" x14ac:dyDescent="0.3">
      <c r="B88" s="479">
        <f t="shared" si="203"/>
        <v>43988</v>
      </c>
      <c r="C88" s="61"/>
      <c r="D88" s="17">
        <v>22836</v>
      </c>
      <c r="E88" s="16"/>
      <c r="F88" s="16"/>
      <c r="G88" s="16"/>
      <c r="H88" s="16">
        <f t="shared" ref="H88" si="384">+H87+D88</f>
        <v>1972196</v>
      </c>
      <c r="I88" s="16"/>
      <c r="J88" s="38">
        <f t="shared" ref="J88" si="385">+D88/H87</f>
        <v>1.1714614027167891E-2</v>
      </c>
      <c r="K88" s="16"/>
      <c r="L88" s="16"/>
      <c r="M88" s="16"/>
      <c r="N88" s="16">
        <f t="shared" ref="N88" si="386">+H88/BV88</f>
        <v>24964.506329113923</v>
      </c>
      <c r="O88" s="41"/>
      <c r="P88" s="17"/>
      <c r="Q88" s="16"/>
      <c r="R88" s="60"/>
      <c r="S88" s="16"/>
      <c r="T88" s="41"/>
      <c r="U88" s="481"/>
      <c r="V88" s="34">
        <v>706</v>
      </c>
      <c r="W88" s="33"/>
      <c r="X88" s="33"/>
      <c r="Y88" s="33"/>
      <c r="Z88" s="33">
        <f t="shared" ref="Z88" si="387">+Z87+V88</f>
        <v>111854</v>
      </c>
      <c r="AA88" s="33"/>
      <c r="AB88" s="46">
        <f t="shared" ref="AB88" si="388">+Z88/H88</f>
        <v>5.6715458301304741E-2</v>
      </c>
      <c r="AC88" s="33"/>
      <c r="AD88" s="33">
        <f t="shared" ref="AD88" si="389">+Z88/BV88</f>
        <v>1415.873417721519</v>
      </c>
      <c r="AE88" s="50"/>
      <c r="AF88" s="33"/>
      <c r="AG88" s="33"/>
      <c r="AH88" s="233"/>
      <c r="AI88" s="50"/>
      <c r="AJ88" s="10"/>
      <c r="AK88" s="23">
        <f t="shared" ref="AK88" si="390">+AO88-AO87</f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ref="AQ88" si="391">+AK88/AO87</f>
        <v>1.7666107986775804E-2</v>
      </c>
      <c r="AR88" s="25"/>
      <c r="AS88" s="25"/>
      <c r="AT88" s="24"/>
      <c r="AU88" s="344">
        <f t="shared" ref="AU88" si="392">+AO88/H88</f>
        <v>0.38114619439447195</v>
      </c>
      <c r="AV88" s="344"/>
      <c r="AW88" s="24">
        <f t="shared" ref="AW88" si="393">+AO88/BV88</f>
        <v>9515.1265822784808</v>
      </c>
      <c r="AX88" s="354"/>
      <c r="AY88" s="10"/>
      <c r="AZ88" s="66">
        <f t="shared" ref="AZ88" si="394">+BB88-BB87</f>
        <v>551073</v>
      </c>
      <c r="BA88" s="67"/>
      <c r="BB88" s="67">
        <v>20818428</v>
      </c>
      <c r="BC88" s="67"/>
      <c r="BD88" s="67">
        <f t="shared" ref="BD88" si="395">+D88</f>
        <v>22836</v>
      </c>
      <c r="BE88" s="67"/>
      <c r="BF88" s="157">
        <f t="shared" ref="BF88" si="396">+BD88/AZ88</f>
        <v>4.1439155973890938E-2</v>
      </c>
      <c r="BG88" s="67"/>
      <c r="BH88" s="185"/>
      <c r="BI88" s="67"/>
      <c r="BJ88" s="67"/>
      <c r="BK88" s="67"/>
      <c r="BL88" s="157"/>
      <c r="BM88" s="66">
        <f t="shared" ref="BM88" si="397">+BB88/BV88</f>
        <v>263524.40506329114</v>
      </c>
      <c r="BN88" s="67"/>
      <c r="BO88" s="67">
        <f t="shared" ref="BO88" si="398">+BO87+BD88</f>
        <v>1719874</v>
      </c>
      <c r="BP88" s="67"/>
      <c r="BQ88" s="74">
        <f t="shared" ref="BQ88" si="399">+BO88/BB88</f>
        <v>8.2613058008030191E-2</v>
      </c>
      <c r="BR88" s="67"/>
      <c r="BS88" s="86"/>
      <c r="BT88" s="185"/>
      <c r="BU88" s="1"/>
      <c r="BV88">
        <f t="shared" si="220"/>
        <v>79</v>
      </c>
    </row>
    <row r="89" spans="2:74" x14ac:dyDescent="0.3">
      <c r="B89" s="393">
        <f t="shared" si="203"/>
        <v>43989</v>
      </c>
      <c r="C89" s="61"/>
      <c r="D89" s="17">
        <v>18905</v>
      </c>
      <c r="E89" s="16"/>
      <c r="F89" s="16"/>
      <c r="G89" s="16"/>
      <c r="H89" s="16">
        <f t="shared" ref="H89" si="400">+H88+D89</f>
        <v>1991101</v>
      </c>
      <c r="I89" s="16"/>
      <c r="J89" s="38">
        <f t="shared" ref="J89" si="401">+D89/H88</f>
        <v>9.585761252938349E-3</v>
      </c>
      <c r="K89" s="16"/>
      <c r="L89" s="16"/>
      <c r="M89" s="16"/>
      <c r="N89" s="16">
        <f t="shared" ref="N89" si="402">+H89/BV89</f>
        <v>24888.762500000001</v>
      </c>
      <c r="O89" s="41"/>
      <c r="P89" s="17">
        <f t="shared" ref="P89" si="403">SUM(D83:D89)</f>
        <v>153931</v>
      </c>
      <c r="Q89" s="16"/>
      <c r="R89" s="60">
        <f t="shared" ref="R89" si="404">+(P89-P82)/P82</f>
        <v>2.1209547945387239E-2</v>
      </c>
      <c r="S89" s="16"/>
      <c r="T89" s="41"/>
      <c r="U89" s="394"/>
      <c r="V89" s="34">
        <v>373</v>
      </c>
      <c r="W89" s="33"/>
      <c r="X89" s="33"/>
      <c r="Y89" s="33"/>
      <c r="Z89" s="33">
        <f t="shared" ref="Z89" si="405">+Z88+V89</f>
        <v>112227</v>
      </c>
      <c r="AA89" s="33"/>
      <c r="AB89" s="46">
        <f t="shared" ref="AB89" si="406">+Z89/H89</f>
        <v>5.6364292921353559E-2</v>
      </c>
      <c r="AC89" s="33"/>
      <c r="AD89" s="33">
        <f t="shared" ref="AD89" si="407">+Z89/BV89</f>
        <v>1402.8375000000001</v>
      </c>
      <c r="AE89" s="50"/>
      <c r="AF89" s="33">
        <f t="shared" ref="AF89" si="408">SUM(V83:V89)</f>
        <v>6032</v>
      </c>
      <c r="AG89" s="33"/>
      <c r="AH89" s="233">
        <f t="shared" ref="AH89" si="409">+(AF89-AF82)/AF82</f>
        <v>-0.12516316171138506</v>
      </c>
      <c r="AI89" s="50"/>
      <c r="AJ89" s="394"/>
      <c r="AK89" s="23">
        <f t="shared" ref="AK89" si="410">+AO89-AO88</f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ref="AQ89" si="411">+AK89/AO88</f>
        <v>1.3320562196103473E-2</v>
      </c>
      <c r="AR89" s="25"/>
      <c r="AS89" s="25"/>
      <c r="AT89" s="24"/>
      <c r="AU89" s="344">
        <f t="shared" ref="AU89" si="412">+AO89/H89</f>
        <v>0.38255618373954914</v>
      </c>
      <c r="AV89" s="344"/>
      <c r="AW89" s="24">
        <f t="shared" ref="AW89" si="413">+AO89/BV89</f>
        <v>9521.35</v>
      </c>
      <c r="AX89" s="354"/>
      <c r="AY89" s="394"/>
      <c r="AZ89" s="66">
        <f t="shared" ref="AZ89" si="414">+BB89-BB88</f>
        <v>473249</v>
      </c>
      <c r="BA89" s="67"/>
      <c r="BB89" s="67">
        <v>21291677</v>
      </c>
      <c r="BC89" s="67"/>
      <c r="BD89" s="67">
        <f t="shared" ref="BD89" si="415">+D89</f>
        <v>18905</v>
      </c>
      <c r="BE89" s="67"/>
      <c r="BF89" s="157">
        <f t="shared" ref="BF89" si="416">+BD89/AZ89</f>
        <v>3.9947258208680843E-2</v>
      </c>
      <c r="BG89" s="67"/>
      <c r="BH89" s="185"/>
      <c r="BI89" s="67"/>
      <c r="BJ89" s="67">
        <f t="shared" ref="BJ89" si="417">SUM(AZ83:AZ89)</f>
        <v>3619110</v>
      </c>
      <c r="BK89" s="67"/>
      <c r="BL89" s="157">
        <f t="shared" ref="BL89" si="418">+P89/BJ89</f>
        <v>4.2532832657752873E-2</v>
      </c>
      <c r="BM89" s="66">
        <f t="shared" ref="BM89" si="419">+BB89/BV89</f>
        <v>266145.96250000002</v>
      </c>
      <c r="BN89" s="67"/>
      <c r="BO89" s="67">
        <f t="shared" ref="BO89" si="420">+BO88+BD89</f>
        <v>1738779</v>
      </c>
      <c r="BP89" s="67"/>
      <c r="BQ89" s="74">
        <f t="shared" ref="BQ89" si="421">+BO89/BB89</f>
        <v>8.1664727489525607E-2</v>
      </c>
      <c r="BR89" s="67"/>
      <c r="BS89" s="86"/>
      <c r="BT89" s="185"/>
      <c r="BU89" s="1"/>
      <c r="BV89">
        <f t="shared" si="220"/>
        <v>80</v>
      </c>
    </row>
    <row r="90" spans="2:74" x14ac:dyDescent="0.3">
      <c r="B90" s="173">
        <f t="shared" si="203"/>
        <v>43990</v>
      </c>
      <c r="C90" s="61"/>
      <c r="D90" s="17">
        <v>19044</v>
      </c>
      <c r="E90" s="16"/>
      <c r="F90" s="16"/>
      <c r="G90" s="16"/>
      <c r="H90" s="16">
        <f t="shared" ref="H90" si="422">+H89+D90</f>
        <v>2010145</v>
      </c>
      <c r="I90" s="16"/>
      <c r="J90" s="38">
        <f t="shared" ref="J90" si="423">+D90/H89</f>
        <v>9.5645574985899762E-3</v>
      </c>
      <c r="K90" s="16"/>
      <c r="L90" s="16"/>
      <c r="M90" s="16"/>
      <c r="N90" s="16">
        <f t="shared" ref="N90" si="424">+H90/BV90</f>
        <v>24816.604938271605</v>
      </c>
      <c r="O90" s="41"/>
      <c r="P90" s="17">
        <f t="shared" ref="P90" si="425">SUM(D84:D90)</f>
        <v>150822</v>
      </c>
      <c r="Q90" s="16"/>
      <c r="R90" s="60" t="e">
        <f t="shared" ref="R90" si="426">+(P90-P83)/P83</f>
        <v>#DIV/0!</v>
      </c>
      <c r="S90" s="16"/>
      <c r="T90" s="41"/>
      <c r="U90" s="10"/>
      <c r="V90" s="34">
        <v>586</v>
      </c>
      <c r="W90" s="33"/>
      <c r="X90" s="33"/>
      <c r="Y90" s="33"/>
      <c r="Z90" s="33">
        <f t="shared" ref="Z90" si="427">+Z89+V90</f>
        <v>112813</v>
      </c>
      <c r="AA90" s="33"/>
      <c r="AB90" s="46">
        <f t="shared" ref="AB90" si="428">+Z90/H90</f>
        <v>5.6121822057612757E-2</v>
      </c>
      <c r="AC90" s="33"/>
      <c r="AD90" s="33">
        <f t="shared" ref="AD90" si="429">+Z90/BV90</f>
        <v>1392.7530864197531</v>
      </c>
      <c r="AE90" s="50"/>
      <c r="AF90" s="33">
        <f t="shared" ref="AF90" si="430">SUM(V84:V90)</f>
        <v>5888</v>
      </c>
      <c r="AG90" s="33"/>
      <c r="AH90" s="233" t="e">
        <f t="shared" ref="AH90" si="431">+(AF90-AF83)/AF83</f>
        <v>#DIV/0!</v>
      </c>
      <c r="AI90" s="50"/>
      <c r="AJ90" s="10"/>
      <c r="AK90" s="23">
        <f t="shared" ref="AK90" si="432">+AO90-AO89</f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ref="AQ90" si="433">+AK90/AO89</f>
        <v>1.545474118691152E-2</v>
      </c>
      <c r="AR90" s="25"/>
      <c r="AS90" s="25"/>
      <c r="AT90" s="24"/>
      <c r="AU90" s="344">
        <f t="shared" ref="AU90" si="434">+AO90/H90</f>
        <v>0.38478816204801147</v>
      </c>
      <c r="AV90" s="344"/>
      <c r="AW90" s="24">
        <f t="shared" ref="AW90" si="435">+AO90/BV90</f>
        <v>9549.1358024691363</v>
      </c>
      <c r="AX90" s="354"/>
      <c r="AY90" s="10"/>
      <c r="AZ90" s="66">
        <f t="shared" ref="AZ90" si="436">+BB90-BB89</f>
        <v>433387</v>
      </c>
      <c r="BA90" s="67"/>
      <c r="BB90" s="67">
        <v>21725064</v>
      </c>
      <c r="BC90" s="67"/>
      <c r="BD90" s="67">
        <f t="shared" ref="BD90" si="437">+D90</f>
        <v>19044</v>
      </c>
      <c r="BE90" s="67"/>
      <c r="BF90" s="157">
        <f t="shared" ref="BF90" si="438">+BD90/AZ90</f>
        <v>4.3942250229010098E-2</v>
      </c>
      <c r="BG90" s="67"/>
      <c r="BH90" s="185"/>
      <c r="BI90" s="67"/>
      <c r="BJ90" s="67">
        <f t="shared" ref="BJ90" si="439">SUM(AZ84:AZ90)</f>
        <v>3575011</v>
      </c>
      <c r="BK90" s="67"/>
      <c r="BL90" s="157">
        <f t="shared" ref="BL90" si="440">+P90/BJ90</f>
        <v>4.2187842219226737E-2</v>
      </c>
      <c r="BM90" s="66">
        <f t="shared" ref="BM90" si="441">+BB90/BV90</f>
        <v>268210.66666666669</v>
      </c>
      <c r="BN90" s="67"/>
      <c r="BO90" s="67">
        <f t="shared" ref="BO90" si="442">+BO89+BD90</f>
        <v>1757823</v>
      </c>
      <c r="BP90" s="67"/>
      <c r="BQ90" s="74">
        <f t="shared" ref="BQ90" si="443">+BO90/BB90</f>
        <v>8.0912212732721978E-2</v>
      </c>
      <c r="BR90" s="67"/>
      <c r="BS90" s="86"/>
      <c r="BT90" s="185"/>
      <c r="BU90" s="1"/>
      <c r="BV90">
        <f t="shared" si="220"/>
        <v>81</v>
      </c>
    </row>
    <row r="91" spans="2:74" x14ac:dyDescent="0.3">
      <c r="B91" s="173">
        <f t="shared" si="203"/>
        <v>43991</v>
      </c>
      <c r="C91" s="61"/>
      <c r="D91" s="17">
        <v>19056</v>
      </c>
      <c r="E91" s="16"/>
      <c r="F91" s="16"/>
      <c r="G91" s="16"/>
      <c r="H91" s="16">
        <f t="shared" ref="H91" si="444">+H90+D91</f>
        <v>2029201</v>
      </c>
      <c r="I91" s="16"/>
      <c r="J91" s="38">
        <f t="shared" ref="J91" si="445">+D91/H90</f>
        <v>9.4799131405943361E-3</v>
      </c>
      <c r="K91" s="16"/>
      <c r="L91" s="16"/>
      <c r="M91" s="16"/>
      <c r="N91" s="16">
        <f t="shared" ref="N91" si="446">+H91/BV91</f>
        <v>24746.353658536584</v>
      </c>
      <c r="O91" s="41"/>
      <c r="P91" s="17">
        <f t="shared" ref="P91" si="447">SUM(D85:D91)</f>
        <v>147996</v>
      </c>
      <c r="Q91" s="16"/>
      <c r="R91" s="60" t="e">
        <f t="shared" ref="R91" si="448">+(P91-P84)/P84</f>
        <v>#DIV/0!</v>
      </c>
      <c r="S91" s="16"/>
      <c r="T91" s="41"/>
      <c r="U91" s="10"/>
      <c r="V91" s="34">
        <v>1093</v>
      </c>
      <c r="W91" s="33"/>
      <c r="X91" s="33"/>
      <c r="Y91" s="33"/>
      <c r="Z91" s="33">
        <f t="shared" ref="Z91" si="449">+Z90+V91</f>
        <v>113906</v>
      </c>
      <c r="AA91" s="33"/>
      <c r="AB91" s="46">
        <f t="shared" ref="AB91" si="450">+Z91/H91</f>
        <v>5.6133423943709862E-2</v>
      </c>
      <c r="AC91" s="33"/>
      <c r="AD91" s="33">
        <f t="shared" ref="AD91" si="451">+Z91/BV91</f>
        <v>1389.0975609756097</v>
      </c>
      <c r="AE91" s="50"/>
      <c r="AF91" s="33">
        <f t="shared" ref="AF91" si="452">SUM(V85:V91)</f>
        <v>5847</v>
      </c>
      <c r="AG91" s="33"/>
      <c r="AH91" s="233" t="e">
        <f t="shared" ref="AH91" si="453">+(AF91-AF84)/AF84</f>
        <v>#DIV/0!</v>
      </c>
      <c r="AI91" s="50"/>
      <c r="AJ91" s="10"/>
      <c r="AK91" s="23">
        <f t="shared" ref="AK91" si="454">+AO91-AO90</f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ref="AQ91" si="455">+AK91/AO90</f>
        <v>1.988674561721053E-2</v>
      </c>
      <c r="AR91" s="25"/>
      <c r="AS91" s="25"/>
      <c r="AT91" s="24"/>
      <c r="AU91" s="344">
        <f t="shared" ref="AU91" si="456">+AO91/H91</f>
        <v>0.38875498287256904</v>
      </c>
      <c r="AV91" s="344"/>
      <c r="AW91" s="24">
        <f t="shared" ref="AW91" si="457">+AO91/BV91</f>
        <v>9620.2682926829275</v>
      </c>
      <c r="AX91" s="354"/>
      <c r="AY91" s="10"/>
      <c r="AZ91" s="66">
        <f t="shared" ref="AZ91" si="458">+BB91-BB90</f>
        <v>415612</v>
      </c>
      <c r="BA91" s="67"/>
      <c r="BB91" s="67">
        <v>22140676</v>
      </c>
      <c r="BC91" s="67"/>
      <c r="BD91" s="67">
        <f t="shared" ref="BD91" si="459">+D91</f>
        <v>19056</v>
      </c>
      <c r="BE91" s="67"/>
      <c r="BF91" s="157">
        <f t="shared" ref="BF91" si="460">+BD91/AZ91</f>
        <v>4.5850456675938137E-2</v>
      </c>
      <c r="BG91" s="67"/>
      <c r="BH91" s="185"/>
      <c r="BI91" s="67"/>
      <c r="BJ91" s="67">
        <f t="shared" ref="BJ91" si="461">SUM(AZ85:AZ91)</f>
        <v>3537502</v>
      </c>
      <c r="BK91" s="67"/>
      <c r="BL91" s="157">
        <f t="shared" ref="BL91" si="462">+P91/BJ91</f>
        <v>4.183630143530661E-2</v>
      </c>
      <c r="BM91" s="66">
        <f t="shared" ref="BM91" si="463">+BB91/BV91</f>
        <v>270008.24390243902</v>
      </c>
      <c r="BN91" s="67"/>
      <c r="BO91" s="67">
        <f t="shared" ref="BO91" si="464">+BO90+BD91</f>
        <v>1776879</v>
      </c>
      <c r="BP91" s="67"/>
      <c r="BQ91" s="74">
        <f t="shared" ref="BQ91" si="465">+BO91/BB91</f>
        <v>8.0254053670267333E-2</v>
      </c>
      <c r="BR91" s="67"/>
      <c r="BS91" s="86"/>
      <c r="BT91" s="185"/>
      <c r="BU91" s="1"/>
      <c r="BV91">
        <f t="shared" si="220"/>
        <v>82</v>
      </c>
    </row>
    <row r="92" spans="2:74" x14ac:dyDescent="0.3">
      <c r="B92" s="173">
        <f t="shared" si="203"/>
        <v>43992</v>
      </c>
      <c r="C92" s="61"/>
      <c r="D92" s="17">
        <v>20852</v>
      </c>
      <c r="E92" s="16"/>
      <c r="F92" s="16"/>
      <c r="G92" s="16"/>
      <c r="H92" s="16">
        <f t="shared" ref="H92" si="466">+H91+D92</f>
        <v>2050053</v>
      </c>
      <c r="I92" s="16"/>
      <c r="J92" s="38">
        <f t="shared" ref="J92" si="467">+D92/H91</f>
        <v>1.0275965761893475E-2</v>
      </c>
      <c r="K92" s="16"/>
      <c r="L92" s="16"/>
      <c r="M92" s="16"/>
      <c r="N92" s="16">
        <f t="shared" ref="N92" si="468">+H92/BV92</f>
        <v>24699.433734939757</v>
      </c>
      <c r="O92" s="41"/>
      <c r="P92" s="17">
        <f t="shared" ref="P92" si="469">SUM(D86:D92)</f>
        <v>148270</v>
      </c>
      <c r="Q92" s="16"/>
      <c r="R92" s="60" t="e">
        <f t="shared" ref="R92" si="470">+(P92-P85)/P85</f>
        <v>#DIV/0!</v>
      </c>
      <c r="S92" s="16"/>
      <c r="T92" s="41"/>
      <c r="U92" s="10"/>
      <c r="V92" s="34">
        <v>981</v>
      </c>
      <c r="W92" s="33"/>
      <c r="X92" s="33"/>
      <c r="Y92" s="33"/>
      <c r="Z92" s="33">
        <f t="shared" ref="Z92" si="471">+Z91+V92</f>
        <v>114887</v>
      </c>
      <c r="AA92" s="33"/>
      <c r="AB92" s="46">
        <f t="shared" ref="AB92" si="472">+Z92/H92</f>
        <v>5.6040990159766602E-2</v>
      </c>
      <c r="AC92" s="33"/>
      <c r="AD92" s="33">
        <f t="shared" ref="AD92" si="473">+Z92/BV92</f>
        <v>1384.1807228915663</v>
      </c>
      <c r="AE92" s="50"/>
      <c r="AF92" s="33">
        <f t="shared" ref="AF92" si="474">SUM(V86:V92)</f>
        <v>5745</v>
      </c>
      <c r="AG92" s="33"/>
      <c r="AH92" s="233" t="e">
        <f t="shared" ref="AH92" si="475">+(AF92-AF85)/AF85</f>
        <v>#DIV/0!</v>
      </c>
      <c r="AI92" s="50"/>
      <c r="AJ92" s="10"/>
      <c r="AK92" s="23">
        <f t="shared" ref="AK92" si="476">+AO92-AO91</f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ref="AQ92" si="477">+AK92/AO91</f>
        <v>2.4886482046289467E-2</v>
      </c>
      <c r="AR92" s="25"/>
      <c r="AS92" s="25"/>
      <c r="AT92" s="24"/>
      <c r="AU92" s="344">
        <f t="shared" ref="AU92" si="478">+AO92/H92</f>
        <v>0.39437712098175021</v>
      </c>
      <c r="AV92" s="344"/>
      <c r="AW92" s="24">
        <f t="shared" ref="AW92" si="479">+AO92/BV92</f>
        <v>9740.8915662650597</v>
      </c>
      <c r="AX92" s="354"/>
      <c r="AY92" s="10"/>
      <c r="AZ92" s="66">
        <f t="shared" ref="AZ92" si="480">+BB92-BB91</f>
        <v>485082</v>
      </c>
      <c r="BA92" s="67"/>
      <c r="BB92" s="67">
        <v>22625758</v>
      </c>
      <c r="BC92" s="67"/>
      <c r="BD92" s="67">
        <f t="shared" ref="BD92" si="481">+D92</f>
        <v>20852</v>
      </c>
      <c r="BE92" s="67"/>
      <c r="BF92" s="157">
        <f t="shared" ref="BF92" si="482">+BD92/AZ92</f>
        <v>4.298654660449161E-2</v>
      </c>
      <c r="BG92" s="67"/>
      <c r="BH92" s="185"/>
      <c r="BI92" s="67"/>
      <c r="BJ92" s="67">
        <f t="shared" ref="BJ92" si="483">SUM(AZ86:AZ92)</f>
        <v>3529087</v>
      </c>
      <c r="BK92" s="67"/>
      <c r="BL92" s="157">
        <f t="shared" ref="BL92" si="484">+P92/BJ92</f>
        <v>4.2013699293896693E-2</v>
      </c>
      <c r="BM92" s="66">
        <f t="shared" ref="BM92" si="485">+BB92/BV92</f>
        <v>272599.49397590361</v>
      </c>
      <c r="BN92" s="67"/>
      <c r="BO92" s="67">
        <f t="shared" ref="BO92" si="486">+BO91+BD92</f>
        <v>1797731</v>
      </c>
      <c r="BP92" s="67"/>
      <c r="BQ92" s="74">
        <f t="shared" ref="BQ92" si="487">+BO92/BB92</f>
        <v>7.9455061792846893E-2</v>
      </c>
      <c r="BR92" s="67"/>
      <c r="BS92" s="86"/>
      <c r="BT92" s="185"/>
      <c r="BU92" s="1"/>
      <c r="BV92">
        <f t="shared" si="220"/>
        <v>83</v>
      </c>
    </row>
    <row r="93" spans="2:74" x14ac:dyDescent="0.3">
      <c r="B93" s="173">
        <f t="shared" si="203"/>
        <v>43993</v>
      </c>
      <c r="C93" s="61"/>
      <c r="D93" s="17"/>
      <c r="E93" s="16"/>
      <c r="F93" s="16"/>
      <c r="G93" s="16"/>
      <c r="H93" s="16"/>
      <c r="I93" s="16"/>
      <c r="J93" s="483"/>
      <c r="K93" s="16"/>
      <c r="L93" s="16"/>
      <c r="M93" s="16"/>
      <c r="N93" s="16"/>
      <c r="O93" s="41"/>
      <c r="P93" s="17"/>
      <c r="Q93" s="16"/>
      <c r="R93" s="60"/>
      <c r="S93" s="16"/>
      <c r="T93" s="41"/>
      <c r="U93" s="10"/>
      <c r="V93" s="34"/>
      <c r="W93" s="33"/>
      <c r="X93" s="33"/>
      <c r="Y93" s="33"/>
      <c r="Z93" s="33"/>
      <c r="AA93" s="33"/>
      <c r="AB93" s="46"/>
      <c r="AC93" s="33"/>
      <c r="AD93" s="33"/>
      <c r="AE93" s="50"/>
      <c r="AF93" s="33"/>
      <c r="AG93" s="33"/>
      <c r="AH93" s="233"/>
      <c r="AI93" s="50"/>
      <c r="AJ93" s="10"/>
      <c r="AK93" s="23"/>
      <c r="AL93" s="24"/>
      <c r="AM93" s="24"/>
      <c r="AN93" s="24"/>
      <c r="AO93" s="24"/>
      <c r="AP93" s="24"/>
      <c r="AQ93" s="25"/>
      <c r="AR93" s="25"/>
      <c r="AS93" s="25"/>
      <c r="AT93" s="24"/>
      <c r="AU93" s="344"/>
      <c r="AV93" s="344"/>
      <c r="AW93" s="24"/>
      <c r="AX93" s="354"/>
      <c r="AY93" s="10"/>
      <c r="AZ93" s="66"/>
      <c r="BA93" s="67"/>
      <c r="BB93" s="67"/>
      <c r="BC93" s="67"/>
      <c r="BD93" s="67"/>
      <c r="BE93" s="67"/>
      <c r="BF93" s="157"/>
      <c r="BG93" s="67"/>
      <c r="BH93" s="185"/>
      <c r="BI93" s="67"/>
      <c r="BJ93" s="67"/>
      <c r="BK93" s="67"/>
      <c r="BL93" s="157"/>
      <c r="BM93" s="66"/>
      <c r="BN93" s="67"/>
      <c r="BO93" s="67"/>
      <c r="BP93" s="67"/>
      <c r="BQ93" s="74"/>
      <c r="BR93" s="67"/>
      <c r="BS93" s="86"/>
      <c r="BT93" s="185"/>
      <c r="BU93" s="1"/>
      <c r="BV93">
        <f t="shared" si="220"/>
        <v>84</v>
      </c>
    </row>
    <row r="94" spans="2:74" x14ac:dyDescent="0.3">
      <c r="B94" s="173">
        <f t="shared" si="203"/>
        <v>43994</v>
      </c>
      <c r="C94" s="61"/>
      <c r="D94" s="17"/>
      <c r="E94" s="16"/>
      <c r="F94" s="16"/>
      <c r="G94" s="16"/>
      <c r="H94" s="16"/>
      <c r="I94" s="16"/>
      <c r="J94" s="483"/>
      <c r="K94" s="16"/>
      <c r="L94" s="16"/>
      <c r="M94" s="16"/>
      <c r="N94" s="16"/>
      <c r="O94" s="41"/>
      <c r="P94" s="17"/>
      <c r="Q94" s="16"/>
      <c r="R94" s="60"/>
      <c r="S94" s="16"/>
      <c r="T94" s="41"/>
      <c r="U94" s="10"/>
      <c r="V94" s="34"/>
      <c r="W94" s="33"/>
      <c r="X94" s="33"/>
      <c r="Y94" s="33"/>
      <c r="Z94" s="33"/>
      <c r="AA94" s="33"/>
      <c r="AB94" s="46"/>
      <c r="AC94" s="33"/>
      <c r="AD94" s="33"/>
      <c r="AE94" s="50"/>
      <c r="AF94" s="33"/>
      <c r="AG94" s="33"/>
      <c r="AH94" s="233"/>
      <c r="AI94" s="50"/>
      <c r="AJ94" s="10"/>
      <c r="AK94" s="23"/>
      <c r="AL94" s="24"/>
      <c r="AM94" s="24"/>
      <c r="AN94" s="24"/>
      <c r="AO94" s="24"/>
      <c r="AP94" s="24"/>
      <c r="AQ94" s="25"/>
      <c r="AR94" s="25"/>
      <c r="AS94" s="25"/>
      <c r="AT94" s="24"/>
      <c r="AU94" s="344"/>
      <c r="AV94" s="344"/>
      <c r="AW94" s="24"/>
      <c r="AX94" s="354"/>
      <c r="AY94" s="10"/>
      <c r="AZ94" s="66"/>
      <c r="BA94" s="67"/>
      <c r="BB94" s="67"/>
      <c r="BC94" s="67"/>
      <c r="BD94" s="67"/>
      <c r="BE94" s="67"/>
      <c r="BF94" s="157"/>
      <c r="BG94" s="67"/>
      <c r="BH94" s="185"/>
      <c r="BI94" s="67"/>
      <c r="BJ94" s="67"/>
      <c r="BK94" s="67"/>
      <c r="BL94" s="157"/>
      <c r="BM94" s="66"/>
      <c r="BN94" s="67"/>
      <c r="BO94" s="67"/>
      <c r="BP94" s="67"/>
      <c r="BQ94" s="74"/>
      <c r="BR94" s="67"/>
      <c r="BS94" s="86"/>
      <c r="BT94" s="185"/>
      <c r="BU94" s="1"/>
      <c r="BV94">
        <f t="shared" si="220"/>
        <v>85</v>
      </c>
    </row>
    <row r="95" spans="2:74" x14ac:dyDescent="0.3">
      <c r="B95" s="173">
        <f t="shared" si="203"/>
        <v>43995</v>
      </c>
      <c r="C95" s="61"/>
      <c r="D95" s="17"/>
      <c r="E95" s="16"/>
      <c r="F95" s="16"/>
      <c r="G95" s="16"/>
      <c r="H95" s="16"/>
      <c r="I95" s="16"/>
      <c r="J95" s="483"/>
      <c r="K95" s="16"/>
      <c r="L95" s="16"/>
      <c r="M95" s="16"/>
      <c r="N95" s="16"/>
      <c r="O95" s="41"/>
      <c r="P95" s="17"/>
      <c r="Q95" s="16"/>
      <c r="R95" s="60"/>
      <c r="S95" s="16"/>
      <c r="T95" s="41"/>
      <c r="U95" s="10"/>
      <c r="V95" s="34"/>
      <c r="W95" s="33"/>
      <c r="X95" s="33"/>
      <c r="Y95" s="33"/>
      <c r="Z95" s="33"/>
      <c r="AA95" s="33"/>
      <c r="AB95" s="46"/>
      <c r="AC95" s="33"/>
      <c r="AD95" s="33"/>
      <c r="AE95" s="50"/>
      <c r="AF95" s="33"/>
      <c r="AG95" s="33"/>
      <c r="AH95" s="233"/>
      <c r="AI95" s="50"/>
      <c r="AJ95" s="10"/>
      <c r="AK95" s="23"/>
      <c r="AL95" s="24"/>
      <c r="AM95" s="24"/>
      <c r="AN95" s="24"/>
      <c r="AO95" s="24"/>
      <c r="AP95" s="24"/>
      <c r="AQ95" s="25"/>
      <c r="AR95" s="25"/>
      <c r="AS95" s="25"/>
      <c r="AT95" s="24"/>
      <c r="AU95" s="344"/>
      <c r="AV95" s="344"/>
      <c r="AW95" s="24"/>
      <c r="AX95" s="354"/>
      <c r="AY95" s="10"/>
      <c r="AZ95" s="66"/>
      <c r="BA95" s="67"/>
      <c r="BB95" s="67"/>
      <c r="BC95" s="67"/>
      <c r="BD95" s="67"/>
      <c r="BE95" s="67"/>
      <c r="BF95" s="157"/>
      <c r="BG95" s="67"/>
      <c r="BH95" s="185"/>
      <c r="BI95" s="67"/>
      <c r="BJ95" s="67"/>
      <c r="BK95" s="67"/>
      <c r="BL95" s="157"/>
      <c r="BM95" s="66"/>
      <c r="BN95" s="67"/>
      <c r="BO95" s="67"/>
      <c r="BP95" s="67"/>
      <c r="BQ95" s="74"/>
      <c r="BR95" s="67"/>
      <c r="BS95" s="86"/>
      <c r="BT95" s="185"/>
      <c r="BU95" s="1"/>
      <c r="BV95">
        <f t="shared" si="220"/>
        <v>86</v>
      </c>
    </row>
    <row r="96" spans="2:74" x14ac:dyDescent="0.3">
      <c r="B96" s="173">
        <f t="shared" si="203"/>
        <v>43996</v>
      </c>
      <c r="C96" s="61"/>
      <c r="D96" s="17"/>
      <c r="E96" s="16"/>
      <c r="F96" s="16"/>
      <c r="G96" s="16"/>
      <c r="H96" s="16"/>
      <c r="I96" s="16"/>
      <c r="J96" s="483"/>
      <c r="K96" s="16"/>
      <c r="L96" s="16"/>
      <c r="M96" s="16"/>
      <c r="N96" s="16"/>
      <c r="O96" s="41"/>
      <c r="P96" s="17"/>
      <c r="Q96" s="16"/>
      <c r="R96" s="60"/>
      <c r="S96" s="16"/>
      <c r="T96" s="41"/>
      <c r="U96" s="10"/>
      <c r="V96" s="34"/>
      <c r="W96" s="33"/>
      <c r="X96" s="33"/>
      <c r="Y96" s="33"/>
      <c r="Z96" s="33"/>
      <c r="AA96" s="33"/>
      <c r="AB96" s="46"/>
      <c r="AC96" s="33"/>
      <c r="AD96" s="33"/>
      <c r="AE96" s="50"/>
      <c r="AF96" s="33"/>
      <c r="AG96" s="33"/>
      <c r="AH96" s="233"/>
      <c r="AI96" s="50"/>
      <c r="AJ96" s="10"/>
      <c r="AK96" s="23"/>
      <c r="AL96" s="24"/>
      <c r="AM96" s="24"/>
      <c r="AN96" s="24"/>
      <c r="AO96" s="24"/>
      <c r="AP96" s="24"/>
      <c r="AQ96" s="25"/>
      <c r="AR96" s="25"/>
      <c r="AS96" s="25"/>
      <c r="AT96" s="24"/>
      <c r="AU96" s="344"/>
      <c r="AV96" s="344"/>
      <c r="AW96" s="24"/>
      <c r="AX96" s="354"/>
      <c r="AY96" s="10"/>
      <c r="AZ96" s="66"/>
      <c r="BA96" s="67"/>
      <c r="BB96" s="67"/>
      <c r="BC96" s="67"/>
      <c r="BD96" s="67"/>
      <c r="BE96" s="67"/>
      <c r="BF96" s="157"/>
      <c r="BG96" s="67"/>
      <c r="BH96" s="185"/>
      <c r="BI96" s="67"/>
      <c r="BJ96" s="67"/>
      <c r="BK96" s="67"/>
      <c r="BL96" s="157"/>
      <c r="BM96" s="66"/>
      <c r="BN96" s="67"/>
      <c r="BO96" s="67"/>
      <c r="BP96" s="67"/>
      <c r="BQ96" s="74"/>
      <c r="BR96" s="67"/>
      <c r="BS96" s="86"/>
      <c r="BT96" s="185"/>
      <c r="BU96" s="1"/>
      <c r="BV96">
        <f t="shared" si="220"/>
        <v>87</v>
      </c>
    </row>
    <row r="97" spans="2:84" x14ac:dyDescent="0.3">
      <c r="B97" s="173">
        <f t="shared" si="203"/>
        <v>43997</v>
      </c>
      <c r="C97" s="61"/>
      <c r="D97" s="17"/>
      <c r="E97" s="16"/>
      <c r="F97" s="16"/>
      <c r="G97" s="16"/>
      <c r="H97" s="16"/>
      <c r="I97" s="16"/>
      <c r="J97" s="38"/>
      <c r="K97" s="16"/>
      <c r="L97" s="16"/>
      <c r="M97" s="16"/>
      <c r="N97" s="16"/>
      <c r="O97" s="41"/>
      <c r="P97" s="457"/>
      <c r="Q97" s="16"/>
      <c r="R97" s="60"/>
      <c r="S97" s="16"/>
      <c r="T97" s="41"/>
      <c r="U97" s="10"/>
      <c r="V97" s="34"/>
      <c r="W97" s="33"/>
      <c r="X97" s="33"/>
      <c r="Y97" s="33"/>
      <c r="Z97" s="33"/>
      <c r="AA97" s="33"/>
      <c r="AB97" s="46"/>
      <c r="AC97" s="33"/>
      <c r="AD97" s="33"/>
      <c r="AE97" s="50"/>
      <c r="AF97" s="33"/>
      <c r="AG97" s="33"/>
      <c r="AH97" s="233"/>
      <c r="AI97" s="50"/>
      <c r="AJ97" s="10"/>
      <c r="AK97" s="23"/>
      <c r="AL97" s="24"/>
      <c r="AM97" s="24"/>
      <c r="AN97" s="24"/>
      <c r="AO97" s="24"/>
      <c r="AP97" s="24"/>
      <c r="AQ97" s="25"/>
      <c r="AR97" s="25"/>
      <c r="AS97" s="25"/>
      <c r="AT97" s="24"/>
      <c r="AU97" s="344"/>
      <c r="AV97" s="344"/>
      <c r="AW97" s="24"/>
      <c r="AX97" s="354"/>
      <c r="AY97" s="10"/>
      <c r="AZ97" s="66"/>
      <c r="BA97" s="67"/>
      <c r="BB97" s="67"/>
      <c r="BC97" s="67"/>
      <c r="BD97" s="67"/>
      <c r="BE97" s="67"/>
      <c r="BF97" s="157"/>
      <c r="BG97" s="67"/>
      <c r="BH97" s="185"/>
      <c r="BI97" s="67"/>
      <c r="BJ97" s="157"/>
      <c r="BK97" s="67"/>
      <c r="BL97" s="157"/>
      <c r="BM97" s="66"/>
      <c r="BN97" s="67"/>
      <c r="BO97" s="67"/>
      <c r="BP97" s="67"/>
      <c r="BQ97" s="74"/>
      <c r="BR97" s="67"/>
      <c r="BS97" s="86"/>
      <c r="BT97" s="185"/>
      <c r="BU97" s="1"/>
      <c r="BV97">
        <f t="shared" si="220"/>
        <v>88</v>
      </c>
    </row>
    <row r="98" spans="2:84" x14ac:dyDescent="0.3">
      <c r="B98" s="173">
        <f t="shared" si="203"/>
        <v>43998</v>
      </c>
      <c r="D98" s="18"/>
      <c r="E98" s="19"/>
      <c r="F98" s="19"/>
      <c r="G98" s="19"/>
      <c r="H98" s="19"/>
      <c r="I98" s="19"/>
      <c r="J98" s="39"/>
      <c r="K98" s="19"/>
      <c r="L98" s="19"/>
      <c r="M98" s="19"/>
      <c r="N98" s="19"/>
      <c r="O98" s="43"/>
      <c r="P98" s="18"/>
      <c r="Q98" s="19"/>
      <c r="R98" s="19"/>
      <c r="S98" s="19"/>
      <c r="T98" s="43"/>
      <c r="U98" s="1"/>
      <c r="V98" s="35"/>
      <c r="W98" s="36"/>
      <c r="X98" s="36"/>
      <c r="Y98" s="36"/>
      <c r="Z98" s="36"/>
      <c r="AA98" s="36"/>
      <c r="AB98" s="47"/>
      <c r="AC98" s="36"/>
      <c r="AD98" s="36"/>
      <c r="AE98" s="51"/>
      <c r="AF98" s="36"/>
      <c r="AG98" s="36"/>
      <c r="AH98" s="36"/>
      <c r="AI98" s="51"/>
      <c r="AJ98" s="1"/>
      <c r="AK98" s="26"/>
      <c r="AL98" s="27"/>
      <c r="AM98" s="27"/>
      <c r="AN98" s="27"/>
      <c r="AO98" s="27"/>
      <c r="AP98" s="27"/>
      <c r="AQ98" s="27"/>
      <c r="AR98" s="27"/>
      <c r="AS98" s="27"/>
      <c r="AT98" s="27"/>
      <c r="AU98" s="346"/>
      <c r="AV98" s="346"/>
      <c r="AW98" s="27"/>
      <c r="AX98" s="353"/>
      <c r="AY98" s="1"/>
      <c r="AZ98" s="68"/>
      <c r="BA98" s="69"/>
      <c r="BB98" s="69"/>
      <c r="BC98" s="69"/>
      <c r="BD98" s="69"/>
      <c r="BE98" s="69"/>
      <c r="BF98" s="69"/>
      <c r="BG98" s="69"/>
      <c r="BH98" s="186"/>
      <c r="BI98" s="69"/>
      <c r="BJ98" s="69"/>
      <c r="BK98" s="69"/>
      <c r="BL98" s="69"/>
      <c r="BM98" s="68"/>
      <c r="BN98" s="69"/>
      <c r="BO98" s="69"/>
      <c r="BP98" s="69"/>
      <c r="BQ98" s="71"/>
      <c r="BR98" s="69"/>
      <c r="BS98" s="69"/>
      <c r="BT98" s="186"/>
      <c r="BU98" s="1"/>
      <c r="BV98">
        <f t="shared" si="220"/>
        <v>89</v>
      </c>
    </row>
    <row r="99" spans="2:84" x14ac:dyDescent="0.3">
      <c r="B99" s="56"/>
      <c r="D99" s="1"/>
      <c r="E99" s="1"/>
      <c r="F99" s="1"/>
      <c r="G99" s="1"/>
      <c r="H99" s="59"/>
      <c r="I99" s="1"/>
      <c r="J99" s="59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59"/>
      <c r="W99" s="1"/>
      <c r="X99" s="1"/>
      <c r="Y99" s="1"/>
      <c r="Z99" s="1"/>
      <c r="AA99" s="1"/>
      <c r="AB99" s="59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59"/>
      <c r="BC99" s="1"/>
      <c r="BD99" s="59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2:84" x14ac:dyDescent="0.3">
      <c r="B100" s="181" t="s">
        <v>83</v>
      </c>
      <c r="D100" s="56">
        <f>+D92</f>
        <v>20852</v>
      </c>
      <c r="E100" s="56"/>
      <c r="F100" s="56"/>
      <c r="G100" s="56"/>
      <c r="H100" s="56">
        <f t="shared" ref="H100:BO100" si="488">+H92</f>
        <v>2050053</v>
      </c>
      <c r="I100" s="56">
        <f t="shared" si="488"/>
        <v>0</v>
      </c>
      <c r="J100" s="56">
        <f t="shared" si="488"/>
        <v>1.0275965761893475E-2</v>
      </c>
      <c r="K100" s="56">
        <f t="shared" si="488"/>
        <v>0</v>
      </c>
      <c r="L100" s="56">
        <f t="shared" si="488"/>
        <v>0</v>
      </c>
      <c r="M100" s="56">
        <f t="shared" si="488"/>
        <v>0</v>
      </c>
      <c r="N100" s="56">
        <f t="shared" si="488"/>
        <v>24699.433734939757</v>
      </c>
      <c r="O100" s="56">
        <f t="shared" si="488"/>
        <v>0</v>
      </c>
      <c r="P100" s="56">
        <f t="shared" si="488"/>
        <v>148270</v>
      </c>
      <c r="Q100" s="56">
        <f t="shared" si="488"/>
        <v>0</v>
      </c>
      <c r="R100" s="56" t="e">
        <f t="shared" si="488"/>
        <v>#DIV/0!</v>
      </c>
      <c r="S100" s="56">
        <f t="shared" si="488"/>
        <v>0</v>
      </c>
      <c r="T100" s="56">
        <f t="shared" si="488"/>
        <v>0</v>
      </c>
      <c r="U100" s="56">
        <f t="shared" si="488"/>
        <v>0</v>
      </c>
      <c r="V100" s="56">
        <f t="shared" si="488"/>
        <v>981</v>
      </c>
      <c r="W100" s="56">
        <f t="shared" si="488"/>
        <v>0</v>
      </c>
      <c r="X100" s="56">
        <f t="shared" si="488"/>
        <v>0</v>
      </c>
      <c r="Y100" s="56">
        <f t="shared" si="488"/>
        <v>0</v>
      </c>
      <c r="Z100" s="56">
        <f t="shared" si="488"/>
        <v>114887</v>
      </c>
      <c r="AA100" s="56">
        <f t="shared" si="488"/>
        <v>0</v>
      </c>
      <c r="AB100" s="56">
        <f t="shared" si="488"/>
        <v>5.6040990159766602E-2</v>
      </c>
      <c r="AC100" s="56">
        <f t="shared" si="488"/>
        <v>0</v>
      </c>
      <c r="AD100" s="56">
        <f t="shared" si="488"/>
        <v>1384.1807228915663</v>
      </c>
      <c r="AE100" s="56">
        <f t="shared" si="488"/>
        <v>0</v>
      </c>
      <c r="AF100" s="56">
        <f t="shared" si="488"/>
        <v>5745</v>
      </c>
      <c r="AG100" s="56">
        <f t="shared" si="488"/>
        <v>0</v>
      </c>
      <c r="AH100" s="56" t="e">
        <f t="shared" si="488"/>
        <v>#DIV/0!</v>
      </c>
      <c r="AI100" s="56">
        <f t="shared" si="488"/>
        <v>0</v>
      </c>
      <c r="AJ100" s="56">
        <f t="shared" si="488"/>
        <v>0</v>
      </c>
      <c r="AK100" s="56">
        <f t="shared" si="488"/>
        <v>19632</v>
      </c>
      <c r="AL100" s="56">
        <f t="shared" si="488"/>
        <v>0</v>
      </c>
      <c r="AM100" s="56">
        <f t="shared" si="488"/>
        <v>0</v>
      </c>
      <c r="AN100" s="56">
        <f t="shared" si="488"/>
        <v>178263</v>
      </c>
      <c r="AO100" s="56">
        <f t="shared" si="488"/>
        <v>808494</v>
      </c>
      <c r="AP100" s="56">
        <f t="shared" si="488"/>
        <v>0</v>
      </c>
      <c r="AQ100" s="56">
        <f t="shared" si="488"/>
        <v>2.4886482046289467E-2</v>
      </c>
      <c r="AR100" s="56">
        <f t="shared" si="488"/>
        <v>0</v>
      </c>
      <c r="AS100" s="56">
        <f t="shared" si="488"/>
        <v>0</v>
      </c>
      <c r="AT100" s="56">
        <f t="shared" si="488"/>
        <v>0</v>
      </c>
      <c r="AU100" s="56">
        <f t="shared" si="488"/>
        <v>0.39437712098175021</v>
      </c>
      <c r="AV100" s="56">
        <f t="shared" si="488"/>
        <v>0</v>
      </c>
      <c r="AW100" s="56">
        <f t="shared" si="488"/>
        <v>9740.8915662650597</v>
      </c>
      <c r="AX100" s="56">
        <f t="shared" si="488"/>
        <v>0</v>
      </c>
      <c r="AY100" s="56">
        <f t="shared" si="488"/>
        <v>0</v>
      </c>
      <c r="AZ100" s="56">
        <f t="shared" si="488"/>
        <v>485082</v>
      </c>
      <c r="BA100" s="56">
        <f t="shared" si="488"/>
        <v>0</v>
      </c>
      <c r="BB100" s="56">
        <f t="shared" si="488"/>
        <v>22625758</v>
      </c>
      <c r="BC100" s="56">
        <f t="shared" si="488"/>
        <v>0</v>
      </c>
      <c r="BD100" s="56">
        <f t="shared" si="488"/>
        <v>20852</v>
      </c>
      <c r="BE100" s="56">
        <f t="shared" si="488"/>
        <v>0</v>
      </c>
      <c r="BF100" s="56">
        <f t="shared" si="488"/>
        <v>4.298654660449161E-2</v>
      </c>
      <c r="BG100" s="56">
        <f t="shared" si="488"/>
        <v>0</v>
      </c>
      <c r="BH100" s="56">
        <f t="shared" si="488"/>
        <v>0</v>
      </c>
      <c r="BI100" s="56">
        <f t="shared" si="488"/>
        <v>0</v>
      </c>
      <c r="BJ100" s="56">
        <f t="shared" si="488"/>
        <v>3529087</v>
      </c>
      <c r="BK100" s="56">
        <f t="shared" si="488"/>
        <v>0</v>
      </c>
      <c r="BL100" s="56">
        <f t="shared" si="488"/>
        <v>4.2013699293896693E-2</v>
      </c>
      <c r="BM100" s="56">
        <f t="shared" si="488"/>
        <v>272599.49397590361</v>
      </c>
      <c r="BN100" s="56">
        <f t="shared" si="488"/>
        <v>0</v>
      </c>
      <c r="BO100" s="56">
        <f t="shared" si="488"/>
        <v>1797731</v>
      </c>
      <c r="BP100" s="10"/>
      <c r="BQ100" s="62"/>
      <c r="BR100" s="10"/>
      <c r="BS100" s="10"/>
      <c r="BT100" s="10"/>
      <c r="BU100" s="10"/>
      <c r="BV100" s="161"/>
      <c r="BW100" s="10"/>
      <c r="BX100" s="62"/>
      <c r="BY100" s="10"/>
      <c r="BZ100" s="161"/>
      <c r="CA100" s="61"/>
      <c r="CB100" s="61"/>
      <c r="CC100" s="61"/>
      <c r="CD100" s="61"/>
      <c r="CE100" s="61"/>
      <c r="CF100" s="158"/>
    </row>
    <row r="101" spans="2:84" x14ac:dyDescent="0.3">
      <c r="B101" t="s">
        <v>119</v>
      </c>
      <c r="D101" s="56">
        <f>+D91-D92</f>
        <v>-1796</v>
      </c>
      <c r="H101" s="56">
        <f t="shared" ref="H101:BO101" si="489">+H91-H92</f>
        <v>-20852</v>
      </c>
      <c r="I101" s="56">
        <f t="shared" si="489"/>
        <v>0</v>
      </c>
      <c r="J101" s="56">
        <f t="shared" si="489"/>
        <v>-7.9605262129913909E-4</v>
      </c>
      <c r="K101" s="56">
        <f t="shared" si="489"/>
        <v>0</v>
      </c>
      <c r="L101" s="56">
        <f t="shared" si="489"/>
        <v>0</v>
      </c>
      <c r="M101" s="56">
        <f t="shared" si="489"/>
        <v>0</v>
      </c>
      <c r="N101" s="56">
        <f t="shared" si="489"/>
        <v>46.919923596826266</v>
      </c>
      <c r="O101" s="56">
        <f t="shared" si="489"/>
        <v>0</v>
      </c>
      <c r="P101" s="56">
        <f t="shared" si="489"/>
        <v>-274</v>
      </c>
      <c r="Q101" s="56">
        <f t="shared" si="489"/>
        <v>0</v>
      </c>
      <c r="R101" s="56" t="e">
        <f t="shared" si="489"/>
        <v>#DIV/0!</v>
      </c>
      <c r="S101" s="56">
        <f t="shared" si="489"/>
        <v>0</v>
      </c>
      <c r="T101" s="56">
        <f t="shared" si="489"/>
        <v>0</v>
      </c>
      <c r="U101" s="56">
        <f t="shared" si="489"/>
        <v>0</v>
      </c>
      <c r="V101" s="56">
        <f t="shared" si="489"/>
        <v>112</v>
      </c>
      <c r="W101" s="56">
        <f t="shared" si="489"/>
        <v>0</v>
      </c>
      <c r="X101" s="56">
        <f t="shared" si="489"/>
        <v>0</v>
      </c>
      <c r="Y101" s="56">
        <f t="shared" si="489"/>
        <v>0</v>
      </c>
      <c r="Z101" s="56">
        <f t="shared" si="489"/>
        <v>-981</v>
      </c>
      <c r="AA101" s="56">
        <f t="shared" si="489"/>
        <v>0</v>
      </c>
      <c r="AB101" s="56">
        <f t="shared" si="489"/>
        <v>9.2433783943260406E-5</v>
      </c>
      <c r="AC101" s="56">
        <f t="shared" si="489"/>
        <v>0</v>
      </c>
      <c r="AD101" s="56">
        <f t="shared" si="489"/>
        <v>4.9168380840433201</v>
      </c>
      <c r="AE101" s="56">
        <f t="shared" si="489"/>
        <v>0</v>
      </c>
      <c r="AF101" s="56">
        <f t="shared" si="489"/>
        <v>102</v>
      </c>
      <c r="AG101" s="56">
        <f t="shared" si="489"/>
        <v>0</v>
      </c>
      <c r="AH101" s="56" t="e">
        <f t="shared" si="489"/>
        <v>#DIV/0!</v>
      </c>
      <c r="AI101" s="56">
        <f t="shared" si="489"/>
        <v>0</v>
      </c>
      <c r="AJ101" s="56">
        <f t="shared" si="489"/>
        <v>0</v>
      </c>
      <c r="AK101" s="56">
        <f t="shared" si="489"/>
        <v>-4250</v>
      </c>
      <c r="AL101" s="56">
        <f t="shared" si="489"/>
        <v>0</v>
      </c>
      <c r="AM101" s="56">
        <f t="shared" si="489"/>
        <v>0</v>
      </c>
      <c r="AN101" s="56">
        <f t="shared" si="489"/>
        <v>0</v>
      </c>
      <c r="AO101" s="56">
        <f t="shared" si="489"/>
        <v>-19632</v>
      </c>
      <c r="AP101" s="56">
        <f t="shared" si="489"/>
        <v>0</v>
      </c>
      <c r="AQ101" s="56">
        <f t="shared" si="489"/>
        <v>-4.9997364290789367E-3</v>
      </c>
      <c r="AR101" s="56">
        <f t="shared" si="489"/>
        <v>0</v>
      </c>
      <c r="AS101" s="56">
        <f t="shared" si="489"/>
        <v>0</v>
      </c>
      <c r="AT101" s="56">
        <f t="shared" si="489"/>
        <v>0</v>
      </c>
      <c r="AU101" s="56">
        <f t="shared" si="489"/>
        <v>-5.6221381091811629E-3</v>
      </c>
      <c r="AV101" s="56">
        <f t="shared" si="489"/>
        <v>0</v>
      </c>
      <c r="AW101" s="56">
        <f t="shared" si="489"/>
        <v>-120.62327358213224</v>
      </c>
      <c r="AX101" s="56">
        <f t="shared" si="489"/>
        <v>0</v>
      </c>
      <c r="AY101" s="56">
        <f t="shared" si="489"/>
        <v>0</v>
      </c>
      <c r="AZ101" s="56">
        <f t="shared" si="489"/>
        <v>-69470</v>
      </c>
      <c r="BA101" s="56">
        <f t="shared" si="489"/>
        <v>0</v>
      </c>
      <c r="BB101" s="56">
        <f t="shared" si="489"/>
        <v>-485082</v>
      </c>
      <c r="BC101" s="56">
        <f t="shared" si="489"/>
        <v>0</v>
      </c>
      <c r="BD101" s="56">
        <f t="shared" si="489"/>
        <v>-1796</v>
      </c>
      <c r="BE101" s="56">
        <f t="shared" si="489"/>
        <v>0</v>
      </c>
      <c r="BF101" s="56">
        <f t="shared" si="489"/>
        <v>2.8639100714465265E-3</v>
      </c>
      <c r="BG101" s="56">
        <f t="shared" si="489"/>
        <v>0</v>
      </c>
      <c r="BH101" s="56">
        <f t="shared" si="489"/>
        <v>0</v>
      </c>
      <c r="BI101" s="56">
        <f t="shared" si="489"/>
        <v>0</v>
      </c>
      <c r="BJ101" s="56">
        <f t="shared" si="489"/>
        <v>8415</v>
      </c>
      <c r="BK101" s="56">
        <f t="shared" si="489"/>
        <v>0</v>
      </c>
      <c r="BL101" s="56">
        <f t="shared" si="489"/>
        <v>-1.7739785859008372E-4</v>
      </c>
      <c r="BM101" s="56">
        <f t="shared" si="489"/>
        <v>-2591.2500734645873</v>
      </c>
      <c r="BN101" s="56">
        <f t="shared" si="489"/>
        <v>0</v>
      </c>
      <c r="BO101" s="56">
        <f t="shared" si="489"/>
        <v>-20852</v>
      </c>
      <c r="BP101" s="10"/>
      <c r="BQ101" s="10"/>
      <c r="BR101" s="10"/>
      <c r="BS101" s="10"/>
      <c r="BT101" s="10"/>
      <c r="BU101" s="10"/>
      <c r="BV101" s="62"/>
      <c r="BW101" s="10"/>
      <c r="BX101" s="10"/>
      <c r="BY101" s="10"/>
      <c r="BZ101" s="62"/>
      <c r="CA101" s="61"/>
      <c r="CB101" s="61"/>
      <c r="CC101" s="61"/>
      <c r="CD101" s="61"/>
      <c r="CE101" s="61"/>
      <c r="CF101" s="117"/>
    </row>
    <row r="102" spans="2:84" x14ac:dyDescent="0.3">
      <c r="N102" s="59"/>
      <c r="Z102" s="56"/>
      <c r="AB102" s="59"/>
      <c r="AD102" s="275"/>
      <c r="AZ102" s="59"/>
      <c r="BF102" s="59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61"/>
      <c r="CB102" s="117"/>
      <c r="CC102" s="117"/>
      <c r="CD102" s="117"/>
      <c r="CE102" s="117"/>
    </row>
    <row r="103" spans="2:84" x14ac:dyDescent="0.3">
      <c r="D103" s="56"/>
      <c r="H103" s="1"/>
      <c r="N103" s="59"/>
      <c r="V103" s="56"/>
      <c r="Z103" s="55"/>
      <c r="AZ103" s="59"/>
      <c r="BB103" s="56"/>
      <c r="BD103" s="59"/>
      <c r="BI103" s="61"/>
      <c r="BJ103" s="62">
        <f>+BJ101/BJ82</f>
        <v>2.8790777097800714E-3</v>
      </c>
      <c r="BK103" s="61"/>
      <c r="BL103" s="61"/>
      <c r="BM103" s="61"/>
      <c r="BN103" s="61"/>
      <c r="BO103" s="61"/>
      <c r="BP103" s="61"/>
      <c r="BQ103" s="61"/>
      <c r="BR103" s="10"/>
      <c r="BS103" s="10"/>
    </row>
    <row r="104" spans="2:84" x14ac:dyDescent="0.3">
      <c r="H104" s="56"/>
      <c r="V104" s="56"/>
      <c r="Z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90"/>
      <c r="BR104" s="1"/>
      <c r="BS104" s="1"/>
    </row>
    <row r="105" spans="2:84" x14ac:dyDescent="0.3">
      <c r="D105" s="1"/>
      <c r="E105" s="123" t="s">
        <v>28</v>
      </c>
      <c r="F105" s="124"/>
      <c r="G105" s="124" t="s">
        <v>67</v>
      </c>
      <c r="H105" s="116"/>
      <c r="I105" s="116"/>
      <c r="J105" s="116"/>
      <c r="K105" s="61"/>
      <c r="L105" s="10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90"/>
      <c r="BR105" s="1"/>
      <c r="BS105" s="1"/>
    </row>
    <row r="106" spans="2:84" x14ac:dyDescent="0.3">
      <c r="D106" s="1"/>
      <c r="E106" s="123" t="s">
        <v>40</v>
      </c>
      <c r="F106" s="124"/>
      <c r="G106" s="124" t="s">
        <v>42</v>
      </c>
      <c r="H106" s="10"/>
      <c r="I106" s="10"/>
      <c r="J106" s="10"/>
      <c r="K106" s="61"/>
      <c r="L106" s="10"/>
      <c r="AC106" s="1"/>
      <c r="AD106" s="1"/>
      <c r="AE106" s="1"/>
      <c r="AF106" s="1"/>
      <c r="AG106" s="1"/>
      <c r="AH106" s="1"/>
      <c r="AI106" s="1"/>
      <c r="AJ106" s="1"/>
      <c r="AK106" s="1" t="s">
        <v>17</v>
      </c>
      <c r="AL106" s="1"/>
      <c r="AM106" s="1"/>
      <c r="AN106" s="1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90"/>
      <c r="BR106" s="1"/>
      <c r="BS106" s="1"/>
    </row>
    <row r="107" spans="2:84" x14ac:dyDescent="0.3">
      <c r="D107" s="1"/>
      <c r="E107" s="123" t="s">
        <v>47</v>
      </c>
      <c r="F107" s="124"/>
      <c r="G107" s="124" t="s">
        <v>57</v>
      </c>
      <c r="H107" s="10"/>
      <c r="I107" s="10"/>
      <c r="J107" s="10"/>
      <c r="K107" s="61"/>
      <c r="L107" s="10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90"/>
      <c r="BR107" s="1"/>
      <c r="BS107" s="1"/>
    </row>
    <row r="108" spans="2:84" x14ac:dyDescent="0.3">
      <c r="D108" s="1"/>
      <c r="E108" s="123" t="s">
        <v>68</v>
      </c>
      <c r="F108" s="61"/>
      <c r="G108" s="93" t="s">
        <v>69</v>
      </c>
      <c r="H108" s="61"/>
      <c r="I108" s="61"/>
      <c r="J108" s="61"/>
      <c r="K108" s="61"/>
      <c r="L108" s="6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90"/>
      <c r="BR108" s="1"/>
      <c r="BS108" s="1"/>
    </row>
    <row r="109" spans="2:84" x14ac:dyDescent="0.3">
      <c r="AC109" s="1"/>
      <c r="AD109" s="1"/>
      <c r="AE109" s="1"/>
      <c r="AF109" s="1"/>
      <c r="AG109" s="1"/>
      <c r="AH109" s="1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1"/>
      <c r="BS109" s="1"/>
    </row>
    <row r="110" spans="2:84" x14ac:dyDescent="0.3">
      <c r="AC110" s="1"/>
      <c r="AD110" s="1"/>
      <c r="AE110" s="1"/>
      <c r="AF110" s="1"/>
      <c r="AG110" s="1"/>
      <c r="AH110" s="1"/>
    </row>
    <row r="111" spans="2:84" x14ac:dyDescent="0.3">
      <c r="D111" s="56"/>
      <c r="AC111" s="1"/>
      <c r="AD111" s="1"/>
      <c r="AE111" s="1"/>
      <c r="AF111" s="1"/>
      <c r="AG111" s="1"/>
      <c r="AH111" s="1"/>
    </row>
    <row r="112" spans="2:84" x14ac:dyDescent="0.3">
      <c r="D112" s="1">
        <v>4900</v>
      </c>
      <c r="Z112" s="56"/>
      <c r="AC112" s="1"/>
      <c r="AD112" s="1"/>
      <c r="AE112" s="1"/>
      <c r="AF112" s="1"/>
      <c r="AG112" s="1"/>
      <c r="AH112" s="1"/>
    </row>
    <row r="113" spans="2:86" x14ac:dyDescent="0.3">
      <c r="D113" s="1">
        <v>1000000</v>
      </c>
      <c r="AC113" s="1"/>
      <c r="AD113" s="1"/>
      <c r="AE113" s="1"/>
      <c r="AF113" s="1"/>
      <c r="AG113" s="1"/>
      <c r="AH113" s="1"/>
    </row>
    <row r="114" spans="2:86" x14ac:dyDescent="0.3">
      <c r="AC114" s="1"/>
      <c r="AD114" s="1"/>
      <c r="AE114" s="1"/>
      <c r="AF114" s="1"/>
      <c r="AG114" s="1"/>
      <c r="AH114" s="1"/>
    </row>
    <row r="115" spans="2:86" x14ac:dyDescent="0.3">
      <c r="D115" s="279">
        <f>+D112/D113</f>
        <v>4.8999999999999998E-3</v>
      </c>
      <c r="AC115" s="1"/>
      <c r="AD115" s="1"/>
      <c r="AE115" s="1"/>
      <c r="AF115" s="1"/>
      <c r="AG115" s="1"/>
      <c r="AH115" s="1"/>
    </row>
    <row r="116" spans="2:86" x14ac:dyDescent="0.3">
      <c r="AC116" s="1"/>
      <c r="AD116" s="1"/>
      <c r="AE116" s="1"/>
      <c r="AF116" s="1"/>
      <c r="AG116" s="1"/>
      <c r="AH116" s="1"/>
    </row>
    <row r="117" spans="2:86" x14ac:dyDescent="0.3">
      <c r="D117" s="475"/>
      <c r="AC117" s="1"/>
      <c r="AD117" s="1"/>
      <c r="AE117" s="1"/>
      <c r="AF117" s="1"/>
      <c r="AG117" s="1"/>
      <c r="AH117" s="1"/>
    </row>
    <row r="118" spans="2:86" x14ac:dyDescent="0.3">
      <c r="B118" s="474"/>
      <c r="AC118" s="1"/>
      <c r="AD118" s="1"/>
      <c r="AE118" s="1"/>
      <c r="AF118" s="1"/>
      <c r="AG118" s="1"/>
      <c r="AH118" s="1"/>
    </row>
    <row r="119" spans="2:86" x14ac:dyDescent="0.3">
      <c r="D119" s="474"/>
      <c r="AC119" s="1"/>
      <c r="AD119" s="1"/>
      <c r="AE119" s="1"/>
      <c r="AF119" s="1"/>
      <c r="AG119" s="1"/>
      <c r="AH119" s="1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1"/>
      <c r="BS119" s="1"/>
      <c r="BT119" s="1"/>
      <c r="BU119" s="1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</row>
    <row r="120" spans="2:86" x14ac:dyDescent="0.3">
      <c r="AC120" s="10"/>
      <c r="AD120" s="10"/>
      <c r="AE120" s="10"/>
      <c r="AF120" s="10"/>
      <c r="AG120" s="10"/>
      <c r="AH120" s="1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89"/>
      <c r="BW120" s="89"/>
      <c r="BX120" s="89"/>
      <c r="BY120" s="89"/>
      <c r="BZ120" s="121"/>
      <c r="CA120" s="1"/>
      <c r="CB120" s="1"/>
      <c r="CC120" s="1"/>
      <c r="CD120" s="1"/>
      <c r="CE120" s="1"/>
      <c r="CF120" s="1"/>
      <c r="CG120" s="1"/>
      <c r="CH120" s="1"/>
    </row>
    <row r="121" spans="2:86" x14ac:dyDescent="0.3">
      <c r="D121">
        <v>10</v>
      </c>
      <c r="AC121" s="10"/>
      <c r="AD121" s="10"/>
      <c r="AE121" s="10"/>
      <c r="AF121" s="10"/>
      <c r="AG121" s="10"/>
      <c r="AH121" s="1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89"/>
      <c r="BW121" s="89"/>
      <c r="BX121" s="89"/>
      <c r="BY121" s="89"/>
      <c r="BZ121" s="89"/>
      <c r="CA121" s="1"/>
      <c r="CB121" s="1"/>
      <c r="CC121" s="1"/>
      <c r="CD121" s="1"/>
      <c r="CE121" s="1"/>
      <c r="CF121" s="1"/>
      <c r="CG121" s="1"/>
      <c r="CH121" s="1"/>
    </row>
    <row r="122" spans="2:86" x14ac:dyDescent="0.3">
      <c r="D122" s="1">
        <v>1000000</v>
      </c>
      <c r="AC122" s="10"/>
      <c r="AD122" s="10"/>
      <c r="AE122" s="10"/>
      <c r="AF122" s="10"/>
      <c r="AG122" s="10"/>
      <c r="AH122" s="1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89"/>
      <c r="BW122" s="89"/>
      <c r="BX122" s="89"/>
      <c r="BY122" s="89"/>
      <c r="BZ122" s="89"/>
      <c r="CA122" s="1"/>
      <c r="CB122" s="1"/>
      <c r="CC122" s="1"/>
      <c r="CD122" s="1"/>
      <c r="CE122" s="1"/>
      <c r="CF122" s="1"/>
    </row>
    <row r="123" spans="2:86" x14ac:dyDescent="0.3">
      <c r="D123" s="57">
        <f>+D121/D122</f>
        <v>1.0000000000000001E-5</v>
      </c>
      <c r="AC123" s="10"/>
      <c r="AD123" s="10"/>
      <c r="AE123" s="10"/>
      <c r="AF123" s="10"/>
      <c r="AG123" s="10"/>
      <c r="AH123" s="1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89"/>
      <c r="BW123" s="89"/>
      <c r="BX123" s="89"/>
      <c r="BY123" s="89"/>
      <c r="BZ123" s="89"/>
      <c r="CA123" s="1"/>
      <c r="CB123" s="1"/>
      <c r="CC123" s="1"/>
      <c r="CD123" s="1"/>
      <c r="CE123" s="1"/>
      <c r="CF123" s="1"/>
    </row>
    <row r="124" spans="2:86" x14ac:dyDescent="0.3">
      <c r="AC124" s="10"/>
      <c r="AD124" s="10"/>
      <c r="AE124" s="10"/>
      <c r="AF124" s="10"/>
      <c r="AG124" s="10"/>
      <c r="AH124" s="1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89"/>
      <c r="BW124" s="89"/>
      <c r="BX124" s="122"/>
      <c r="BY124" s="89"/>
      <c r="BZ124" s="89"/>
    </row>
    <row r="125" spans="2:86" x14ac:dyDescent="0.3">
      <c r="D125" s="1">
        <v>330000000</v>
      </c>
      <c r="AC125" s="10"/>
      <c r="AD125" s="10"/>
      <c r="AE125" s="10"/>
      <c r="AF125" s="10"/>
      <c r="AG125" s="10"/>
      <c r="AH125" s="10"/>
      <c r="AI125" s="90"/>
      <c r="AJ125" s="90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5"/>
      <c r="AW125" s="155"/>
      <c r="AX125" s="155"/>
      <c r="AY125" s="155"/>
      <c r="AZ125" s="155"/>
      <c r="BA125" s="90"/>
      <c r="BB125" s="9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89"/>
      <c r="BW125" s="89"/>
      <c r="BX125" s="89"/>
      <c r="BY125" s="89"/>
      <c r="BZ125" s="89"/>
    </row>
    <row r="126" spans="2:86" x14ac:dyDescent="0.3">
      <c r="AC126" s="10"/>
      <c r="AD126" s="10"/>
      <c r="AE126" s="10"/>
      <c r="AF126" s="10"/>
      <c r="AG126" s="10"/>
      <c r="AH126" s="10"/>
      <c r="AI126" s="90"/>
      <c r="AJ126" s="90"/>
      <c r="AK126" s="151"/>
      <c r="AL126" s="151"/>
      <c r="AM126" s="151"/>
      <c r="AN126" s="151"/>
      <c r="AO126" s="151"/>
      <c r="AP126" s="151"/>
      <c r="AQ126" s="151"/>
      <c r="AR126" s="90"/>
      <c r="AS126" s="90"/>
      <c r="AT126" s="90"/>
      <c r="AU126" s="110"/>
      <c r="AV126" s="110"/>
      <c r="AW126" s="110"/>
      <c r="AX126" s="110"/>
      <c r="AY126" s="90"/>
      <c r="AZ126" s="90"/>
      <c r="BA126" s="110"/>
      <c r="BB126" s="9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89"/>
      <c r="BW126" s="89"/>
      <c r="BX126" s="89"/>
      <c r="BY126" s="89"/>
      <c r="BZ126" s="89"/>
    </row>
    <row r="127" spans="2:86" x14ac:dyDescent="0.3">
      <c r="D127" s="472">
        <f>+H72/D125</f>
        <v>4.9118121212121208E-3</v>
      </c>
      <c r="AC127" s="10"/>
      <c r="AD127" s="10"/>
      <c r="AE127" s="10"/>
      <c r="AF127" s="10"/>
      <c r="AG127" s="10"/>
      <c r="AH127" s="10"/>
      <c r="AI127" s="90"/>
      <c r="AJ127" s="90"/>
      <c r="AK127" s="151"/>
      <c r="AL127" s="151"/>
      <c r="AM127" s="151"/>
      <c r="AN127" s="151"/>
      <c r="AO127" s="151"/>
      <c r="AP127" s="151"/>
      <c r="AQ127" s="151"/>
      <c r="AR127" s="151"/>
      <c r="AS127" s="110"/>
      <c r="AT127" s="90"/>
      <c r="AU127" s="110"/>
      <c r="AV127" s="110"/>
      <c r="AW127" s="110"/>
      <c r="AX127" s="110"/>
      <c r="AY127" s="90"/>
      <c r="AZ127" s="90"/>
      <c r="BA127" s="110"/>
      <c r="BB127" s="90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89"/>
      <c r="BW127" s="89"/>
      <c r="BX127" s="89"/>
      <c r="BY127" s="89"/>
      <c r="BZ127" s="89"/>
    </row>
    <row r="128" spans="2:86" x14ac:dyDescent="0.3">
      <c r="D128">
        <v>150000</v>
      </c>
      <c r="AC128" s="10"/>
      <c r="AD128" s="10"/>
      <c r="AE128" s="10"/>
      <c r="AF128" s="10"/>
      <c r="AG128" s="10"/>
      <c r="AH128" s="10"/>
      <c r="AI128" s="90"/>
      <c r="AJ128" s="90"/>
      <c r="AK128" s="90"/>
      <c r="AL128" s="90"/>
      <c r="AM128" s="152"/>
      <c r="AN128" s="152"/>
      <c r="AO128" s="152"/>
      <c r="AP128" s="152"/>
      <c r="AQ128" s="152"/>
      <c r="AR128" s="90"/>
      <c r="AS128" s="90"/>
      <c r="AT128" s="90"/>
      <c r="AU128" s="110"/>
      <c r="AV128" s="110"/>
      <c r="AW128" s="110"/>
      <c r="AX128" s="110"/>
      <c r="AY128" s="90"/>
      <c r="AZ128" s="90"/>
      <c r="BA128" s="110"/>
      <c r="BB128" s="90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89"/>
      <c r="BW128" s="89"/>
      <c r="BX128" s="89"/>
      <c r="BY128" s="89"/>
      <c r="BZ128" s="89"/>
    </row>
    <row r="129" spans="2:78" x14ac:dyDescent="0.3">
      <c r="D129" s="279">
        <f>+D128/D125</f>
        <v>4.5454545454545455E-4</v>
      </c>
      <c r="AC129" s="10"/>
      <c r="AD129" s="10"/>
      <c r="AE129" s="10"/>
      <c r="AF129" s="10"/>
      <c r="AG129" s="10"/>
      <c r="AH129" s="10"/>
      <c r="AI129" s="90"/>
      <c r="AJ129" s="90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10"/>
      <c r="AV129" s="110"/>
      <c r="AW129" s="110"/>
      <c r="AX129" s="110"/>
      <c r="AY129" s="90"/>
      <c r="AZ129" s="90"/>
      <c r="BA129" s="110"/>
      <c r="BB129" s="90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</row>
    <row r="130" spans="2:78" x14ac:dyDescent="0.3">
      <c r="D130">
        <v>28.59</v>
      </c>
      <c r="AC130" s="10"/>
      <c r="AD130" s="10"/>
      <c r="AE130" s="10"/>
      <c r="AF130" s="10"/>
      <c r="AG130" s="10"/>
      <c r="AH130" s="10"/>
      <c r="AI130" s="90"/>
      <c r="AJ130" s="90"/>
      <c r="AK130" s="90"/>
      <c r="AL130" s="90"/>
      <c r="AM130" s="152"/>
      <c r="AN130" s="152"/>
      <c r="AO130" s="152"/>
      <c r="AP130" s="152"/>
      <c r="AQ130" s="152"/>
      <c r="AR130" s="152"/>
      <c r="AS130" s="152"/>
      <c r="AT130" s="90"/>
      <c r="AU130" s="110"/>
      <c r="AV130" s="110"/>
      <c r="AW130" s="110"/>
      <c r="AX130" s="110"/>
      <c r="AY130" s="90"/>
      <c r="AZ130" s="90"/>
      <c r="BA130" s="110"/>
      <c r="BB130" s="90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</row>
    <row r="131" spans="2:78" x14ac:dyDescent="0.3">
      <c r="AC131" s="10"/>
      <c r="AD131" s="10"/>
      <c r="AE131" s="10"/>
      <c r="AF131" s="10"/>
      <c r="AG131" s="10"/>
      <c r="AH131" s="10"/>
      <c r="AI131" s="90"/>
      <c r="AJ131" s="90"/>
      <c r="AK131" s="90"/>
      <c r="AL131" s="90"/>
      <c r="AM131" s="152"/>
      <c r="AN131" s="152"/>
      <c r="AO131" s="152"/>
      <c r="AP131" s="152"/>
      <c r="AQ131" s="152"/>
      <c r="AR131" s="152"/>
      <c r="AS131" s="152"/>
      <c r="AT131" s="90"/>
      <c r="AU131" s="110"/>
      <c r="AV131" s="110"/>
      <c r="AW131" s="110"/>
      <c r="AX131" s="110"/>
      <c r="AY131" s="90"/>
      <c r="AZ131" s="90"/>
      <c r="BA131" s="110"/>
      <c r="BB131" s="90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</row>
    <row r="132" spans="2:78" x14ac:dyDescent="0.3">
      <c r="D132">
        <f>+D125/100000</f>
        <v>3300</v>
      </c>
      <c r="AC132" s="10"/>
      <c r="AD132" s="10"/>
      <c r="AE132" s="10"/>
      <c r="AF132" s="10"/>
      <c r="AG132" s="10"/>
      <c r="AH132" s="10"/>
      <c r="AI132" s="90"/>
      <c r="AJ132" s="90"/>
      <c r="AK132" s="90"/>
      <c r="AL132" s="90"/>
      <c r="AM132" s="152"/>
      <c r="AN132" s="152"/>
      <c r="AO132" s="152"/>
      <c r="AP132" s="152"/>
      <c r="AQ132" s="152"/>
      <c r="AR132" s="152"/>
      <c r="AS132" s="152"/>
      <c r="AT132" s="90"/>
      <c r="AU132" s="110"/>
      <c r="AV132" s="110"/>
      <c r="AW132" s="110"/>
      <c r="AX132" s="110"/>
      <c r="AY132" s="90"/>
      <c r="AZ132" s="90"/>
      <c r="BA132" s="110"/>
      <c r="BB132" s="9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</row>
    <row r="133" spans="2:78" x14ac:dyDescent="0.3">
      <c r="D133">
        <f>+D132*D130</f>
        <v>94347</v>
      </c>
      <c r="AC133" s="10"/>
      <c r="AD133" s="10"/>
      <c r="AE133" s="10"/>
      <c r="AF133" s="10"/>
      <c r="AG133" s="10"/>
      <c r="AH133" s="10"/>
      <c r="AI133" s="90"/>
      <c r="AJ133" s="90"/>
      <c r="AK133" s="90"/>
      <c r="AL133" s="90"/>
      <c r="AM133" s="152"/>
      <c r="AN133" s="152"/>
      <c r="AO133" s="152"/>
      <c r="AP133" s="152"/>
      <c r="AQ133" s="152"/>
      <c r="AR133" s="152"/>
      <c r="AS133" s="152"/>
      <c r="AT133" s="90"/>
      <c r="AU133" s="110"/>
      <c r="AV133" s="110"/>
      <c r="AW133" s="110"/>
      <c r="AX133" s="110"/>
      <c r="AY133" s="90"/>
      <c r="AZ133" s="90"/>
      <c r="BA133" s="110"/>
      <c r="BB133" s="9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</row>
    <row r="134" spans="2:78" x14ac:dyDescent="0.3">
      <c r="AC134" s="10"/>
      <c r="AD134" s="10"/>
      <c r="AE134" s="10"/>
      <c r="AF134" s="10"/>
      <c r="AG134" s="10"/>
      <c r="AH134" s="10"/>
      <c r="AI134" s="90"/>
      <c r="AJ134" s="90"/>
      <c r="AK134" s="90"/>
      <c r="AL134" s="90"/>
      <c r="AM134" s="152"/>
      <c r="AN134" s="152"/>
      <c r="AO134" s="152"/>
      <c r="AP134" s="152"/>
      <c r="AQ134" s="152"/>
      <c r="AR134" s="152"/>
      <c r="AS134" s="152"/>
      <c r="AT134" s="90"/>
      <c r="AU134" s="110"/>
      <c r="AV134" s="110"/>
      <c r="AW134" s="110"/>
      <c r="AX134" s="110"/>
      <c r="AY134" s="90"/>
      <c r="AZ134" s="90"/>
      <c r="BA134" s="110"/>
      <c r="BB134" s="9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</row>
    <row r="135" spans="2:78" x14ac:dyDescent="0.3">
      <c r="AC135" s="10"/>
      <c r="AD135" s="10"/>
      <c r="AE135" s="10"/>
      <c r="AF135" s="10"/>
      <c r="AG135" s="10"/>
      <c r="AH135" s="10"/>
      <c r="AI135" s="90"/>
      <c r="AJ135" s="90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90"/>
      <c r="AV135" s="90"/>
      <c r="AW135" s="90"/>
      <c r="AX135" s="90"/>
      <c r="AY135" s="90"/>
      <c r="AZ135" s="110"/>
      <c r="BA135" s="110"/>
      <c r="BB135" s="9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</row>
    <row r="136" spans="2:78" x14ac:dyDescent="0.3">
      <c r="AC136" s="10"/>
      <c r="AD136" s="10"/>
      <c r="AE136" s="10"/>
      <c r="AF136" s="10"/>
      <c r="AG136" s="10"/>
      <c r="AH136" s="10"/>
      <c r="AI136" s="90"/>
      <c r="AJ136" s="90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90"/>
      <c r="AZ136" s="90"/>
      <c r="BA136" s="110"/>
      <c r="BB136" s="9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</row>
    <row r="137" spans="2:78" x14ac:dyDescent="0.3"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90"/>
      <c r="AT137" s="110"/>
      <c r="AU137" s="153"/>
      <c r="AV137" s="153"/>
      <c r="AW137" s="153"/>
      <c r="AX137" s="153"/>
      <c r="AY137" s="110"/>
      <c r="AZ137" s="110"/>
      <c r="BA137" s="110"/>
      <c r="BB137" s="110"/>
    </row>
    <row r="138" spans="2:78" x14ac:dyDescent="0.3">
      <c r="B138" s="125"/>
      <c r="D138" s="55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90"/>
      <c r="AV138" s="90"/>
      <c r="AW138" s="90"/>
      <c r="AX138" s="90"/>
      <c r="AY138" s="110"/>
      <c r="AZ138" s="154"/>
      <c r="BA138" s="110"/>
      <c r="BB138" s="110"/>
    </row>
    <row r="139" spans="2:78" x14ac:dyDescent="0.3">
      <c r="B139" s="1"/>
      <c r="D139" s="55"/>
      <c r="W139" s="61"/>
      <c r="X139" s="61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110"/>
    </row>
    <row r="140" spans="2:78" x14ac:dyDescent="0.3">
      <c r="B140" s="1"/>
      <c r="D140" s="55"/>
      <c r="W140" s="61"/>
      <c r="X140" s="61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</row>
    <row r="141" spans="2:78" x14ac:dyDescent="0.3">
      <c r="B141" s="1"/>
      <c r="D141" s="55"/>
      <c r="W141" s="61"/>
      <c r="X141" s="61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</row>
    <row r="142" spans="2:78" x14ac:dyDescent="0.3">
      <c r="B142" s="1"/>
      <c r="D142" s="55"/>
      <c r="W142" s="61"/>
      <c r="X142" s="61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</row>
    <row r="143" spans="2:78" x14ac:dyDescent="0.3">
      <c r="B143" s="55"/>
      <c r="D143" s="55"/>
      <c r="W143" s="61"/>
      <c r="X143" s="61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</row>
    <row r="144" spans="2:78" x14ac:dyDescent="0.3">
      <c r="B144" s="57"/>
      <c r="D144" s="55"/>
      <c r="W144" s="61"/>
      <c r="X144" s="61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</row>
    <row r="145" spans="2:43" x14ac:dyDescent="0.3">
      <c r="B145" s="1"/>
      <c r="D145" s="55"/>
      <c r="W145" s="61"/>
      <c r="X145" s="61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</row>
    <row r="146" spans="2:43" x14ac:dyDescent="0.3">
      <c r="B146" s="1"/>
      <c r="D146" s="55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</row>
    <row r="147" spans="2:43" x14ac:dyDescent="0.3">
      <c r="B147" s="1"/>
      <c r="D147" s="55"/>
    </row>
    <row r="148" spans="2:43" x14ac:dyDescent="0.3">
      <c r="B148" s="1"/>
      <c r="D148" s="55"/>
    </row>
    <row r="149" spans="2:43" x14ac:dyDescent="0.3">
      <c r="B149" s="57" t="e">
        <f>+B148/B147</f>
        <v>#DIV/0!</v>
      </c>
      <c r="D149" s="55"/>
    </row>
    <row r="150" spans="2:43" x14ac:dyDescent="0.3">
      <c r="B150" s="1"/>
      <c r="D150" s="55"/>
    </row>
    <row r="151" spans="2:43" x14ac:dyDescent="0.3">
      <c r="B151" s="1"/>
      <c r="D151" s="55"/>
    </row>
    <row r="152" spans="2:43" x14ac:dyDescent="0.3">
      <c r="B152" s="1">
        <f>+B148*50</f>
        <v>0</v>
      </c>
      <c r="D152" s="55"/>
    </row>
    <row r="153" spans="2:43" x14ac:dyDescent="0.3">
      <c r="B153" s="1"/>
      <c r="D153" s="55"/>
    </row>
    <row r="154" spans="2:43" x14ac:dyDescent="0.3">
      <c r="B154" s="1"/>
      <c r="D154" s="55"/>
    </row>
    <row r="155" spans="2:43" x14ac:dyDescent="0.3">
      <c r="B155" s="1"/>
      <c r="D155" s="55"/>
    </row>
    <row r="156" spans="2:43" x14ac:dyDescent="0.3">
      <c r="B156" s="1"/>
      <c r="D156" s="55"/>
    </row>
    <row r="157" spans="2:43" x14ac:dyDescent="0.3">
      <c r="B157" s="1"/>
      <c r="D157" s="55"/>
    </row>
    <row r="158" spans="2:43" x14ac:dyDescent="0.3">
      <c r="B158" s="1"/>
      <c r="D158" s="55"/>
    </row>
    <row r="159" spans="2:43" x14ac:dyDescent="0.3">
      <c r="B159" s="1"/>
      <c r="D159" s="55"/>
    </row>
    <row r="160" spans="2:43" x14ac:dyDescent="0.3">
      <c r="B160" s="1"/>
      <c r="D160" s="55"/>
    </row>
    <row r="161" spans="2:4" x14ac:dyDescent="0.3">
      <c r="B161" s="1"/>
      <c r="D161" s="55"/>
    </row>
    <row r="162" spans="2:4" x14ac:dyDescent="0.3">
      <c r="B162" s="1"/>
    </row>
    <row r="163" spans="2:4" x14ac:dyDescent="0.3">
      <c r="B163" s="1"/>
    </row>
    <row r="164" spans="2:4" x14ac:dyDescent="0.3">
      <c r="B164" s="1"/>
    </row>
    <row r="165" spans="2:4" x14ac:dyDescent="0.3">
      <c r="B165" s="1"/>
    </row>
    <row r="166" spans="2:4" x14ac:dyDescent="0.3">
      <c r="B166" s="1"/>
    </row>
    <row r="167" spans="2:4" x14ac:dyDescent="0.3">
      <c r="B167" s="1"/>
    </row>
    <row r="168" spans="2:4" x14ac:dyDescent="0.3">
      <c r="B168" s="1"/>
    </row>
    <row r="169" spans="2:4" x14ac:dyDescent="0.3">
      <c r="B169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11"/>
  <sheetViews>
    <sheetView topLeftCell="A59" workbookViewId="0">
      <selection activeCell="M92" sqref="M92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5" t="s">
        <v>7</v>
      </c>
      <c r="F7" s="516"/>
      <c r="G7" s="520">
        <v>0.7</v>
      </c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1"/>
    </row>
    <row r="8" spans="3:40" x14ac:dyDescent="0.3">
      <c r="E8" s="517" t="s">
        <v>124</v>
      </c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9"/>
    </row>
    <row r="9" spans="3:40" x14ac:dyDescent="0.3">
      <c r="E9" s="535" t="s">
        <v>37</v>
      </c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7"/>
      <c r="Q9" s="533" t="s">
        <v>117</v>
      </c>
      <c r="R9" s="5"/>
      <c r="S9" s="530" t="s">
        <v>4</v>
      </c>
      <c r="T9" s="531"/>
      <c r="U9" s="532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80</v>
      </c>
      <c r="N10" s="119"/>
      <c r="O10" s="120" t="s">
        <v>15</v>
      </c>
      <c r="P10" s="374"/>
      <c r="Q10" s="534"/>
      <c r="R10" s="6"/>
      <c r="S10" s="4" t="s">
        <v>4</v>
      </c>
      <c r="T10" s="6"/>
      <c r="U10" s="285" t="s">
        <v>81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60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97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7" t="s">
        <v>48</v>
      </c>
      <c r="AE14" s="528"/>
      <c r="AF14" s="529"/>
      <c r="AG14" s="208"/>
      <c r="AH14" s="525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6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+K99</f>
        <v>589849</v>
      </c>
      <c r="AG16" s="202"/>
      <c r="AH16" s="216">
        <f>+AJ31</f>
        <v>1816.5961844655299</v>
      </c>
      <c r="AI16" s="216"/>
      <c r="AJ16" s="217">
        <f>+S99</f>
        <v>46858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58</v>
      </c>
      <c r="AE17" s="170"/>
      <c r="AF17" s="163">
        <v>104156</v>
      </c>
      <c r="AG17" s="203"/>
      <c r="AH17" s="164">
        <v>1511</v>
      </c>
      <c r="AI17" s="216"/>
      <c r="AJ17" s="163">
        <v>7454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91</v>
      </c>
      <c r="AE18" s="170"/>
      <c r="AF18" s="163">
        <v>81316</v>
      </c>
      <c r="AG18" s="203"/>
      <c r="AH18" s="164">
        <v>635</v>
      </c>
      <c r="AI18" s="216"/>
      <c r="AJ18" s="163">
        <v>6062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775321</v>
      </c>
      <c r="AG19" s="203"/>
      <c r="AH19" s="203"/>
      <c r="AI19" s="203"/>
      <c r="AJ19" s="221">
        <f>SUM(AJ16:AJ18)</f>
        <v>60374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Table'!H100</f>
        <v>0.3781955881140634</v>
      </c>
      <c r="AG21" s="203"/>
      <c r="AH21" s="203"/>
      <c r="AI21" s="203"/>
      <c r="AJ21" s="223">
        <f>+AJ19/'Main Table'!Z100</f>
        <v>0.52550767275670873</v>
      </c>
      <c r="AK21" s="220"/>
      <c r="AL21" s="110"/>
      <c r="AM21" s="96">
        <f>1-AJ21</f>
        <v>0.47449232724329127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106195</v>
      </c>
      <c r="AN23" s="90">
        <f>+AM23*AJ21</f>
        <v>55806.287308398685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21163.259330472552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7" t="s">
        <v>134</v>
      </c>
      <c r="AB25" s="528"/>
      <c r="AC25" s="528"/>
      <c r="AD25" s="528"/>
      <c r="AE25" s="528"/>
      <c r="AF25" s="528"/>
      <c r="AG25" s="528"/>
      <c r="AH25" s="528"/>
      <c r="AI25" s="528"/>
      <c r="AJ25" s="528"/>
      <c r="AK25" s="529"/>
      <c r="AL25" s="155"/>
      <c r="AM25" s="155"/>
      <c r="AN25" s="90">
        <f>+AN23+AN24</f>
        <v>76969.546638871238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0.7247944501988911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+E99</f>
        <v>380156</v>
      </c>
      <c r="AE27" s="170"/>
      <c r="AF27" s="201">
        <v>1951</v>
      </c>
      <c r="AG27" s="170"/>
      <c r="AH27" s="192">
        <f>+AD27/AD$31</f>
        <v>0.54777126965944045</v>
      </c>
      <c r="AI27" s="192"/>
      <c r="AJ27" s="170">
        <f>+AF27*AH27</f>
        <v>1068.7017471055683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+G99</f>
        <v>165346</v>
      </c>
      <c r="AE28" s="170"/>
      <c r="AF28" s="201">
        <v>1855</v>
      </c>
      <c r="AG28" s="170"/>
      <c r="AH28" s="192">
        <f>+AD28/AD$31</f>
        <v>0.23824900396971205</v>
      </c>
      <c r="AI28" s="192"/>
      <c r="AJ28" s="170">
        <f>+AF28*AH28</f>
        <v>441.95190236381586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+I99</f>
        <v>44347</v>
      </c>
      <c r="AE29" s="170"/>
      <c r="AF29" s="201">
        <v>1239</v>
      </c>
      <c r="AG29" s="170"/>
      <c r="AH29" s="192">
        <f>+AD29/AD$31</f>
        <v>6.3900115993400619E-2</v>
      </c>
      <c r="AI29" s="192"/>
      <c r="AJ29" s="170">
        <f>+AF29*AH29</f>
        <v>79.17224371582337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106</v>
      </c>
      <c r="AC30" s="282"/>
      <c r="AD30" s="170">
        <f>+AF17</f>
        <v>104156</v>
      </c>
      <c r="AE30" s="282"/>
      <c r="AF30" s="170">
        <f>+AH17</f>
        <v>1511</v>
      </c>
      <c r="AG30" s="282"/>
      <c r="AH30" s="192">
        <f>+AD30/AD$31</f>
        <v>0.15007961037744685</v>
      </c>
      <c r="AI30" s="282"/>
      <c r="AJ30" s="170">
        <f>+AF30*AH30</f>
        <v>226.7702912803222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694005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1816.5961844655299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22" t="s">
        <v>31</v>
      </c>
      <c r="AB36" s="523"/>
      <c r="AC36" s="523"/>
      <c r="AD36" s="523"/>
      <c r="AE36" s="523"/>
      <c r="AF36" s="523"/>
      <c r="AG36" s="523"/>
      <c r="AH36" s="523"/>
      <c r="AI36" s="524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478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6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  <c r="AD49" s="1">
        <v>113000</v>
      </c>
      <c r="AJ49" s="56">
        <f>+AJ19</f>
        <v>60374</v>
      </c>
    </row>
    <row r="50" spans="3:36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D50" s="56">
        <f>+AJ19</f>
        <v>60374</v>
      </c>
      <c r="AF50" s="275"/>
    </row>
    <row r="51" spans="3:36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  <c r="AD51" s="56">
        <f>+AD49-AD50</f>
        <v>52626</v>
      </c>
    </row>
    <row r="52" spans="3:36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  <c r="AD53" s="1">
        <f>+AD51*AD52</f>
        <v>22102.92</v>
      </c>
    </row>
    <row r="54" spans="3:36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6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  <c r="AD55" s="56">
        <f>+AD51-AD53</f>
        <v>30523.08</v>
      </c>
    </row>
    <row r="56" spans="3:36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6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6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6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6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6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6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6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6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:M81" si="66">+(K80-K79)/K79</f>
        <v>4.6119872584080828E-3</v>
      </c>
      <c r="N80" s="29"/>
      <c r="O80" s="29"/>
      <c r="P80" s="29"/>
      <c r="Q80" s="378">
        <f t="shared" ref="Q80:Q81" si="67">+K80-K79</f>
        <v>2596</v>
      </c>
      <c r="R80" s="6"/>
      <c r="S80" s="7">
        <f>29484+11339+3803</f>
        <v>44626</v>
      </c>
      <c r="T80" s="6"/>
      <c r="U80" s="288">
        <f t="shared" ref="U80:U81" si="68">+S80/K80</f>
        <v>7.8917444918184115E-2</v>
      </c>
      <c r="W80">
        <f t="shared" si="0"/>
        <v>70</v>
      </c>
    </row>
    <row r="81" spans="3:25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ref="K81" si="69">SUM(E81:I81)</f>
        <v>568890</v>
      </c>
      <c r="L81" s="6"/>
      <c r="M81" s="29">
        <f t="shared" si="66"/>
        <v>6.035612412175915E-3</v>
      </c>
      <c r="N81" s="29"/>
      <c r="O81" s="29"/>
      <c r="P81" s="29"/>
      <c r="Q81" s="378">
        <f t="shared" si="67"/>
        <v>3413</v>
      </c>
      <c r="R81" s="6"/>
      <c r="S81" s="7">
        <f>29646+11531+3868</f>
        <v>45045</v>
      </c>
      <c r="T81" s="6"/>
      <c r="U81" s="288">
        <f t="shared" si="68"/>
        <v>7.9180509413067549E-2</v>
      </c>
      <c r="W81">
        <f t="shared" si="0"/>
        <v>71</v>
      </c>
    </row>
    <row r="82" spans="3:25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ref="K82" si="70">SUM(E82:I82)</f>
        <v>571290</v>
      </c>
      <c r="L82" s="6"/>
      <c r="M82" s="29">
        <f t="shared" ref="M82" si="71">+(K82-K81)/K81</f>
        <v>4.2187417602699995E-3</v>
      </c>
      <c r="N82" s="29"/>
      <c r="O82" s="29"/>
      <c r="P82" s="29"/>
      <c r="Q82" s="378">
        <f t="shared" ref="Q82" si="72">+K82-K81</f>
        <v>2400</v>
      </c>
      <c r="R82" s="6"/>
      <c r="S82" s="7">
        <f>29646+11531+3868</f>
        <v>45045</v>
      </c>
      <c r="T82" s="6"/>
      <c r="U82" s="288">
        <f t="shared" ref="U82" si="73">+S82/K82</f>
        <v>7.8847870608622597E-2</v>
      </c>
      <c r="W82">
        <f t="shared" si="0"/>
        <v>72</v>
      </c>
    </row>
    <row r="83" spans="3:25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ref="K83" si="74">SUM(E83:I83)</f>
        <v>573416</v>
      </c>
      <c r="L83" s="6"/>
      <c r="M83" s="29">
        <f t="shared" ref="M83" si="75">+(K83-K82)/K82</f>
        <v>3.7214024400917221E-3</v>
      </c>
      <c r="N83" s="29"/>
      <c r="O83" s="29"/>
      <c r="P83" s="29"/>
      <c r="Q83" s="378">
        <f t="shared" ref="Q83" si="76">+K83-K82</f>
        <v>2126</v>
      </c>
      <c r="R83" s="6"/>
      <c r="S83" s="7">
        <f>29784+11698+3944</f>
        <v>45426</v>
      </c>
      <c r="T83" s="6"/>
      <c r="U83" s="288">
        <f t="shared" ref="U83" si="77">+S83/K83</f>
        <v>7.9219972934135074E-2</v>
      </c>
      <c r="W83">
        <f t="shared" si="0"/>
        <v>73</v>
      </c>
    </row>
    <row r="84" spans="3:25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ref="K84" si="78">SUM(E84:I84)</f>
        <v>574830</v>
      </c>
      <c r="L84" s="6"/>
      <c r="M84" s="29">
        <f t="shared" ref="M84" si="79">+(K84-K83)/K83</f>
        <v>2.4659235180043808E-3</v>
      </c>
      <c r="N84" s="29"/>
      <c r="O84" s="29"/>
      <c r="P84" s="29"/>
      <c r="Q84" s="378">
        <f t="shared" ref="Q84" si="80">+K84-K83</f>
        <v>1414</v>
      </c>
      <c r="R84" s="6"/>
      <c r="S84" s="7">
        <f>29833+11723+3971</f>
        <v>45527</v>
      </c>
      <c r="T84" s="6"/>
      <c r="U84" s="288">
        <f t="shared" ref="U84" si="81">+S84/K84</f>
        <v>7.9200807195170753E-2</v>
      </c>
      <c r="W84">
        <f t="shared" si="0"/>
        <v>74</v>
      </c>
    </row>
    <row r="85" spans="3:25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ref="K85" si="82">SUM(E85:I85)</f>
        <v>577564</v>
      </c>
      <c r="L85" s="6"/>
      <c r="M85" s="29">
        <f t="shared" ref="M85" si="83">+(K85-K84)/K84</f>
        <v>4.7561887862498479E-3</v>
      </c>
      <c r="N85" s="29"/>
      <c r="O85" s="29"/>
      <c r="P85" s="29"/>
      <c r="Q85" s="378">
        <f t="shared" ref="Q85" si="84">+K85-K84</f>
        <v>2734</v>
      </c>
      <c r="R85" s="6"/>
      <c r="S85" s="7">
        <f>29968+11771+3972</f>
        <v>45711</v>
      </c>
      <c r="T85" s="6"/>
      <c r="U85" s="288">
        <f t="shared" ref="U85" si="85">+S85/K85</f>
        <v>7.9144475763724881E-2</v>
      </c>
      <c r="W85">
        <f t="shared" si="0"/>
        <v>75</v>
      </c>
    </row>
    <row r="86" spans="3:25" x14ac:dyDescent="0.3">
      <c r="C86" s="172">
        <f t="shared" si="1"/>
        <v>43985</v>
      </c>
      <c r="E86" s="286">
        <v>374085</v>
      </c>
      <c r="F86" s="7"/>
      <c r="G86" s="7">
        <v>162068</v>
      </c>
      <c r="H86" s="7"/>
      <c r="I86" s="7">
        <v>43091</v>
      </c>
      <c r="J86" s="289"/>
      <c r="K86" s="7">
        <f t="shared" ref="K86:K87" si="86">SUM(E86:I86)</f>
        <v>579244</v>
      </c>
      <c r="L86" s="6"/>
      <c r="M86" s="29">
        <f t="shared" ref="M86" si="87">+(K86-K85)/K85</f>
        <v>2.9087685520565688E-3</v>
      </c>
      <c r="N86" s="29"/>
      <c r="O86" s="29"/>
      <c r="P86" s="29"/>
      <c r="Q86" s="378">
        <f t="shared" ref="Q86" si="88">+K86-K85</f>
        <v>1680</v>
      </c>
      <c r="R86" s="6"/>
      <c r="S86" s="7">
        <f>30019+11880+3989</f>
        <v>45888</v>
      </c>
      <c r="T86" s="6"/>
      <c r="U86" s="288">
        <f t="shared" ref="U86" si="89">+S86/K86</f>
        <v>7.9220501205018959E-2</v>
      </c>
      <c r="W86">
        <f t="shared" si="0"/>
        <v>76</v>
      </c>
    </row>
    <row r="87" spans="3:25" x14ac:dyDescent="0.3">
      <c r="C87" s="172">
        <f t="shared" si="1"/>
        <v>43986</v>
      </c>
      <c r="E87" s="286">
        <v>375133</v>
      </c>
      <c r="F87" s="7"/>
      <c r="G87" s="7">
        <v>162530</v>
      </c>
      <c r="H87" s="7"/>
      <c r="I87" s="7">
        <v>43239</v>
      </c>
      <c r="J87" s="289"/>
      <c r="K87" s="7">
        <f t="shared" si="86"/>
        <v>580902</v>
      </c>
      <c r="L87" s="6"/>
      <c r="M87" s="29">
        <f t="shared" ref="M87" si="90">+(K87-K86)/K86</f>
        <v>2.8623516169351774E-3</v>
      </c>
      <c r="N87" s="29"/>
      <c r="O87" s="29"/>
      <c r="P87" s="29"/>
      <c r="Q87" s="378">
        <f t="shared" ref="Q87" si="91">+K87-K86</f>
        <v>1658</v>
      </c>
      <c r="R87" s="6"/>
      <c r="S87" s="7">
        <f>30090+11970+4007</f>
        <v>46067</v>
      </c>
      <c r="T87" s="6"/>
      <c r="U87" s="288">
        <f t="shared" ref="U87" si="92">+S87/K87</f>
        <v>7.9302532957366306E-2</v>
      </c>
      <c r="W87">
        <f t="shared" si="0"/>
        <v>77</v>
      </c>
    </row>
    <row r="88" spans="3:25" x14ac:dyDescent="0.3">
      <c r="C88" s="172">
        <f t="shared" si="1"/>
        <v>43987</v>
      </c>
      <c r="E88" s="286">
        <v>376208</v>
      </c>
      <c r="F88" s="7"/>
      <c r="G88" s="7">
        <v>163336</v>
      </c>
      <c r="H88" s="7"/>
      <c r="I88" s="7">
        <v>43460</v>
      </c>
      <c r="J88" s="289"/>
      <c r="K88" s="7">
        <f t="shared" ref="K88" si="93">SUM(E88:I88)</f>
        <v>583004</v>
      </c>
      <c r="L88" s="6"/>
      <c r="M88" s="29">
        <f t="shared" ref="M88" si="94">+(K88-K87)/K87</f>
        <v>3.6185105232896426E-3</v>
      </c>
      <c r="N88" s="29"/>
      <c r="O88" s="29"/>
      <c r="P88" s="29"/>
      <c r="Q88" s="378">
        <f t="shared" ref="Q88" si="95">+K88-K87</f>
        <v>2102</v>
      </c>
      <c r="R88" s="6"/>
      <c r="S88" s="7">
        <f>30236+12049+4038</f>
        <v>46323</v>
      </c>
      <c r="T88" s="6"/>
      <c r="U88" s="288">
        <f t="shared" ref="U88" si="96">+S88/K88</f>
        <v>7.9455715569704502E-2</v>
      </c>
      <c r="W88">
        <f t="shared" si="0"/>
        <v>78</v>
      </c>
    </row>
    <row r="89" spans="3:25" x14ac:dyDescent="0.3">
      <c r="C89" s="172">
        <f t="shared" si="1"/>
        <v>43988</v>
      </c>
      <c r="E89" s="286">
        <v>377316</v>
      </c>
      <c r="F89" s="7"/>
      <c r="G89" s="7">
        <v>163893</v>
      </c>
      <c r="H89" s="7"/>
      <c r="I89" s="7">
        <v>43818</v>
      </c>
      <c r="J89" s="289"/>
      <c r="K89" s="7">
        <f t="shared" ref="K89" si="97">SUM(E89:I89)</f>
        <v>585027</v>
      </c>
      <c r="L89" s="6"/>
      <c r="M89" s="29">
        <f t="shared" ref="M89" si="98">+(K89-K88)/K88</f>
        <v>3.4699590397321458E-3</v>
      </c>
      <c r="N89" s="29"/>
      <c r="O89" s="29"/>
      <c r="P89" s="29"/>
      <c r="Q89" s="378">
        <f t="shared" ref="Q89" si="99">+K89-K88</f>
        <v>2023</v>
      </c>
      <c r="R89" s="6"/>
      <c r="S89" s="7">
        <f>30280+12106+4055</f>
        <v>46441</v>
      </c>
      <c r="T89" s="6"/>
      <c r="U89" s="288">
        <f t="shared" ref="U89" si="100">+S89/K89</f>
        <v>7.9382660971203042E-2</v>
      </c>
      <c r="W89">
        <f t="shared" si="0"/>
        <v>79</v>
      </c>
      <c r="X89" s="56">
        <f>SUM(Q83:Q89)</f>
        <v>13737</v>
      </c>
      <c r="Y89">
        <v>7</v>
      </c>
    </row>
    <row r="90" spans="3:25" x14ac:dyDescent="0.3">
      <c r="C90" s="172">
        <f t="shared" si="1"/>
        <v>43989</v>
      </c>
      <c r="E90" s="286">
        <v>378097</v>
      </c>
      <c r="F90" s="7"/>
      <c r="G90" s="7">
        <v>164164</v>
      </c>
      <c r="H90" s="7"/>
      <c r="I90" s="7">
        <v>43968</v>
      </c>
      <c r="J90" s="289"/>
      <c r="K90" s="7">
        <f t="shared" ref="K90" si="101">SUM(E90:I90)</f>
        <v>586229</v>
      </c>
      <c r="L90" s="6"/>
      <c r="M90" s="29">
        <f t="shared" ref="M90" si="102">+(K90-K89)/K89</f>
        <v>2.0546060267303901E-3</v>
      </c>
      <c r="N90" s="29"/>
      <c r="O90" s="29"/>
      <c r="P90" s="29"/>
      <c r="Q90" s="378">
        <f t="shared" ref="Q90" si="103">+K90-K89</f>
        <v>1202</v>
      </c>
      <c r="R90" s="6"/>
      <c r="S90" s="7">
        <f>30374+12176+4071</f>
        <v>46621</v>
      </c>
      <c r="T90" s="6"/>
      <c r="U90" s="288">
        <f t="shared" ref="U90" si="104">+S90/K90</f>
        <v>7.9526942542931175E-2</v>
      </c>
      <c r="W90">
        <f t="shared" si="0"/>
        <v>80</v>
      </c>
      <c r="Y90">
        <f>+X89/Y89</f>
        <v>1962.4285714285713</v>
      </c>
    </row>
    <row r="91" spans="3:25" x14ac:dyDescent="0.3">
      <c r="C91" s="172">
        <f t="shared" si="1"/>
        <v>43990</v>
      </c>
      <c r="E91" s="286">
        <v>378799</v>
      </c>
      <c r="F91" s="7"/>
      <c r="G91" s="7">
        <v>164497</v>
      </c>
      <c r="H91" s="7"/>
      <c r="I91" s="7">
        <v>44093</v>
      </c>
      <c r="J91" s="289"/>
      <c r="K91" s="7">
        <f t="shared" ref="K91" si="105">SUM(E91:I91)</f>
        <v>587389</v>
      </c>
      <c r="L91" s="6"/>
      <c r="M91" s="29">
        <f t="shared" ref="M91" si="106">+(K91-K90)/K90</f>
        <v>1.978748918937821E-3</v>
      </c>
      <c r="N91" s="29"/>
      <c r="O91" s="29"/>
      <c r="P91" s="29"/>
      <c r="Q91" s="378">
        <f t="shared" ref="Q91" si="107">+K91-K90</f>
        <v>1160</v>
      </c>
      <c r="R91" s="6"/>
      <c r="S91" s="7">
        <f>30417+12214+4084</f>
        <v>46715</v>
      </c>
      <c r="T91" s="6"/>
      <c r="U91" s="288">
        <f t="shared" ref="U91" si="108">+S91/K91</f>
        <v>7.952991969546587E-2</v>
      </c>
      <c r="W91">
        <f t="shared" si="0"/>
        <v>81</v>
      </c>
    </row>
    <row r="92" spans="3:25" x14ac:dyDescent="0.3">
      <c r="C92" s="172">
        <f t="shared" si="1"/>
        <v>43991</v>
      </c>
      <c r="E92" s="286">
        <v>379482</v>
      </c>
      <c r="F92" s="7"/>
      <c r="G92" s="7">
        <v>164796</v>
      </c>
      <c r="H92" s="7"/>
      <c r="I92" s="7">
        <v>44179</v>
      </c>
      <c r="J92" s="289"/>
      <c r="K92" s="7">
        <f t="shared" ref="K92" si="109">SUM(E92:I92)</f>
        <v>588457</v>
      </c>
      <c r="L92" s="6"/>
      <c r="M92" s="478">
        <f t="shared" ref="M92" si="110">+(K92-K91)/K91</f>
        <v>1.8182158671680947E-3</v>
      </c>
      <c r="N92" s="29"/>
      <c r="O92" s="29"/>
      <c r="P92" s="29"/>
      <c r="Q92" s="378">
        <f t="shared" ref="Q92" si="111">+K92-K91</f>
        <v>1068</v>
      </c>
      <c r="R92" s="6"/>
      <c r="S92" s="7">
        <f>30458+12303+4097</f>
        <v>46858</v>
      </c>
      <c r="T92" s="6"/>
      <c r="U92" s="288">
        <f t="shared" ref="U92" si="112">+S92/K92</f>
        <v>7.9628587985188376E-2</v>
      </c>
      <c r="W92">
        <f t="shared" si="0"/>
        <v>82</v>
      </c>
    </row>
    <row r="93" spans="3:25" x14ac:dyDescent="0.3">
      <c r="C93" s="172">
        <f t="shared" si="1"/>
        <v>43992</v>
      </c>
      <c r="E93" s="286">
        <v>380156</v>
      </c>
      <c r="F93" s="7"/>
      <c r="G93" s="7">
        <v>165346</v>
      </c>
      <c r="H93" s="7"/>
      <c r="I93" s="7">
        <v>44347</v>
      </c>
      <c r="J93" s="289"/>
      <c r="K93" s="7">
        <f t="shared" ref="K93" si="113">SUM(E93:I93)</f>
        <v>589849</v>
      </c>
      <c r="L93" s="6"/>
      <c r="M93" s="478">
        <f t="shared" ref="M93" si="114">+(K93-K92)/K92</f>
        <v>2.3655084398690133E-3</v>
      </c>
      <c r="N93" s="29"/>
      <c r="O93" s="29"/>
      <c r="P93" s="29"/>
      <c r="Q93" s="378">
        <f t="shared" ref="Q93" si="115">+K93-K92</f>
        <v>1392</v>
      </c>
      <c r="R93" s="6"/>
      <c r="S93" s="7">
        <f>30458+12303+4097</f>
        <v>46858</v>
      </c>
      <c r="T93" s="6"/>
      <c r="U93" s="288">
        <f t="shared" ref="U93" si="116">+S93/K93</f>
        <v>7.9440670408867348E-2</v>
      </c>
      <c r="W93">
        <f t="shared" si="0"/>
        <v>83</v>
      </c>
    </row>
    <row r="94" spans="3:25" x14ac:dyDescent="0.3">
      <c r="C94" s="172">
        <f t="shared" si="1"/>
        <v>43993</v>
      </c>
      <c r="E94" s="286"/>
      <c r="F94" s="7"/>
      <c r="G94" s="7"/>
      <c r="H94" s="7"/>
      <c r="I94" s="7"/>
      <c r="J94" s="289"/>
      <c r="K94" s="7"/>
      <c r="L94" s="6"/>
      <c r="M94" s="29"/>
      <c r="N94" s="29"/>
      <c r="O94" s="29"/>
      <c r="P94" s="29"/>
      <c r="Q94" s="378"/>
      <c r="R94" s="6"/>
      <c r="S94" s="7"/>
      <c r="T94" s="6"/>
      <c r="U94" s="288"/>
      <c r="W94">
        <f t="shared" si="0"/>
        <v>84</v>
      </c>
    </row>
    <row r="95" spans="3:25" x14ac:dyDescent="0.3">
      <c r="C95" s="172">
        <f t="shared" si="1"/>
        <v>43994</v>
      </c>
      <c r="E95" s="286"/>
      <c r="F95" s="7"/>
      <c r="G95" s="7"/>
      <c r="H95" s="7"/>
      <c r="I95" s="7"/>
      <c r="J95" s="289"/>
      <c r="K95" s="7"/>
      <c r="L95" s="6"/>
      <c r="M95" s="29"/>
      <c r="N95" s="29"/>
      <c r="O95" s="29"/>
      <c r="P95" s="29"/>
      <c r="Q95" s="378"/>
      <c r="R95" s="6"/>
      <c r="S95" s="7"/>
      <c r="T95" s="6"/>
      <c r="U95" s="288"/>
      <c r="W95">
        <f t="shared" si="0"/>
        <v>85</v>
      </c>
    </row>
    <row r="96" spans="3:25" x14ac:dyDescent="0.3">
      <c r="C96" s="172">
        <f t="shared" si="1"/>
        <v>43995</v>
      </c>
      <c r="E96" s="286"/>
      <c r="F96" s="7"/>
      <c r="G96" s="7"/>
      <c r="H96" s="7"/>
      <c r="I96" s="7"/>
      <c r="J96" s="289"/>
      <c r="K96" s="7"/>
      <c r="L96" s="6"/>
      <c r="M96" s="29"/>
      <c r="N96" s="29"/>
      <c r="O96" s="29"/>
      <c r="P96" s="29"/>
      <c r="Q96" s="378"/>
      <c r="R96" s="6"/>
      <c r="S96" s="7"/>
      <c r="T96" s="6"/>
      <c r="U96" s="288"/>
      <c r="W96">
        <f t="shared" si="0"/>
        <v>86</v>
      </c>
      <c r="Y96" s="56">
        <f>+Q89-Y90</f>
        <v>60.571428571428669</v>
      </c>
    </row>
    <row r="97" spans="3:41" ht="15" thickBot="1" x14ac:dyDescent="0.35">
      <c r="C97" s="172">
        <f t="shared" si="1"/>
        <v>43996</v>
      </c>
      <c r="E97" s="290"/>
      <c r="F97" s="291"/>
      <c r="G97" s="291"/>
      <c r="H97" s="291"/>
      <c r="I97" s="291"/>
      <c r="J97" s="291"/>
      <c r="K97" s="291"/>
      <c r="L97" s="292"/>
      <c r="M97" s="293"/>
      <c r="N97" s="293"/>
      <c r="O97" s="293"/>
      <c r="P97" s="293"/>
      <c r="Q97" s="377"/>
      <c r="R97" s="292"/>
      <c r="S97" s="292"/>
      <c r="T97" s="292"/>
      <c r="U97" s="294"/>
      <c r="W97">
        <f t="shared" si="0"/>
        <v>87</v>
      </c>
      <c r="Y97" s="59">
        <f>+Y96/Y90</f>
        <v>3.0865545606755529E-2</v>
      </c>
    </row>
    <row r="98" spans="3:41" x14ac:dyDescent="0.3">
      <c r="E98" s="56"/>
      <c r="F98" s="1"/>
      <c r="G98" s="56"/>
      <c r="H98" s="56"/>
      <c r="I98" s="56"/>
      <c r="J98" s="1"/>
      <c r="K98" s="56"/>
      <c r="S98" s="56"/>
    </row>
    <row r="99" spans="3:41" x14ac:dyDescent="0.3">
      <c r="C99" s="181" t="s">
        <v>82</v>
      </c>
      <c r="E99" s="56">
        <f>+E93</f>
        <v>380156</v>
      </c>
      <c r="F99" s="56">
        <f>+F52</f>
        <v>0</v>
      </c>
      <c r="G99" s="56">
        <f t="shared" ref="G99:S99" si="117">+G93</f>
        <v>165346</v>
      </c>
      <c r="H99" s="56">
        <f t="shared" si="117"/>
        <v>0</v>
      </c>
      <c r="I99" s="56">
        <f t="shared" si="117"/>
        <v>44347</v>
      </c>
      <c r="J99" s="56">
        <f t="shared" si="117"/>
        <v>0</v>
      </c>
      <c r="K99" s="56">
        <f t="shared" si="117"/>
        <v>589849</v>
      </c>
      <c r="L99" s="56">
        <f t="shared" si="117"/>
        <v>0</v>
      </c>
      <c r="M99" s="56">
        <f t="shared" si="117"/>
        <v>2.3655084398690133E-3</v>
      </c>
      <c r="N99" s="56">
        <f t="shared" si="117"/>
        <v>0</v>
      </c>
      <c r="O99" s="56">
        <f t="shared" si="117"/>
        <v>0</v>
      </c>
      <c r="P99" s="56">
        <f t="shared" si="117"/>
        <v>0</v>
      </c>
      <c r="Q99" s="56">
        <f t="shared" si="117"/>
        <v>1392</v>
      </c>
      <c r="R99" s="56">
        <f t="shared" si="117"/>
        <v>0</v>
      </c>
      <c r="S99" s="56">
        <f t="shared" si="117"/>
        <v>46858</v>
      </c>
      <c r="T99" s="56">
        <f>+T60</f>
        <v>0</v>
      </c>
    </row>
    <row r="100" spans="3:41" x14ac:dyDescent="0.3">
      <c r="E100" s="56"/>
      <c r="G100" s="56"/>
      <c r="H100" s="56"/>
      <c r="I100" s="56"/>
      <c r="J100" s="56"/>
      <c r="K100" s="56"/>
      <c r="L100" s="56"/>
      <c r="M100" s="59"/>
      <c r="N100" s="56"/>
      <c r="O100" s="56"/>
      <c r="P100" s="56"/>
      <c r="Q100" s="56"/>
      <c r="R100" s="56"/>
      <c r="S100" s="56"/>
    </row>
    <row r="101" spans="3:41" x14ac:dyDescent="0.3">
      <c r="E101" s="59"/>
      <c r="K101" s="1"/>
    </row>
    <row r="102" spans="3:41" x14ac:dyDescent="0.3">
      <c r="C102" s="123"/>
      <c r="D102" s="124"/>
      <c r="E102" s="395"/>
      <c r="F102" s="10"/>
      <c r="G102" s="10"/>
      <c r="H102" s="10"/>
      <c r="I102" s="61"/>
      <c r="J102" s="10"/>
      <c r="K102" s="10"/>
      <c r="L102" s="10"/>
      <c r="M102" s="10"/>
      <c r="N102" s="10"/>
      <c r="O102" s="10"/>
      <c r="P102" s="10"/>
      <c r="Q102" s="395"/>
      <c r="R102" s="10"/>
      <c r="S102" s="10"/>
    </row>
    <row r="103" spans="3:41" x14ac:dyDescent="0.3">
      <c r="E103" s="56"/>
      <c r="K103" s="56"/>
      <c r="Q103" s="56"/>
    </row>
    <row r="104" spans="3:41" x14ac:dyDescent="0.3">
      <c r="Q104" s="56"/>
      <c r="S104" s="59"/>
    </row>
    <row r="107" spans="3:41" x14ac:dyDescent="0.3">
      <c r="AO107" s="1">
        <v>3797000</v>
      </c>
    </row>
    <row r="108" spans="3:41" x14ac:dyDescent="0.3">
      <c r="C108" s="1"/>
    </row>
    <row r="109" spans="3:41" x14ac:dyDescent="0.3">
      <c r="C109" s="1"/>
      <c r="AO109" s="1">
        <v>30000</v>
      </c>
    </row>
    <row r="110" spans="3:41" x14ac:dyDescent="0.3">
      <c r="C110" s="59"/>
    </row>
    <row r="111" spans="3:41" x14ac:dyDescent="0.3">
      <c r="AO111" s="279">
        <f>+AO109/AO107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13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91" t="s">
        <v>115</v>
      </c>
      <c r="T3" s="592"/>
      <c r="U3" s="592"/>
      <c r="V3" s="592"/>
      <c r="W3" s="592"/>
      <c r="X3" s="592"/>
      <c r="Y3" s="592"/>
      <c r="Z3" s="592"/>
      <c r="AA3" s="592"/>
      <c r="AB3" s="592"/>
      <c r="AC3" s="593"/>
    </row>
    <row r="4" spans="2:29" ht="15.6" x14ac:dyDescent="0.3">
      <c r="B4" s="258"/>
      <c r="C4" s="258"/>
      <c r="D4" s="168"/>
      <c r="S4" s="295"/>
      <c r="T4" s="396" t="s">
        <v>79</v>
      </c>
      <c r="U4" s="6"/>
      <c r="V4" s="396" t="s">
        <v>107</v>
      </c>
      <c r="W4" s="5"/>
      <c r="X4" s="396" t="s">
        <v>108</v>
      </c>
      <c r="Y4" s="5"/>
      <c r="Z4" s="396" t="s">
        <v>74</v>
      </c>
      <c r="AA4" s="6"/>
      <c r="AB4" s="296" t="s">
        <v>15</v>
      </c>
      <c r="AC4" s="297"/>
    </row>
    <row r="5" spans="2:29" ht="15.6" x14ac:dyDescent="0.3">
      <c r="B5" s="258"/>
      <c r="C5" t="s">
        <v>93</v>
      </c>
      <c r="D5" s="168"/>
      <c r="E5" t="s">
        <v>94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95</v>
      </c>
      <c r="F6" t="s">
        <v>112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96</v>
      </c>
      <c r="F7" t="s">
        <v>98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97</v>
      </c>
      <c r="F8" t="s">
        <v>113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6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99</v>
      </c>
      <c r="D10" s="171"/>
      <c r="E10" t="s">
        <v>102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95</v>
      </c>
      <c r="F11" t="s">
        <v>100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96</v>
      </c>
      <c r="F12" t="s">
        <v>101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0.1455718461912936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 t="shared" ref="X13:X14" si="2"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103</v>
      </c>
      <c r="D14" s="171"/>
      <c r="E14" t="s">
        <v>104</v>
      </c>
      <c r="S14" s="295"/>
      <c r="T14" s="298">
        <f t="shared" si="1"/>
        <v>43959</v>
      </c>
      <c r="U14" s="6"/>
      <c r="V14" s="299">
        <v>452043</v>
      </c>
      <c r="W14" s="6"/>
      <c r="X14" s="44">
        <f t="shared" si="2"/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94" t="s">
        <v>105</v>
      </c>
      <c r="F15" s="594"/>
      <c r="G15" s="594"/>
      <c r="H15" s="594"/>
      <c r="I15" s="594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6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600" t="s">
        <v>46</v>
      </c>
      <c r="E18" s="601"/>
      <c r="F18" s="601"/>
      <c r="G18" s="601"/>
      <c r="H18" s="601"/>
      <c r="I18" s="601"/>
      <c r="J18" s="601"/>
      <c r="K18" s="601"/>
      <c r="L18" s="601"/>
      <c r="M18" s="601"/>
      <c r="N18" s="601"/>
      <c r="O18" s="602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603" t="s">
        <v>76</v>
      </c>
      <c r="F19" s="603"/>
      <c r="G19" s="603"/>
      <c r="H19" s="603"/>
      <c r="I19" s="147" t="s">
        <v>75</v>
      </c>
      <c r="J19" s="148"/>
      <c r="K19" s="608" t="s">
        <v>73</v>
      </c>
      <c r="L19" s="608"/>
      <c r="M19" s="141"/>
      <c r="N19" s="145" t="s">
        <v>74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Table'!H79</f>
        <v>1768461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" si="3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Table'!Z100</f>
        <v>114887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ref="Z21" si="4">+V20-V21</f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16838</v>
      </c>
      <c r="J22" s="129"/>
      <c r="K22" s="140"/>
      <c r="L22" s="283">
        <v>16907</v>
      </c>
      <c r="M22" s="140"/>
      <c r="N22" s="160">
        <f>+(I22-L22)/I22</f>
        <v>-4.0978738567525831E-3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ref="Z22" si="5">+V21-V22</f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1636736</v>
      </c>
      <c r="J23" s="129"/>
      <c r="K23" s="140"/>
      <c r="L23" s="140"/>
      <c r="M23" s="140"/>
      <c r="N23" s="140"/>
      <c r="O23" s="136"/>
      <c r="P23" s="113"/>
      <c r="Q23" s="113"/>
      <c r="R23" s="477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ref="Z23" si="6">+V22-V23</f>
        <v>9746</v>
      </c>
      <c r="AA23" s="6"/>
      <c r="AB23" s="304"/>
      <c r="AC23" s="297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Table'!AO100</f>
        <v>808494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ref="Z24" si="7">+V23-V24</f>
        <v>4718</v>
      </c>
      <c r="AA24" s="6"/>
      <c r="AB24" s="304"/>
      <c r="AC24" s="297"/>
    </row>
    <row r="25" spans="3:29" x14ac:dyDescent="0.3">
      <c r="C25" s="1"/>
      <c r="D25" s="604" t="s">
        <v>49</v>
      </c>
      <c r="E25" s="605"/>
      <c r="F25" s="605"/>
      <c r="G25" s="605"/>
      <c r="H25" s="605"/>
      <c r="I25" s="132">
        <f>+I23-I24</f>
        <v>828242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ref="Z25" si="8">+V24-V25</f>
        <v>3530</v>
      </c>
      <c r="AA25" s="6"/>
      <c r="AB25" s="304"/>
      <c r="AC25" s="297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808494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ref="Z26" si="9">+V25-V26</f>
        <v>2829</v>
      </c>
      <c r="AA26" s="6"/>
      <c r="AB26" s="304"/>
      <c r="AC26" s="297"/>
    </row>
    <row r="27" spans="3:29" ht="15" thickBot="1" x14ac:dyDescent="0.35">
      <c r="C27" s="1"/>
      <c r="D27" s="604" t="s">
        <v>46</v>
      </c>
      <c r="E27" s="605"/>
      <c r="F27" s="605"/>
      <c r="G27" s="605"/>
      <c r="H27" s="605"/>
      <c r="I27" s="149">
        <f>+I25+I26</f>
        <v>1636736</v>
      </c>
      <c r="J27" s="129"/>
      <c r="K27" s="609">
        <v>1615045</v>
      </c>
      <c r="L27" s="609"/>
      <c r="M27" s="140"/>
      <c r="N27" s="150">
        <f>+I27-K27</f>
        <v>21691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ref="Z27" si="10">+V26-V27</f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606" t="s">
        <v>70</v>
      </c>
      <c r="F28" s="606"/>
      <c r="G28" s="606"/>
      <c r="H28" s="137"/>
      <c r="I28" s="276">
        <f>+I27/I32</f>
        <v>0.7983871636489398</v>
      </c>
      <c r="J28" s="140"/>
      <c r="K28" s="140"/>
      <c r="L28" s="140"/>
      <c r="M28" s="110"/>
      <c r="N28" s="162">
        <f>+N27/K27</f>
        <v>1.3430585525480715E-2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ref="Z28" si="11">+V27-V28</f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ref="Z29" si="12">+V28-V29</f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3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ref="Z30" si="13">+V29-V30</f>
        <v>710</v>
      </c>
      <c r="AA30" s="6"/>
      <c r="AB30" s="304"/>
      <c r="AC30" s="297"/>
    </row>
    <row r="31" spans="3:29" ht="16.2" thickBot="1" x14ac:dyDescent="0.35">
      <c r="C31" s="90"/>
      <c r="D31" s="274"/>
      <c r="E31" s="585" t="s">
        <v>115</v>
      </c>
      <c r="F31" s="586"/>
      <c r="G31" s="586"/>
      <c r="H31" s="586"/>
      <c r="I31" s="586"/>
      <c r="J31" s="587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ref="Z31" si="14">+V30-V31</f>
        <v>-1594</v>
      </c>
      <c r="AA31" s="6"/>
      <c r="AB31" s="304"/>
      <c r="AC31" s="297"/>
    </row>
    <row r="32" spans="3:29" x14ac:dyDescent="0.3">
      <c r="C32" s="10"/>
      <c r="D32" s="261"/>
      <c r="E32" s="262" t="s">
        <v>89</v>
      </c>
      <c r="F32" s="24"/>
      <c r="G32" s="24"/>
      <c r="H32" s="24"/>
      <c r="I32" s="580">
        <f>+'Main Table'!H100</f>
        <v>2050053</v>
      </c>
      <c r="J32" s="580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ref="Z32" si="15">+V31-V32</f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ref="Z33" si="16">+V32-V33</f>
        <v>1152</v>
      </c>
      <c r="AA33" s="6"/>
      <c r="AB33" s="304"/>
      <c r="AC33" s="297"/>
    </row>
    <row r="34" spans="3:29" x14ac:dyDescent="0.3">
      <c r="D34" s="264"/>
      <c r="E34" s="22"/>
      <c r="F34" s="265" t="s">
        <v>114</v>
      </c>
      <c r="G34" s="265"/>
      <c r="H34" s="22"/>
      <c r="I34" s="581">
        <f>+I27</f>
        <v>1636736</v>
      </c>
      <c r="J34" s="582"/>
      <c r="K34" s="22"/>
      <c r="L34" s="25">
        <f>+I34/$I$32</f>
        <v>0.7983871636489398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ref="Z34" si="17">+V33-V34</f>
        <v>4551</v>
      </c>
      <c r="AA34" s="6"/>
      <c r="AB34" s="304"/>
      <c r="AC34" s="297"/>
    </row>
    <row r="35" spans="3:29" x14ac:dyDescent="0.3">
      <c r="D35" s="264"/>
      <c r="E35" s="22"/>
      <c r="F35" s="22" t="s">
        <v>90</v>
      </c>
      <c r="G35" s="22"/>
      <c r="H35" s="22"/>
      <c r="I35" s="588">
        <f>+I21</f>
        <v>114887</v>
      </c>
      <c r="J35" s="589"/>
      <c r="K35" s="22"/>
      <c r="L35" s="25">
        <f>+I35/$I$32</f>
        <v>5.6040990159766602E-2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ref="Z35" si="18">+V34-V35</f>
        <v>1662</v>
      </c>
      <c r="AA35" s="6"/>
      <c r="AB35" s="304"/>
      <c r="AC35" s="297"/>
    </row>
    <row r="36" spans="3:29" ht="15" thickBot="1" x14ac:dyDescent="0.35">
      <c r="D36" s="264"/>
      <c r="E36" s="607" t="s">
        <v>115</v>
      </c>
      <c r="F36" s="607"/>
      <c r="G36" s="607"/>
      <c r="H36" s="277"/>
      <c r="I36" s="583">
        <f>+I32-I34-I35</f>
        <v>298430</v>
      </c>
      <c r="J36" s="584"/>
      <c r="K36" s="305"/>
      <c r="L36" s="278">
        <f>+I36/$I$32</f>
        <v>0.1455718461912936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ref="Z36" si="19">+V35-V36</f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6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ref="Z37" si="20">+V36-V37</f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ref="Z38" si="21">+V37-V38</f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v>305724</v>
      </c>
      <c r="W39" s="6"/>
      <c r="X39" s="44">
        <v>0.16300000000000001</v>
      </c>
      <c r="Y39" s="6"/>
      <c r="Z39" s="300">
        <f t="shared" ref="Z39" si="22">+V38-V39</f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>
        <v>297824</v>
      </c>
      <c r="W40" s="6"/>
      <c r="X40" s="44">
        <v>0.157</v>
      </c>
      <c r="Y40" s="6"/>
      <c r="Z40" s="300">
        <f t="shared" ref="Z40" si="23">+V39-V40</f>
        <v>7900</v>
      </c>
      <c r="AA40" s="6"/>
      <c r="AB40" s="304"/>
      <c r="AC40" s="297"/>
    </row>
    <row r="41" spans="3:29" ht="15" thickBot="1" x14ac:dyDescent="0.35">
      <c r="D41" s="595" t="s">
        <v>128</v>
      </c>
      <c r="E41" s="596"/>
      <c r="F41" s="596"/>
      <c r="G41" s="596"/>
      <c r="H41" s="596"/>
      <c r="I41" s="596"/>
      <c r="J41" s="596"/>
      <c r="K41" s="596"/>
      <c r="L41" s="596"/>
      <c r="M41" s="596"/>
      <c r="N41" s="596"/>
      <c r="O41" s="597"/>
      <c r="S41" s="295"/>
      <c r="T41" s="298">
        <f t="shared" si="1"/>
        <v>43986</v>
      </c>
      <c r="U41" s="6"/>
      <c r="V41" s="299">
        <v>296183</v>
      </c>
      <c r="W41" s="6"/>
      <c r="X41" s="44">
        <v>0.154</v>
      </c>
      <c r="Y41" s="6"/>
      <c r="Z41" s="300">
        <f t="shared" ref="Z41" si="24">+V40-V41</f>
        <v>1641</v>
      </c>
      <c r="AA41" s="6"/>
      <c r="AB41" s="304"/>
      <c r="AC41" s="297"/>
    </row>
    <row r="42" spans="3:29" ht="15" thickBot="1" x14ac:dyDescent="0.35">
      <c r="D42" s="323"/>
      <c r="E42" s="598" t="s">
        <v>76</v>
      </c>
      <c r="F42" s="598"/>
      <c r="G42" s="598"/>
      <c r="H42" s="598"/>
      <c r="I42" s="306" t="s">
        <v>75</v>
      </c>
      <c r="J42" s="307"/>
      <c r="K42" s="599" t="s">
        <v>37</v>
      </c>
      <c r="L42" s="599"/>
      <c r="M42" s="308"/>
      <c r="N42" s="309" t="s">
        <v>74</v>
      </c>
      <c r="O42" s="324"/>
      <c r="S42" s="295"/>
      <c r="T42" s="298">
        <f t="shared" si="1"/>
        <v>43987</v>
      </c>
      <c r="U42" s="6"/>
      <c r="V42" s="299">
        <v>299564</v>
      </c>
      <c r="W42" s="6"/>
      <c r="X42" s="44">
        <v>0.154</v>
      </c>
      <c r="Y42" s="6"/>
      <c r="Z42" s="300">
        <f t="shared" ref="Z42" si="25">+V41-V42</f>
        <v>-3381</v>
      </c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>
        <v>299553</v>
      </c>
      <c r="W43" s="6"/>
      <c r="X43" s="44">
        <v>0.154</v>
      </c>
      <c r="Y43" s="6"/>
      <c r="Z43" s="300">
        <f t="shared" ref="Z43" si="26">+V42-V43</f>
        <v>11</v>
      </c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>
        <v>301798</v>
      </c>
      <c r="W44" s="6"/>
      <c r="X44" s="44">
        <v>0.152</v>
      </c>
      <c r="Y44" s="6"/>
      <c r="Z44" s="300">
        <f t="shared" ref="Z44" si="27">+V43-V44</f>
        <v>-2245</v>
      </c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>
        <v>301795</v>
      </c>
      <c r="W45" s="6"/>
      <c r="X45" s="44">
        <v>0.15</v>
      </c>
      <c r="Y45" s="6"/>
      <c r="Z45" s="300">
        <f t="shared" ref="Z45" si="28">+V44-V45</f>
        <v>3</v>
      </c>
      <c r="AA45" s="6"/>
      <c r="AB45" s="304"/>
      <c r="AC45" s="297"/>
    </row>
    <row r="46" spans="3:29" x14ac:dyDescent="0.3">
      <c r="D46" s="325"/>
      <c r="E46" s="310"/>
      <c r="F46" s="314" t="s">
        <v>71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>
        <v>300305</v>
      </c>
      <c r="W46" s="6"/>
      <c r="X46" s="44">
        <v>0.14799999999999999</v>
      </c>
      <c r="Y46" s="6"/>
      <c r="Z46" s="300">
        <f t="shared" ref="Z46" si="29">+V45-V46</f>
        <v>1490</v>
      </c>
      <c r="AA46" s="6"/>
      <c r="AB46" s="304"/>
      <c r="AC46" s="297"/>
    </row>
    <row r="47" spans="3:29" x14ac:dyDescent="0.3">
      <c r="D47" s="325"/>
      <c r="E47" s="310" t="s">
        <v>78</v>
      </c>
      <c r="F47" s="312"/>
      <c r="G47" s="312"/>
      <c r="H47" s="312"/>
      <c r="I47" s="384">
        <f>+'Main Table'!AO117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>
        <f>+I$36</f>
        <v>298430</v>
      </c>
      <c r="W47" s="6"/>
      <c r="X47" s="44">
        <f>+L$36</f>
        <v>0.1455718461912936</v>
      </c>
      <c r="Y47" s="6"/>
      <c r="Z47" s="300">
        <f t="shared" ref="Z47" si="30">+V46-V47</f>
        <v>1875</v>
      </c>
      <c r="AA47" s="6"/>
      <c r="AB47" s="304"/>
      <c r="AC47" s="297"/>
    </row>
    <row r="48" spans="3:29" x14ac:dyDescent="0.3">
      <c r="D48" s="564" t="s">
        <v>49</v>
      </c>
      <c r="E48" s="565"/>
      <c r="F48" s="565"/>
      <c r="G48" s="565"/>
      <c r="H48" s="565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/>
      <c r="W48" s="6"/>
      <c r="X48" s="44"/>
      <c r="Y48" s="6"/>
      <c r="Z48" s="300"/>
      <c r="AA48" s="6"/>
      <c r="AB48" s="304"/>
      <c r="AC48" s="297"/>
    </row>
    <row r="49" spans="4:29" x14ac:dyDescent="0.3">
      <c r="D49" s="325"/>
      <c r="E49" s="310" t="s">
        <v>72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/>
      <c r="W49" s="6"/>
      <c r="X49" s="44"/>
      <c r="Y49" s="6"/>
      <c r="Z49" s="300"/>
      <c r="AA49" s="6"/>
      <c r="AB49" s="304"/>
      <c r="AC49" s="297"/>
    </row>
    <row r="50" spans="4:29" ht="15" thickBot="1" x14ac:dyDescent="0.35">
      <c r="D50" s="564" t="s">
        <v>46</v>
      </c>
      <c r="E50" s="565"/>
      <c r="F50" s="565"/>
      <c r="G50" s="565"/>
      <c r="H50" s="565"/>
      <c r="I50" s="386">
        <f>+I48+I49</f>
        <v>22172</v>
      </c>
      <c r="J50" s="382"/>
      <c r="K50" s="566">
        <v>30167</v>
      </c>
      <c r="L50" s="566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/>
      <c r="W50" s="6"/>
      <c r="X50" s="44"/>
      <c r="Y50" s="6"/>
      <c r="Z50" s="300"/>
      <c r="AA50" s="6"/>
      <c r="AB50" s="304"/>
      <c r="AC50" s="297"/>
    </row>
    <row r="51" spans="4:29" ht="15.6" thickTop="1" thickBot="1" x14ac:dyDescent="0.35">
      <c r="D51" s="316"/>
      <c r="E51" s="567" t="s">
        <v>70</v>
      </c>
      <c r="F51" s="567"/>
      <c r="G51" s="567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301"/>
      <c r="T51" s="397">
        <f>+T50+1</f>
        <v>43996</v>
      </c>
      <c r="U51" s="292"/>
      <c r="V51" s="398"/>
      <c r="W51" s="292"/>
      <c r="X51" s="302"/>
      <c r="Y51" s="292"/>
      <c r="Z51" s="399"/>
      <c r="AA51" s="292"/>
      <c r="AB51" s="400"/>
      <c r="AC51" s="303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  <c r="Z53" s="482"/>
    </row>
    <row r="54" spans="4:29" ht="16.2" thickBot="1" x14ac:dyDescent="0.35">
      <c r="D54" s="363"/>
      <c r="E54" s="568" t="s">
        <v>129</v>
      </c>
      <c r="F54" s="569"/>
      <c r="G54" s="569"/>
      <c r="H54" s="569"/>
      <c r="I54" s="569"/>
      <c r="J54" s="570"/>
      <c r="K54" s="364"/>
      <c r="L54" s="367" t="s">
        <v>10</v>
      </c>
      <c r="M54" s="366"/>
      <c r="N54" s="110"/>
      <c r="O54" s="110"/>
      <c r="P54" s="61"/>
      <c r="Q54" s="61"/>
    </row>
    <row r="55" spans="4:29" x14ac:dyDescent="0.3">
      <c r="D55" s="325"/>
      <c r="E55" s="357" t="s">
        <v>89</v>
      </c>
      <c r="F55" s="312"/>
      <c r="G55" s="312"/>
      <c r="H55" s="312"/>
      <c r="I55" s="571">
        <f>+K50</f>
        <v>30167</v>
      </c>
      <c r="J55" s="571"/>
      <c r="K55" s="312"/>
      <c r="L55" s="358">
        <f>+I55/$I$55</f>
        <v>1</v>
      </c>
      <c r="M55" s="365"/>
      <c r="N55" s="110"/>
      <c r="O55" s="110"/>
      <c r="P55" s="61"/>
      <c r="Q55" s="61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</row>
    <row r="57" spans="4:29" x14ac:dyDescent="0.3">
      <c r="D57" s="316"/>
      <c r="E57" s="313"/>
      <c r="F57" s="359" t="s">
        <v>114</v>
      </c>
      <c r="G57" s="359"/>
      <c r="H57" s="313"/>
      <c r="I57" s="572">
        <f>+I50</f>
        <v>22172</v>
      </c>
      <c r="J57" s="573"/>
      <c r="K57" s="313"/>
      <c r="L57" s="358">
        <f>+I57/$I$55</f>
        <v>0.73497530414028578</v>
      </c>
      <c r="M57" s="317"/>
      <c r="N57" s="110"/>
      <c r="O57" s="110"/>
      <c r="P57" s="61"/>
      <c r="Q57" s="61"/>
    </row>
    <row r="58" spans="4:29" x14ac:dyDescent="0.3">
      <c r="D58" s="316"/>
      <c r="E58" s="313"/>
      <c r="F58" s="313" t="s">
        <v>90</v>
      </c>
      <c r="G58" s="313"/>
      <c r="H58" s="313"/>
      <c r="I58" s="574">
        <f>+I44</f>
        <v>1836</v>
      </c>
      <c r="J58" s="575"/>
      <c r="K58" s="313"/>
      <c r="L58" s="358">
        <f>+I58/$I$55</f>
        <v>6.0861205953525378E-2</v>
      </c>
      <c r="M58" s="317"/>
      <c r="N58" s="110"/>
      <c r="O58" s="110"/>
      <c r="P58" s="61"/>
      <c r="Q58" s="61"/>
    </row>
    <row r="59" spans="4:29" ht="15" thickBot="1" x14ac:dyDescent="0.35">
      <c r="D59" s="316"/>
      <c r="E59" s="576" t="s">
        <v>115</v>
      </c>
      <c r="F59" s="576"/>
      <c r="G59" s="576"/>
      <c r="H59" s="313"/>
      <c r="I59" s="577">
        <f>+I55-I57-I58</f>
        <v>6159</v>
      </c>
      <c r="J59" s="578"/>
      <c r="K59" s="360"/>
      <c r="L59" s="361">
        <f>+I59/$I$55</f>
        <v>0.20416348990618888</v>
      </c>
      <c r="M59" s="317"/>
      <c r="N59" s="110"/>
      <c r="O59" s="110"/>
      <c r="P59" s="158"/>
      <c r="Q59" s="158"/>
    </row>
    <row r="60" spans="4:29" ht="15" thickTop="1" x14ac:dyDescent="0.3">
      <c r="D60" s="316"/>
      <c r="E60" s="471"/>
      <c r="F60" s="471" t="s">
        <v>130</v>
      </c>
      <c r="G60" s="471"/>
      <c r="H60" s="313"/>
      <c r="I60" s="579">
        <f>+I45</f>
        <v>1397</v>
      </c>
      <c r="J60" s="579"/>
      <c r="K60" s="360"/>
      <c r="L60" s="380"/>
      <c r="M60" s="317"/>
      <c r="N60" s="110"/>
      <c r="O60" s="110"/>
      <c r="P60" s="158"/>
      <c r="Q60" s="158"/>
    </row>
    <row r="61" spans="4:29" ht="15" thickBot="1" x14ac:dyDescent="0.35">
      <c r="D61" s="316"/>
      <c r="E61" s="379"/>
      <c r="F61" s="379" t="s">
        <v>131</v>
      </c>
      <c r="G61" s="379"/>
      <c r="H61" s="313"/>
      <c r="I61" s="577">
        <f>+I59-I60</f>
        <v>4762</v>
      </c>
      <c r="J61" s="577"/>
      <c r="K61" s="360"/>
      <c r="L61" s="361">
        <f>+I61/K50</f>
        <v>0.15785460934133325</v>
      </c>
      <c r="M61" s="317"/>
      <c r="N61" s="110"/>
      <c r="O61" s="110"/>
      <c r="P61" s="61"/>
      <c r="Q61" s="61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68" t="s">
        <v>118</v>
      </c>
      <c r="F64" s="569"/>
      <c r="G64" s="569"/>
      <c r="H64" s="569"/>
      <c r="I64" s="569"/>
      <c r="J64" s="569"/>
      <c r="K64" s="569"/>
      <c r="L64" s="569"/>
      <c r="M64" s="570"/>
      <c r="P64" s="373"/>
      <c r="Q64" s="373"/>
    </row>
    <row r="65" spans="4:18" x14ac:dyDescent="0.3">
      <c r="E65" s="368"/>
      <c r="F65" s="321" t="s">
        <v>110</v>
      </c>
      <c r="G65" s="321"/>
      <c r="H65" s="321"/>
      <c r="I65" s="563">
        <v>11690000</v>
      </c>
      <c r="J65" s="563"/>
      <c r="K65" s="563"/>
      <c r="L65" s="563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111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90" t="s">
        <v>109</v>
      </c>
      <c r="G67" s="590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538" t="s">
        <v>132</v>
      </c>
      <c r="E72" s="539"/>
      <c r="F72" s="539"/>
      <c r="G72" s="539"/>
      <c r="H72" s="539"/>
      <c r="I72" s="539"/>
      <c r="J72" s="539"/>
      <c r="K72" s="539"/>
      <c r="L72" s="539"/>
      <c r="M72" s="539"/>
      <c r="N72" s="539"/>
      <c r="O72" s="540"/>
    </row>
    <row r="73" spans="4:18" ht="15" thickBot="1" x14ac:dyDescent="0.35">
      <c r="D73" s="401"/>
      <c r="E73" s="541" t="s">
        <v>76</v>
      </c>
      <c r="F73" s="541"/>
      <c r="G73" s="541"/>
      <c r="H73" s="541"/>
      <c r="I73" s="402" t="s">
        <v>75</v>
      </c>
      <c r="J73" s="403"/>
      <c r="K73" s="542" t="s">
        <v>37</v>
      </c>
      <c r="L73" s="542"/>
      <c r="M73" s="404"/>
      <c r="N73" s="405" t="s">
        <v>74</v>
      </c>
      <c r="O73" s="406"/>
    </row>
    <row r="74" spans="4:18" x14ac:dyDescent="0.3">
      <c r="D74" s="407"/>
      <c r="E74" s="408" t="s">
        <v>43</v>
      </c>
      <c r="F74" s="409"/>
      <c r="G74" s="408"/>
      <c r="H74" s="408"/>
      <c r="I74" s="410">
        <v>38828</v>
      </c>
      <c r="J74" s="410"/>
      <c r="K74" s="411"/>
      <c r="L74" s="411"/>
      <c r="M74" s="411"/>
      <c r="N74" s="411"/>
      <c r="O74" s="412"/>
    </row>
    <row r="75" spans="4:18" x14ac:dyDescent="0.3">
      <c r="D75" s="407"/>
      <c r="E75" s="408" t="s">
        <v>44</v>
      </c>
      <c r="F75" s="408" t="s">
        <v>4</v>
      </c>
      <c r="G75" s="408"/>
      <c r="H75" s="408"/>
      <c r="I75" s="410">
        <v>2144</v>
      </c>
      <c r="J75" s="410"/>
      <c r="K75" s="411"/>
      <c r="L75" s="411"/>
      <c r="M75" s="411"/>
      <c r="N75" s="411"/>
      <c r="O75" s="412"/>
    </row>
    <row r="76" spans="4:18" x14ac:dyDescent="0.3">
      <c r="D76" s="407"/>
      <c r="E76" s="408"/>
      <c r="F76" s="408" t="s">
        <v>45</v>
      </c>
      <c r="G76" s="408"/>
      <c r="H76" s="408"/>
      <c r="I76" s="413"/>
      <c r="J76" s="410"/>
      <c r="K76" s="411"/>
      <c r="L76" s="410"/>
      <c r="M76" s="411"/>
      <c r="N76" s="414"/>
      <c r="O76" s="412"/>
    </row>
    <row r="77" spans="4:18" x14ac:dyDescent="0.3">
      <c r="D77" s="407"/>
      <c r="E77" s="408"/>
      <c r="F77" s="415" t="s">
        <v>71</v>
      </c>
      <c r="G77" s="415"/>
      <c r="H77" s="415"/>
      <c r="I77" s="410">
        <f>+I74-I75-I76</f>
        <v>36684</v>
      </c>
      <c r="J77" s="410"/>
      <c r="K77" s="411"/>
      <c r="L77" s="411"/>
      <c r="M77" s="411"/>
      <c r="N77" s="411"/>
      <c r="O77" s="412"/>
    </row>
    <row r="78" spans="4:18" x14ac:dyDescent="0.3">
      <c r="D78" s="407"/>
      <c r="E78" s="408" t="s">
        <v>78</v>
      </c>
      <c r="F78" s="16"/>
      <c r="G78" s="16"/>
      <c r="H78" s="16"/>
      <c r="I78" s="413">
        <f>+'Main Table'!AO147</f>
        <v>0</v>
      </c>
      <c r="J78" s="410"/>
      <c r="K78" s="411"/>
      <c r="L78" s="411"/>
      <c r="M78" s="411"/>
      <c r="N78" s="411"/>
      <c r="O78" s="412"/>
    </row>
    <row r="79" spans="4:18" x14ac:dyDescent="0.3">
      <c r="D79" s="543" t="s">
        <v>49</v>
      </c>
      <c r="E79" s="544"/>
      <c r="F79" s="544"/>
      <c r="G79" s="544"/>
      <c r="H79" s="544"/>
      <c r="I79" s="416">
        <f>+I77-I78</f>
        <v>36684</v>
      </c>
      <c r="J79" s="410"/>
      <c r="K79" s="411"/>
      <c r="L79" s="411"/>
      <c r="M79" s="411"/>
      <c r="N79" s="411"/>
      <c r="O79" s="412"/>
    </row>
    <row r="80" spans="4:18" x14ac:dyDescent="0.3">
      <c r="D80" s="407"/>
      <c r="E80" s="408" t="s">
        <v>72</v>
      </c>
      <c r="F80" s="16"/>
      <c r="G80" s="16"/>
      <c r="H80" s="16"/>
      <c r="I80" s="413">
        <f>+I78</f>
        <v>0</v>
      </c>
      <c r="J80" s="410"/>
      <c r="K80" s="411"/>
      <c r="L80" s="411"/>
      <c r="M80" s="411"/>
      <c r="N80" s="411"/>
      <c r="O80" s="412"/>
    </row>
    <row r="81" spans="4:18" ht="15" thickBot="1" x14ac:dyDescent="0.35">
      <c r="D81" s="543" t="s">
        <v>46</v>
      </c>
      <c r="E81" s="544"/>
      <c r="F81" s="544"/>
      <c r="G81" s="544"/>
      <c r="H81" s="544"/>
      <c r="I81" s="417">
        <f>+I79+I80</f>
        <v>36684</v>
      </c>
      <c r="J81" s="410"/>
      <c r="K81" s="546">
        <v>48675</v>
      </c>
      <c r="L81" s="546"/>
      <c r="M81" s="411"/>
      <c r="N81" s="418">
        <f>+K81-I81</f>
        <v>11991</v>
      </c>
      <c r="O81" s="412"/>
      <c r="R81" s="57"/>
    </row>
    <row r="82" spans="4:18" ht="15.6" thickTop="1" thickBot="1" x14ac:dyDescent="0.35">
      <c r="D82" s="419"/>
      <c r="E82" s="545" t="s">
        <v>70</v>
      </c>
      <c r="F82" s="545"/>
      <c r="G82" s="545"/>
      <c r="H82" s="415"/>
      <c r="I82" s="420">
        <f>+I81/K81</f>
        <v>0.75365177195685673</v>
      </c>
      <c r="J82" s="411"/>
      <c r="K82" s="411"/>
      <c r="L82" s="411"/>
      <c r="M82" s="411"/>
      <c r="N82" s="421">
        <f>+N81/K81</f>
        <v>0.2463482280431433</v>
      </c>
      <c r="O82" s="412"/>
    </row>
    <row r="83" spans="4:18" ht="15.6" thickTop="1" thickBot="1" x14ac:dyDescent="0.35">
      <c r="D83" s="422"/>
      <c r="E83" s="423"/>
      <c r="F83" s="423"/>
      <c r="G83" s="423"/>
      <c r="H83" s="423"/>
      <c r="I83" s="424"/>
      <c r="J83" s="425"/>
      <c r="K83" s="426"/>
      <c r="L83" s="426"/>
      <c r="M83" s="426"/>
      <c r="N83" s="426"/>
      <c r="O83" s="427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8"/>
      <c r="E85" s="547" t="s">
        <v>133</v>
      </c>
      <c r="F85" s="548"/>
      <c r="G85" s="548"/>
      <c r="H85" s="548"/>
      <c r="I85" s="548"/>
      <c r="J85" s="549"/>
      <c r="K85" s="429"/>
      <c r="L85" s="441" t="s">
        <v>10</v>
      </c>
      <c r="M85" s="430"/>
      <c r="N85" s="110"/>
      <c r="O85" s="110"/>
    </row>
    <row r="86" spans="4:18" x14ac:dyDescent="0.3">
      <c r="D86" s="407"/>
      <c r="E86" s="431" t="s">
        <v>89</v>
      </c>
      <c r="F86" s="16"/>
      <c r="G86" s="16"/>
      <c r="H86" s="16"/>
      <c r="I86" s="550">
        <f>+K81</f>
        <v>48675</v>
      </c>
      <c r="J86" s="550"/>
      <c r="K86" s="16"/>
      <c r="L86" s="60">
        <f>+I86/$I$86</f>
        <v>1</v>
      </c>
      <c r="M86" s="432"/>
      <c r="N86" s="110"/>
      <c r="O86" s="110"/>
    </row>
    <row r="87" spans="4:18" x14ac:dyDescent="0.3">
      <c r="D87" s="407"/>
      <c r="E87" s="431"/>
      <c r="F87" s="16"/>
      <c r="G87" s="16"/>
      <c r="H87" s="16"/>
      <c r="I87" s="16"/>
      <c r="J87" s="16"/>
      <c r="K87" s="16"/>
      <c r="L87" s="16"/>
      <c r="M87" s="432"/>
      <c r="N87" s="110"/>
      <c r="O87" s="110"/>
    </row>
    <row r="88" spans="4:18" x14ac:dyDescent="0.3">
      <c r="D88" s="419"/>
      <c r="E88" s="15"/>
      <c r="F88" s="433" t="s">
        <v>114</v>
      </c>
      <c r="G88" s="433"/>
      <c r="H88" s="15"/>
      <c r="I88" s="551">
        <f>+I81</f>
        <v>36684</v>
      </c>
      <c r="J88" s="552"/>
      <c r="K88" s="15"/>
      <c r="L88" s="60">
        <f>+I88/$I$86</f>
        <v>0.75365177195685673</v>
      </c>
      <c r="M88" s="412"/>
      <c r="N88" s="110"/>
      <c r="O88" s="110"/>
    </row>
    <row r="89" spans="4:18" x14ac:dyDescent="0.3">
      <c r="D89" s="419"/>
      <c r="E89" s="15"/>
      <c r="F89" s="15" t="s">
        <v>90</v>
      </c>
      <c r="G89" s="15"/>
      <c r="H89" s="15"/>
      <c r="I89" s="553">
        <f>+I75</f>
        <v>2144</v>
      </c>
      <c r="J89" s="554"/>
      <c r="K89" s="15"/>
      <c r="L89" s="60">
        <f>+I89/$I$86</f>
        <v>4.4047252182845401E-2</v>
      </c>
      <c r="M89" s="412"/>
      <c r="N89" s="110"/>
      <c r="O89" s="110"/>
    </row>
    <row r="90" spans="4:18" ht="15" thickBot="1" x14ac:dyDescent="0.35">
      <c r="D90" s="419"/>
      <c r="E90" s="556" t="s">
        <v>115</v>
      </c>
      <c r="F90" s="556"/>
      <c r="G90" s="556"/>
      <c r="H90" s="15"/>
      <c r="I90" s="557">
        <f>+I86-I88-I89</f>
        <v>9847</v>
      </c>
      <c r="J90" s="558"/>
      <c r="K90" s="434"/>
      <c r="L90" s="435">
        <f>+I90/$I$86</f>
        <v>0.20230097586029788</v>
      </c>
      <c r="M90" s="412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9"/>
      <c r="E91" s="436"/>
      <c r="F91" s="436"/>
      <c r="G91" s="436"/>
      <c r="H91" s="15"/>
      <c r="I91" s="437"/>
      <c r="J91" s="436"/>
      <c r="K91" s="434"/>
      <c r="L91" s="438"/>
      <c r="M91" s="412"/>
      <c r="N91" s="110"/>
      <c r="O91" s="110"/>
    </row>
    <row r="92" spans="4:18" ht="15" thickBot="1" x14ac:dyDescent="0.35">
      <c r="D92" s="439"/>
      <c r="E92" s="440"/>
      <c r="F92" s="440"/>
      <c r="G92" s="440"/>
      <c r="H92" s="440"/>
      <c r="I92" s="440"/>
      <c r="J92" s="440"/>
      <c r="K92" s="440"/>
      <c r="L92" s="440"/>
      <c r="M92" s="427"/>
      <c r="N92" s="110"/>
      <c r="O92" s="110"/>
    </row>
    <row r="93" spans="4:18" ht="15" thickBot="1" x14ac:dyDescent="0.35"/>
    <row r="94" spans="4:18" ht="15" thickBot="1" x14ac:dyDescent="0.35">
      <c r="E94" s="559" t="s">
        <v>120</v>
      </c>
      <c r="F94" s="560"/>
      <c r="G94" s="560"/>
      <c r="H94" s="560"/>
      <c r="I94" s="560"/>
      <c r="J94" s="560"/>
      <c r="K94" s="560"/>
      <c r="L94" s="560"/>
      <c r="M94" s="561"/>
    </row>
    <row r="95" spans="4:18" x14ac:dyDescent="0.3">
      <c r="E95" s="442"/>
      <c r="F95" s="443" t="s">
        <v>121</v>
      </c>
      <c r="G95" s="443"/>
      <c r="H95" s="443"/>
      <c r="I95" s="562">
        <v>21477737</v>
      </c>
      <c r="J95" s="562"/>
      <c r="K95" s="562"/>
      <c r="L95" s="562"/>
      <c r="M95" s="444"/>
    </row>
    <row r="96" spans="4:18" x14ac:dyDescent="0.3">
      <c r="E96" s="442"/>
      <c r="F96" s="443" t="s">
        <v>111</v>
      </c>
      <c r="G96" s="443"/>
      <c r="H96" s="443"/>
      <c r="I96" s="443"/>
      <c r="J96" s="443"/>
      <c r="K96" s="443"/>
      <c r="L96" s="445">
        <f>+I90/I95</f>
        <v>4.5847474526762295E-4</v>
      </c>
      <c r="M96" s="444"/>
    </row>
    <row r="97" spans="5:13" x14ac:dyDescent="0.3">
      <c r="E97" s="442"/>
      <c r="F97" s="555" t="s">
        <v>109</v>
      </c>
      <c r="G97" s="555"/>
      <c r="H97" s="443"/>
      <c r="I97" s="443"/>
      <c r="J97" s="443"/>
      <c r="K97" s="443"/>
      <c r="L97" s="446">
        <f>+I90/(I95/100000)</f>
        <v>45.847474526762298</v>
      </c>
      <c r="M97" s="444"/>
    </row>
    <row r="98" spans="5:13" x14ac:dyDescent="0.3">
      <c r="E98" s="442"/>
      <c r="F98" s="447"/>
      <c r="G98" s="447"/>
      <c r="H98" s="443"/>
      <c r="I98" s="443"/>
      <c r="J98" s="443"/>
      <c r="K98" s="443"/>
      <c r="L98" s="446"/>
      <c r="M98" s="444"/>
    </row>
    <row r="99" spans="5:13" x14ac:dyDescent="0.3">
      <c r="E99" s="442"/>
      <c r="F99" s="447" t="s">
        <v>122</v>
      </c>
      <c r="G99" s="447"/>
      <c r="H99" s="555" t="s">
        <v>123</v>
      </c>
      <c r="I99" s="555"/>
      <c r="J99" s="443"/>
      <c r="K99" s="443"/>
      <c r="L99" s="446"/>
      <c r="M99" s="444"/>
    </row>
    <row r="100" spans="5:13" ht="15" thickBot="1" x14ac:dyDescent="0.35">
      <c r="E100" s="448"/>
      <c r="F100" s="449"/>
      <c r="G100" s="449"/>
      <c r="H100" s="449"/>
      <c r="I100" s="449"/>
      <c r="J100" s="449"/>
      <c r="K100" s="449"/>
      <c r="L100" s="449"/>
      <c r="M100" s="450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03" t="s">
        <v>5</v>
      </c>
      <c r="C1" s="503"/>
      <c r="D1" s="503"/>
    </row>
    <row r="2" spans="2:31" ht="15.6" x14ac:dyDescent="0.3">
      <c r="B2" s="503" t="s">
        <v>6</v>
      </c>
      <c r="C2" s="503"/>
      <c r="D2" s="503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84</v>
      </c>
      <c r="F5" s="259" t="s">
        <v>85</v>
      </c>
    </row>
    <row r="6" spans="2:31" ht="15.6" x14ac:dyDescent="0.3">
      <c r="B6" s="169"/>
      <c r="C6" s="169"/>
      <c r="D6" s="168"/>
      <c r="F6" t="s">
        <v>88</v>
      </c>
    </row>
    <row r="7" spans="2:31" ht="15.6" x14ac:dyDescent="0.3">
      <c r="B7" s="169"/>
      <c r="C7" s="169"/>
      <c r="D7" s="168"/>
      <c r="F7" s="259" t="s">
        <v>87</v>
      </c>
    </row>
    <row r="8" spans="2:31" ht="15.6" x14ac:dyDescent="0.3">
      <c r="B8" s="169"/>
      <c r="C8" s="169"/>
      <c r="D8" s="168"/>
      <c r="F8" s="259" t="s">
        <v>86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1" t="s">
        <v>23</v>
      </c>
      <c r="E12" s="612"/>
      <c r="F12" s="612"/>
      <c r="G12" s="612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3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Table'!J100</f>
        <v>1.0275965761893475E-2</v>
      </c>
      <c r="U14" s="231"/>
      <c r="V14" s="1"/>
      <c r="X14" s="235"/>
      <c r="Y14" s="610" t="s">
        <v>62</v>
      </c>
      <c r="Z14" s="610"/>
      <c r="AA14" s="610"/>
      <c r="AB14" s="610"/>
      <c r="AC14" s="610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86312.927134867365</v>
      </c>
      <c r="Q15" s="81"/>
      <c r="R15" s="81"/>
      <c r="S15" s="81"/>
      <c r="T15" s="82">
        <f t="shared" ref="T15:T59" si="5">+T14</f>
        <v>1.0275965761893475E-2</v>
      </c>
      <c r="U15" s="231"/>
      <c r="V15" s="1"/>
      <c r="X15" s="237"/>
      <c r="Y15" s="238" t="s">
        <v>63</v>
      </c>
      <c r="Z15" s="239"/>
      <c r="AA15" s="238" t="s">
        <v>64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87199.875818914064</v>
      </c>
      <c r="Q16" s="81"/>
      <c r="R16" s="81"/>
      <c r="S16" s="81"/>
      <c r="T16" s="82">
        <f t="shared" si="5"/>
        <v>1.0275965761893475E-2</v>
      </c>
      <c r="U16" s="231"/>
      <c r="V16" s="1"/>
      <c r="X16" s="237"/>
      <c r="Y16" s="243" t="s">
        <v>59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88095.938757270575</v>
      </c>
      <c r="Q17" s="81"/>
      <c r="R17" s="81"/>
      <c r="S17" s="81"/>
      <c r="T17" s="82">
        <f t="shared" si="5"/>
        <v>1.0275965761893475E-2</v>
      </c>
      <c r="U17" s="231"/>
      <c r="V17" s="1"/>
      <c r="X17" s="237"/>
      <c r="Y17" s="246" t="s">
        <v>61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89001.209607702142</v>
      </c>
      <c r="Q18" s="81"/>
      <c r="R18" s="81"/>
      <c r="S18" s="81"/>
      <c r="T18" s="82">
        <f t="shared" si="5"/>
        <v>1.0275965761893475E-2</v>
      </c>
      <c r="U18" s="231"/>
      <c r="V18" s="1"/>
      <c r="X18" s="237"/>
      <c r="Y18" s="248" t="s">
        <v>65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89915.782990397987</v>
      </c>
      <c r="Q19" s="81"/>
      <c r="R19" s="81"/>
      <c r="S19" s="81"/>
      <c r="T19" s="82">
        <f t="shared" si="5"/>
        <v>1.0275965761893475E-2</v>
      </c>
      <c r="U19" s="231"/>
      <c r="V19" s="1"/>
      <c r="X19" s="249"/>
      <c r="Y19" s="250" t="s">
        <v>66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90839.754497861155</v>
      </c>
      <c r="Q20" s="81"/>
      <c r="R20" s="81"/>
      <c r="S20" s="81"/>
      <c r="T20" s="82">
        <f t="shared" si="5"/>
        <v>1.0275965761893475E-2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91773.22070489997</v>
      </c>
      <c r="Q21" s="81"/>
      <c r="R21" s="81"/>
      <c r="S21" s="81"/>
      <c r="T21" s="82">
        <f t="shared" si="5"/>
        <v>1.0275965761893475E-2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92716.279178722209</v>
      </c>
      <c r="Q22" s="81"/>
      <c r="R22" s="81"/>
      <c r="S22" s="81"/>
      <c r="T22" s="82">
        <f t="shared" si="5"/>
        <v>1.0275965761893475E-2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93669.028489132907</v>
      </c>
      <c r="Q23" s="81"/>
      <c r="R23" s="81"/>
      <c r="S23" s="81"/>
      <c r="T23" s="82">
        <f t="shared" si="5"/>
        <v>1.0275965761893475E-2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94631.568218837056</v>
      </c>
      <c r="Q24" s="81"/>
      <c r="R24" s="81"/>
      <c r="S24" s="81"/>
      <c r="T24" s="82">
        <f t="shared" si="5"/>
        <v>1.0275965761893475E-2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95603.998973848109</v>
      </c>
      <c r="Q25" s="81"/>
      <c r="R25" s="81"/>
      <c r="S25" s="81"/>
      <c r="T25" s="82">
        <f t="shared" si="5"/>
        <v>1.0275965761893475E-2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96586.422394003457</v>
      </c>
      <c r="Q26" s="81"/>
      <c r="R26" s="81"/>
      <c r="S26" s="81"/>
      <c r="T26" s="82">
        <f t="shared" si="5"/>
        <v>1.0275965761893475E-2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97578.94116358801</v>
      </c>
      <c r="Q27" s="81"/>
      <c r="R27" s="81"/>
      <c r="S27" s="81"/>
      <c r="T27" s="82">
        <f t="shared" si="5"/>
        <v>1.0275965761893475E-2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98581.659022066844</v>
      </c>
      <c r="Q28" s="81"/>
      <c r="R28" s="81"/>
      <c r="S28" s="81"/>
      <c r="T28" s="82">
        <f t="shared" si="5"/>
        <v>1.0275965761893475E-2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99594.680774928245</v>
      </c>
      <c r="Q29" s="81"/>
      <c r="R29" s="81"/>
      <c r="S29" s="81"/>
      <c r="T29" s="82">
        <f t="shared" si="5"/>
        <v>1.0275965761893475E-2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100618.11230463811</v>
      </c>
      <c r="Q30" s="81"/>
      <c r="R30" s="81"/>
      <c r="S30" s="81"/>
      <c r="T30" s="82">
        <f t="shared" si="5"/>
        <v>1.0275965761893475E-2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101652.06058170692</v>
      </c>
      <c r="Q31" s="81"/>
      <c r="R31" s="81"/>
      <c r="S31" s="81"/>
      <c r="T31" s="82">
        <f t="shared" si="5"/>
        <v>1.0275965761893475E-2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102696.63367587044</v>
      </c>
      <c r="Q32" s="81"/>
      <c r="R32" s="81"/>
      <c r="S32" s="81"/>
      <c r="T32" s="82">
        <f t="shared" si="5"/>
        <v>1.0275965761893475E-2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103751.9407673854</v>
      </c>
      <c r="Q33" s="81"/>
      <c r="R33" s="81"/>
      <c r="S33" s="81"/>
      <c r="T33" s="82">
        <f t="shared" si="5"/>
        <v>1.0275965761893475E-2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104818.09215844104</v>
      </c>
      <c r="Q34" s="81"/>
      <c r="R34" s="81"/>
      <c r="S34" s="81"/>
      <c r="T34" s="82">
        <f t="shared" si="5"/>
        <v>1.0275965761893475E-2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105895.19928468816</v>
      </c>
      <c r="Q35" s="81"/>
      <c r="R35" s="81"/>
      <c r="S35" s="81"/>
      <c r="T35" s="82">
        <f t="shared" si="5"/>
        <v>1.0275965761893475E-2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106983.3747268865</v>
      </c>
      <c r="Q36" s="81"/>
      <c r="R36" s="81"/>
      <c r="S36" s="81"/>
      <c r="T36" s="82">
        <f t="shared" si="5"/>
        <v>1.0275965761893475E-2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108082.7322226718</v>
      </c>
      <c r="Q37" s="81"/>
      <c r="R37" s="81"/>
      <c r="S37" s="81"/>
      <c r="T37" s="82">
        <f t="shared" si="5"/>
        <v>1.0275965761893475E-2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109193.38667844386</v>
      </c>
      <c r="Q38" s="81"/>
      <c r="R38" s="81"/>
      <c r="S38" s="81"/>
      <c r="T38" s="82">
        <f t="shared" si="5"/>
        <v>1.0275965761893475E-2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110315.45418137673</v>
      </c>
      <c r="Q39" s="81"/>
      <c r="R39" s="81"/>
      <c r="S39" s="81"/>
      <c r="T39" s="82">
        <f t="shared" si="5"/>
        <v>1.0275965761893475E-2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111449.05201155227</v>
      </c>
      <c r="Q40" s="81"/>
      <c r="R40" s="81"/>
      <c r="S40" s="81"/>
      <c r="T40" s="82">
        <f t="shared" si="5"/>
        <v>1.0275965761893475E-2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112594.29865421845</v>
      </c>
      <c r="Q41" s="81"/>
      <c r="R41" s="81"/>
      <c r="S41" s="81"/>
      <c r="T41" s="82">
        <f t="shared" si="5"/>
        <v>1.0275965761893475E-2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113751.3138121736</v>
      </c>
      <c r="Q42" s="81"/>
      <c r="R42" s="81"/>
      <c r="S42" s="81"/>
      <c r="T42" s="82">
        <f t="shared" si="5"/>
        <v>1.0275965761893475E-2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114920.21841827789</v>
      </c>
      <c r="Q43" s="81"/>
      <c r="R43" s="81"/>
      <c r="S43" s="81"/>
      <c r="T43" s="82">
        <f t="shared" si="5"/>
        <v>1.0275965761893475E-2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116101.13464809342</v>
      </c>
      <c r="Q44" s="81"/>
      <c r="R44" s="81"/>
      <c r="S44" s="81"/>
      <c r="T44" s="82">
        <f t="shared" si="5"/>
        <v>1.0275965761893475E-2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117294.1859326542</v>
      </c>
      <c r="Q45" s="81"/>
      <c r="R45" s="81"/>
      <c r="S45" s="81"/>
      <c r="T45" s="82">
        <f t="shared" si="5"/>
        <v>1.0275965761893475E-2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118499.49697136732</v>
      </c>
      <c r="Q46" s="81"/>
      <c r="R46" s="81"/>
      <c r="S46" s="81"/>
      <c r="T46" s="82">
        <f t="shared" si="5"/>
        <v>1.0275965761893475E-2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119717.19374504668</v>
      </c>
      <c r="Q47" s="81"/>
      <c r="R47" s="81"/>
      <c r="S47" s="81"/>
      <c r="T47" s="82">
        <f t="shared" si="5"/>
        <v>1.0275965761893475E-2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120947.40352908074</v>
      </c>
      <c r="Q48" s="81"/>
      <c r="R48" s="81"/>
      <c r="S48" s="81"/>
      <c r="T48" s="82">
        <f t="shared" si="5"/>
        <v>1.0275965761893475E-2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122190.25490673547</v>
      </c>
      <c r="Q49" s="81"/>
      <c r="R49" s="81"/>
      <c r="S49" s="81"/>
      <c r="T49" s="82">
        <f t="shared" si="5"/>
        <v>1.0275965761893475E-2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123445.87778259411</v>
      </c>
      <c r="Q50" s="81"/>
      <c r="R50" s="81"/>
      <c r="S50" s="81"/>
      <c r="T50" s="82">
        <f t="shared" si="5"/>
        <v>1.0275965761893475E-2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124714.40339613492</v>
      </c>
      <c r="Q51" s="81"/>
      <c r="R51" s="81"/>
      <c r="S51" s="81"/>
      <c r="T51" s="82">
        <f t="shared" si="5"/>
        <v>1.0275965761893475E-2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125995.96433544856</v>
      </c>
      <c r="Q52" s="81"/>
      <c r="R52" s="81"/>
      <c r="S52" s="81"/>
      <c r="T52" s="82">
        <f t="shared" si="5"/>
        <v>1.0275965761893475E-2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127290.69455109637</v>
      </c>
      <c r="Q53" s="81"/>
      <c r="R53" s="81"/>
      <c r="S53" s="81"/>
      <c r="T53" s="82">
        <f t="shared" si="5"/>
        <v>1.0275965761893475E-2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128598.72937011106</v>
      </c>
      <c r="Q54" s="81"/>
      <c r="R54" s="81"/>
      <c r="S54" s="81"/>
      <c r="T54" s="82">
        <f t="shared" si="5"/>
        <v>1.0275965761893475E-2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129920.20551014131</v>
      </c>
      <c r="Q55" s="81"/>
      <c r="R55" s="81"/>
      <c r="S55" s="81"/>
      <c r="T55" s="82">
        <f t="shared" si="5"/>
        <v>1.0275965761893475E-2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131255.26109374169</v>
      </c>
      <c r="Q56" s="81"/>
      <c r="R56" s="81"/>
      <c r="S56" s="81"/>
      <c r="T56" s="82">
        <f t="shared" si="5"/>
        <v>1.0275965761893475E-2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132604.03566280936</v>
      </c>
      <c r="Q57" s="81"/>
      <c r="R57" s="81"/>
      <c r="S57" s="81"/>
      <c r="T57" s="82">
        <f t="shared" si="5"/>
        <v>1.0275965761893475E-2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133966.67019316927</v>
      </c>
      <c r="Q58" s="81"/>
      <c r="R58" s="81"/>
      <c r="S58" s="81"/>
      <c r="T58" s="82">
        <f t="shared" si="5"/>
        <v>1.0275965761893475E-2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135343.30710930913</v>
      </c>
      <c r="Q59" s="81"/>
      <c r="R59" s="81"/>
      <c r="S59" s="81"/>
      <c r="T59" s="82">
        <f t="shared" si="5"/>
        <v>1.0275965761893475E-2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2020-06-11T01:13:02Z</dcterms:modified>
</cp:coreProperties>
</file>