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4E48B5A4-0656-4792-992B-CF38FCD585F8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3" l="1"/>
  <c r="BK101" i="1"/>
  <c r="BI101" i="1"/>
  <c r="BH101" i="1"/>
  <c r="BA101" i="1"/>
  <c r="AT101" i="1"/>
  <c r="AS101" i="1"/>
  <c r="AR101" i="1"/>
  <c r="AL101" i="1"/>
  <c r="AK101" i="1"/>
  <c r="AJ101" i="1"/>
  <c r="AC101" i="1"/>
  <c r="V101" i="1"/>
  <c r="U101" i="1"/>
  <c r="T101" i="1"/>
  <c r="N101" i="1"/>
  <c r="M101" i="1"/>
  <c r="L101" i="1"/>
  <c r="BO100" i="1"/>
  <c r="BO101" i="1" s="1"/>
  <c r="BN100" i="1"/>
  <c r="BN101" i="1" s="1"/>
  <c r="BK100" i="1"/>
  <c r="BI100" i="1"/>
  <c r="BH100" i="1"/>
  <c r="BG100" i="1"/>
  <c r="BG101" i="1" s="1"/>
  <c r="BE100" i="1"/>
  <c r="BE101" i="1" s="1"/>
  <c r="BD100" i="1"/>
  <c r="BD101" i="1" s="1"/>
  <c r="BC100" i="1"/>
  <c r="BC101" i="1" s="1"/>
  <c r="BB100" i="1"/>
  <c r="BB101" i="1" s="1"/>
  <c r="BA100" i="1"/>
  <c r="AY100" i="1"/>
  <c r="AY101" i="1" s="1"/>
  <c r="AX100" i="1"/>
  <c r="AX101" i="1" s="1"/>
  <c r="AW100" i="1"/>
  <c r="AW101" i="1" s="1"/>
  <c r="AV100" i="1"/>
  <c r="AV101" i="1" s="1"/>
  <c r="AU100" i="1"/>
  <c r="AU101" i="1" s="1"/>
  <c r="AT100" i="1"/>
  <c r="AS100" i="1"/>
  <c r="AR100" i="1"/>
  <c r="AQ100" i="1"/>
  <c r="AQ101" i="1" s="1"/>
  <c r="AP100" i="1"/>
  <c r="AP101" i="1" s="1"/>
  <c r="AO100" i="1"/>
  <c r="AO101" i="1" s="1"/>
  <c r="AN100" i="1"/>
  <c r="AN101" i="1" s="1"/>
  <c r="AM100" i="1"/>
  <c r="AM101" i="1" s="1"/>
  <c r="AL100" i="1"/>
  <c r="AK100" i="1"/>
  <c r="AJ100" i="1"/>
  <c r="AI100" i="1"/>
  <c r="AI101" i="1" s="1"/>
  <c r="AG100" i="1"/>
  <c r="AG101" i="1" s="1"/>
  <c r="AE100" i="1"/>
  <c r="AE101" i="1" s="1"/>
  <c r="AC100" i="1"/>
  <c r="AA100" i="1"/>
  <c r="AA101" i="1" s="1"/>
  <c r="Y100" i="1"/>
  <c r="Y101" i="1" s="1"/>
  <c r="X100" i="1"/>
  <c r="X101" i="1" s="1"/>
  <c r="W100" i="1"/>
  <c r="W101" i="1" s="1"/>
  <c r="V100" i="1"/>
  <c r="U100" i="1"/>
  <c r="T100" i="1"/>
  <c r="S100" i="1"/>
  <c r="S101" i="1" s="1"/>
  <c r="R100" i="1"/>
  <c r="R101" i="1" s="1"/>
  <c r="Q100" i="1"/>
  <c r="Q101" i="1" s="1"/>
  <c r="P100" i="1"/>
  <c r="P101" i="1" s="1"/>
  <c r="O100" i="1"/>
  <c r="O101" i="1" s="1"/>
  <c r="N100" i="1"/>
  <c r="M100" i="1"/>
  <c r="L100" i="1"/>
  <c r="K100" i="1"/>
  <c r="K101" i="1" s="1"/>
  <c r="J100" i="1"/>
  <c r="J101" i="1" s="1"/>
  <c r="I100" i="1"/>
  <c r="I101" i="1" s="1"/>
  <c r="H100" i="1"/>
  <c r="H101" i="1" s="1"/>
  <c r="D101" i="1"/>
  <c r="D100" i="1"/>
  <c r="S94" i="2" l="1"/>
  <c r="H35" i="1" l="1"/>
  <c r="Z35" i="1"/>
  <c r="BM93" i="1"/>
  <c r="BM100" i="1" s="1"/>
  <c r="BM101" i="1" s="1"/>
  <c r="BD93" i="1"/>
  <c r="AZ93" i="1"/>
  <c r="AW93" i="1"/>
  <c r="AK93" i="1"/>
  <c r="AQ93" i="1" s="1"/>
  <c r="AF93" i="1"/>
  <c r="P93" i="1"/>
  <c r="S99" i="2"/>
  <c r="R99" i="2"/>
  <c r="P99" i="2"/>
  <c r="O99" i="2"/>
  <c r="N99" i="2"/>
  <c r="L99" i="2"/>
  <c r="J99" i="2"/>
  <c r="I99" i="2"/>
  <c r="H99" i="2"/>
  <c r="G99" i="2"/>
  <c r="E99" i="2"/>
  <c r="K94" i="2"/>
  <c r="Q94" i="2" s="1"/>
  <c r="Q99" i="2" s="1"/>
  <c r="BJ93" i="1" l="1"/>
  <c r="BJ100" i="1" s="1"/>
  <c r="BJ101" i="1" s="1"/>
  <c r="AZ100" i="1"/>
  <c r="AZ101" i="1" s="1"/>
  <c r="AH93" i="1"/>
  <c r="AH100" i="1" s="1"/>
  <c r="AH101" i="1" s="1"/>
  <c r="AF100" i="1"/>
  <c r="AF101" i="1" s="1"/>
  <c r="K99" i="2"/>
  <c r="BF93" i="1"/>
  <c r="BF100" i="1" s="1"/>
  <c r="BF101" i="1" s="1"/>
  <c r="R93" i="1"/>
  <c r="U94" i="2"/>
  <c r="M94" i="2"/>
  <c r="M99" i="2" s="1"/>
  <c r="S93" i="2"/>
  <c r="K93" i="2"/>
  <c r="M93" i="2" s="1"/>
  <c r="BM92" i="1"/>
  <c r="BD92" i="1"/>
  <c r="AZ92" i="1"/>
  <c r="BJ92" i="1" s="1"/>
  <c r="AW92" i="1"/>
  <c r="AK92" i="1"/>
  <c r="AQ92" i="1" s="1"/>
  <c r="AF92" i="1"/>
  <c r="AH92" i="1" s="1"/>
  <c r="P92" i="1"/>
  <c r="BL93" i="1" l="1"/>
  <c r="BL100" i="1" s="1"/>
  <c r="BL101" i="1" s="1"/>
  <c r="Q93" i="2"/>
  <c r="U93" i="2"/>
  <c r="BF92" i="1"/>
  <c r="BL92" i="1"/>
  <c r="R92" i="1"/>
  <c r="S92" i="2" l="1"/>
  <c r="BM91" i="1" l="1"/>
  <c r="BD91" i="1"/>
  <c r="AZ91" i="1"/>
  <c r="BJ91" i="1" s="1"/>
  <c r="AW91" i="1"/>
  <c r="AK91" i="1"/>
  <c r="AQ91" i="1" s="1"/>
  <c r="AF91" i="1"/>
  <c r="P91" i="1"/>
  <c r="BV91" i="1"/>
  <c r="BV92" i="1" s="1"/>
  <c r="BV93" i="1" s="1"/>
  <c r="BV94" i="1" s="1"/>
  <c r="BV95" i="1" s="1"/>
  <c r="BV96" i="1" s="1"/>
  <c r="BV97" i="1" s="1"/>
  <c r="BV98" i="1" s="1"/>
  <c r="B91" i="1"/>
  <c r="B92" i="1" s="1"/>
  <c r="B93" i="1" s="1"/>
  <c r="B94" i="1" s="1"/>
  <c r="B95" i="1" s="1"/>
  <c r="B96" i="1" s="1"/>
  <c r="B97" i="1" s="1"/>
  <c r="B98" i="1" s="1"/>
  <c r="K92" i="2"/>
  <c r="Q92" i="2" s="1"/>
  <c r="AH91" i="1" l="1"/>
  <c r="R91" i="1"/>
  <c r="BL91" i="1"/>
  <c r="BF91" i="1"/>
  <c r="U92" i="2"/>
  <c r="M92" i="2"/>
  <c r="S91" i="2"/>
  <c r="BD90" i="1" l="1"/>
  <c r="AZ90" i="1"/>
  <c r="BJ90" i="1" s="1"/>
  <c r="AK90" i="1"/>
  <c r="AQ90" i="1" s="1"/>
  <c r="AF90" i="1"/>
  <c r="AH90" i="1" s="1"/>
  <c r="P90" i="1"/>
  <c r="R90" i="1" s="1"/>
  <c r="K91" i="2"/>
  <c r="M91" i="2" s="1"/>
  <c r="W91" i="2"/>
  <c r="W92" i="2" s="1"/>
  <c r="W93" i="2" s="1"/>
  <c r="W94" i="2" s="1"/>
  <c r="W95" i="2" s="1"/>
  <c r="W96" i="2" s="1"/>
  <c r="W97" i="2" s="1"/>
  <c r="C91" i="2"/>
  <c r="C92" i="2" s="1"/>
  <c r="C93" i="2" s="1"/>
  <c r="C94" i="2" s="1"/>
  <c r="C95" i="2" s="1"/>
  <c r="C96" i="2" s="1"/>
  <c r="C97" i="2" s="1"/>
  <c r="BL90" i="1" l="1"/>
  <c r="BJ103" i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X89" i="2"/>
  <c r="Y90" i="2" s="1"/>
  <c r="Y96" i="2" s="1"/>
  <c r="Y97" i="2" s="1"/>
  <c r="BJ89" i="1"/>
  <c r="BL89" i="1" s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9" i="1" l="1"/>
  <c r="BD75" i="1"/>
  <c r="AZ75" i="1"/>
  <c r="AK75" i="1"/>
  <c r="AQ75" i="1" s="1"/>
  <c r="K76" i="2"/>
  <c r="M76" i="2" s="1"/>
  <c r="BF75" i="1" l="1"/>
  <c r="U76" i="2"/>
  <c r="Q76" i="2"/>
  <c r="D133" i="1"/>
  <c r="D132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5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3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9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11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49" i="1"/>
  <c r="B152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M90" i="1" l="1"/>
  <c r="AW90" i="1"/>
  <c r="BQ62" i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BQ93" i="1" s="1"/>
  <c r="Z70" i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7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M23" i="2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AD92" i="1"/>
  <c r="N81" i="1"/>
  <c r="H82" i="1"/>
  <c r="J82" i="1"/>
  <c r="AB81" i="1"/>
  <c r="AU81" i="1"/>
  <c r="Z36" i="3"/>
  <c r="Z34" i="3"/>
  <c r="Z35" i="3"/>
  <c r="Z33" i="3"/>
  <c r="AD49" i="2" l="1"/>
  <c r="AD51" i="2" s="1"/>
  <c r="AD53" i="2" s="1"/>
  <c r="AD55" i="2" s="1"/>
  <c r="AD57" i="2" s="1"/>
  <c r="Z100" i="1"/>
  <c r="AD93" i="1"/>
  <c r="AD100" i="1" s="1"/>
  <c r="AD101" i="1" s="1"/>
  <c r="J83" i="1"/>
  <c r="H83" i="1"/>
  <c r="AU82" i="1"/>
  <c r="N82" i="1"/>
  <c r="AB82" i="1"/>
  <c r="Z101" i="1" l="1"/>
  <c r="AJ21" i="2"/>
  <c r="I21" i="3"/>
  <c r="J84" i="1"/>
  <c r="H84" i="1"/>
  <c r="AU83" i="1"/>
  <c r="N83" i="1"/>
  <c r="AB83" i="1"/>
  <c r="I35" i="3" l="1"/>
  <c r="I23" i="3"/>
  <c r="I25" i="3" s="1"/>
  <c r="I27" i="3" s="1"/>
  <c r="AM21" i="2"/>
  <c r="AN24" i="2" s="1"/>
  <c r="AN23" i="2"/>
  <c r="AU84" i="1"/>
  <c r="J85" i="1"/>
  <c r="H85" i="1"/>
  <c r="N84" i="1"/>
  <c r="AB84" i="1"/>
  <c r="AN25" i="2" l="1"/>
  <c r="AN26" i="2" s="1"/>
  <c r="I34" i="3"/>
  <c r="N27" i="3"/>
  <c r="N28" i="3" s="1"/>
  <c r="H86" i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T14" i="7" s="1"/>
  <c r="AU91" i="1"/>
  <c r="AB91" i="1"/>
  <c r="N92" i="1" l="1"/>
  <c r="H93" i="1"/>
  <c r="J93" i="1"/>
  <c r="AB92" i="1"/>
  <c r="AU92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F21" i="2" l="1"/>
  <c r="I32" i="3"/>
  <c r="N93" i="1"/>
  <c r="AU93" i="1"/>
  <c r="AB93" i="1"/>
  <c r="AB100" i="1" s="1"/>
  <c r="AB101" i="1" s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Z46" i="3"/>
  <c r="I36" i="3" l="1"/>
  <c r="V48" i="3" s="1"/>
  <c r="Z48" i="3" s="1"/>
  <c r="L35" i="3"/>
  <c r="I28" i="3"/>
  <c r="L34" i="3"/>
  <c r="L32" i="3"/>
  <c r="Z47" i="3" l="1"/>
  <c r="L36" i="3"/>
  <c r="X48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<sst xmlns="http://schemas.openxmlformats.org/spreadsheetml/2006/main" count="243" uniqueCount="135">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</sst>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38" fontId="0" fillId="0" borderId="0" xfId="0" applyNumberFormat="1"/>
    <xf numFmtId="166" fontId="0" fillId="6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Table'!$AF$25:$AF$89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Table'!$P$26:$P$89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Table'!$BL$39:$BL$89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103</xdr:row>
      <xdr:rowOff>0</xdr:rowOff>
    </xdr:from>
    <xdr:to>
      <xdr:col>53</xdr:col>
      <xdr:colOff>160020</xdr:colOff>
      <xdr:row>103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104</xdr:row>
      <xdr:rowOff>0</xdr:rowOff>
    </xdr:from>
    <xdr:to>
      <xdr:col>53</xdr:col>
      <xdr:colOff>160020</xdr:colOff>
      <xdr:row>104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113</xdr:row>
      <xdr:rowOff>99060</xdr:rowOff>
    </xdr:from>
    <xdr:to>
      <xdr:col>21</xdr:col>
      <xdr:colOff>274320</xdr:colOff>
      <xdr:row>114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113</xdr:row>
      <xdr:rowOff>129540</xdr:rowOff>
    </xdr:from>
    <xdr:to>
      <xdr:col>22</xdr:col>
      <xdr:colOff>38100</xdr:colOff>
      <xdr:row>114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75</xdr:col>
      <xdr:colOff>548640</xdr:colOff>
      <xdr:row>8</xdr:row>
      <xdr:rowOff>68580</xdr:rowOff>
    </xdr:from>
    <xdr:to>
      <xdr:col>85</xdr:col>
      <xdr:colOff>342900</xdr:colOff>
      <xdr:row>26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586740</xdr:colOff>
      <xdr:row>21</xdr:row>
      <xdr:rowOff>137160</xdr:rowOff>
    </xdr:from>
    <xdr:to>
      <xdr:col>88</xdr:col>
      <xdr:colOff>822960</xdr:colOff>
      <xdr:row>39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647700</xdr:colOff>
      <xdr:row>1</xdr:row>
      <xdr:rowOff>137160</xdr:rowOff>
    </xdr:from>
    <xdr:to>
      <xdr:col>88</xdr:col>
      <xdr:colOff>548640</xdr:colOff>
      <xdr:row>19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4EDE8D8-690E-4690-9BDC-50FEB3FB5482}"/>
            </a:ext>
          </a:extLst>
        </xdr:cNvPr>
        <xdr:cNvSpPr/>
      </xdr:nvSpPr>
      <xdr:spPr>
        <a:xfrm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9"/>
  <sheetViews>
    <sheetView tabSelected="1" zoomScaleNormal="100" workbookViewId="0">
      <selection activeCell="BB94" sqref="BB9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4" t="s">
        <v>5</v>
      </c>
      <c r="C1" s="484"/>
      <c r="D1" s="484"/>
    </row>
    <row r="2" spans="2:89" ht="15.6" x14ac:dyDescent="0.3">
      <c r="B2" s="484" t="s">
        <v>6</v>
      </c>
      <c r="C2" s="484"/>
      <c r="D2" s="484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9" t="s">
        <v>13</v>
      </c>
      <c r="C3" s="489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5" t="s">
        <v>11</v>
      </c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11"/>
      <c r="AD4" s="328"/>
      <c r="AE4" s="451"/>
      <c r="AF4" s="451"/>
      <c r="AG4" s="451"/>
      <c r="AH4" s="451"/>
      <c r="AI4" s="12"/>
      <c r="AK4" s="500" t="s">
        <v>14</v>
      </c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90" t="s">
        <v>12</v>
      </c>
      <c r="G6" s="490"/>
      <c r="H6" s="490"/>
      <c r="I6" s="490"/>
      <c r="J6" s="490"/>
      <c r="K6" s="490"/>
      <c r="L6" s="490"/>
      <c r="M6" s="338"/>
      <c r="N6" s="338"/>
      <c r="O6" s="339"/>
      <c r="P6" s="496" t="s">
        <v>125</v>
      </c>
      <c r="Q6" s="490"/>
      <c r="R6" s="490"/>
      <c r="S6" s="490"/>
      <c r="T6" s="497"/>
      <c r="U6" s="3"/>
      <c r="V6" s="8" t="s">
        <v>7</v>
      </c>
      <c r="W6" s="30"/>
      <c r="X6" s="491">
        <v>1.2500000000000001E-2</v>
      </c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2"/>
      <c r="AJ6" s="3"/>
      <c r="AK6" s="507" t="s">
        <v>27</v>
      </c>
      <c r="AL6" s="508"/>
      <c r="AM6" s="508"/>
      <c r="AN6" s="508"/>
      <c r="AO6" s="508"/>
      <c r="AP6" s="508"/>
      <c r="AQ6" s="508"/>
      <c r="AR6" s="508"/>
      <c r="AS6" s="508"/>
      <c r="AT6" s="508"/>
      <c r="AU6" s="508"/>
      <c r="AV6" s="508"/>
      <c r="AW6" s="508"/>
      <c r="AX6" s="509"/>
      <c r="AY6" s="3"/>
      <c r="AZ6" s="510" t="s">
        <v>7</v>
      </c>
      <c r="BA6" s="504"/>
      <c r="BB6" s="504"/>
      <c r="BC6" s="97"/>
      <c r="BD6" s="503" t="s">
        <v>26</v>
      </c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4"/>
      <c r="BR6" s="504"/>
      <c r="BS6" s="504"/>
      <c r="BT6" s="505"/>
      <c r="BU6" s="3"/>
    </row>
    <row r="7" spans="2:89" ht="16.2" x14ac:dyDescent="0.3">
      <c r="D7" s="487" t="s">
        <v>20</v>
      </c>
      <c r="E7" s="488"/>
      <c r="F7" s="488"/>
      <c r="G7" s="488"/>
      <c r="H7" s="488"/>
      <c r="I7" s="488"/>
      <c r="J7" s="488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93" t="s">
        <v>35</v>
      </c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5"/>
      <c r="AJ7" s="3"/>
      <c r="AK7" s="487" t="s">
        <v>77</v>
      </c>
      <c r="AL7" s="488"/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88"/>
      <c r="AX7" s="506"/>
      <c r="AZ7" s="487" t="s">
        <v>25</v>
      </c>
      <c r="BA7" s="488"/>
      <c r="BB7" s="488"/>
      <c r="BC7" s="488"/>
      <c r="BD7" s="488"/>
      <c r="BE7" s="488"/>
      <c r="BF7" s="488"/>
      <c r="BG7" s="488"/>
      <c r="BH7" s="488"/>
      <c r="BI7" s="488"/>
      <c r="BJ7" s="488"/>
      <c r="BK7" s="488"/>
      <c r="BL7" s="488"/>
      <c r="BM7" s="488"/>
      <c r="BN7" s="488"/>
      <c r="BO7" s="488"/>
      <c r="BP7" s="488"/>
      <c r="BQ7" s="488"/>
      <c r="BR7" s="488"/>
      <c r="BS7" s="488"/>
      <c r="BT7" s="506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116</v>
      </c>
      <c r="O8" s="341"/>
      <c r="P8" s="456" t="s">
        <v>1</v>
      </c>
      <c r="Q8" s="331"/>
      <c r="R8" s="53" t="s">
        <v>80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116</v>
      </c>
      <c r="AE8" s="465"/>
      <c r="AF8" s="459" t="s">
        <v>1</v>
      </c>
      <c r="AG8" s="458"/>
      <c r="AH8" s="464" t="s">
        <v>126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116</v>
      </c>
      <c r="AX8" s="350"/>
      <c r="AZ8" s="498" t="s">
        <v>1</v>
      </c>
      <c r="BA8" s="499"/>
      <c r="BB8" s="499"/>
      <c r="BC8" s="64"/>
      <c r="BD8" s="499" t="s">
        <v>24</v>
      </c>
      <c r="BE8" s="499"/>
      <c r="BF8" s="499"/>
      <c r="BG8" s="499"/>
      <c r="BH8" s="511"/>
      <c r="BI8" s="512" t="s">
        <v>125</v>
      </c>
      <c r="BJ8" s="513"/>
      <c r="BK8" s="513"/>
      <c r="BL8" s="514"/>
      <c r="BM8" s="498" t="s">
        <v>24</v>
      </c>
      <c r="BN8" s="499"/>
      <c r="BO8" s="499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127</v>
      </c>
      <c r="BK9" s="64"/>
      <c r="BL9" s="63" t="s">
        <v>10</v>
      </c>
      <c r="BM9" s="467" t="s">
        <v>116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80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48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48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80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80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3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3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6.0713548411313177E-2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7.2716495107041854E-2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8.2235934249004369E-2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8.2723830095560988E-2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8.9765386370240632E-2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9.0253079279531218E-2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8.8836882235200698E-2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9.860540003186842E-2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9.6479668674698801E-2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9.5144551683815609E-2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0.11725233374954344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80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81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0.12088864335077677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0.11831318964813128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0.13416248843888429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0.13486274878652882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0.13636691619148408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0.13700456100239519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0.14075589985921186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80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81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0.14718300769042636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0.14794641286197543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0.15291360239551929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0.1599343764124975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0.16119248120535734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0.16591353251103352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0.16686351720742668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80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81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0.17453080889053099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0.1851560784495013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0.18695263462585945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0.19800270795479258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0.21439430270146262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1474387</v>
      </c>
      <c r="I65" s="16"/>
      <c r="J65" s="38">
        <f t="shared" ref="J65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0.21558858020316241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1501079</v>
      </c>
      <c r="I66" s="16"/>
      <c r="J66" s="38">
        <f t="shared" ref="J66" si="43">+D66/H65</f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0.21733832796275213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80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1524567</v>
      </c>
      <c r="I67" s="16"/>
      <c r="J67" s="38">
        <f t="shared" ref="J67" si="50">+D67/H66</f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81"/>
      <c r="V67" s="34">
        <v>1218</v>
      </c>
      <c r="W67" s="33"/>
      <c r="X67" s="33"/>
      <c r="Y67" s="33"/>
      <c r="Z67" s="33">
        <f t="shared" ref="Z67" si="51">+Z66+V67</f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0.22251039147508769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1544458</v>
      </c>
      <c r="I68" s="16"/>
      <c r="J68" s="38">
        <f t="shared" ref="J68" si="57">+D68/H67</f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0.22427867899288942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1567088</v>
      </c>
      <c r="I69" s="16"/>
      <c r="J69" s="38">
        <f t="shared" ref="J69" si="70">+D69/H68</f>
        <v>1.4652389381906144E-2</v>
      </c>
      <c r="K69" s="16"/>
      <c r="L69" s="16"/>
      <c r="M69" s="16"/>
      <c r="N69" s="16">
        <f t="shared" ref="N69" si="71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92054</v>
      </c>
      <c r="AA69" s="33"/>
      <c r="AB69" s="46">
        <f t="shared" ref="AB69" si="73">+Z69/H69</f>
        <v>5.8742074471886709E-2</v>
      </c>
      <c r="AC69" s="33"/>
      <c r="AD69" s="33">
        <f t="shared" ref="AD69" si="74">+Z69/BV69</f>
        <v>1534.2333333333333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0.22741734988717927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1587377</v>
      </c>
      <c r="I70" s="16"/>
      <c r="J70" s="38">
        <f t="shared" ref="J70" si="86">+D70/H69</f>
        <v>1.2946943630478953E-2</v>
      </c>
      <c r="K70" s="16"/>
      <c r="L70" s="16"/>
      <c r="M70" s="16"/>
      <c r="N70" s="16">
        <f t="shared" ref="N70" si="87">+H70/BV70</f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93606</v>
      </c>
      <c r="AA70" s="33"/>
      <c r="AB70" s="46">
        <f t="shared" ref="AB70" si="89">+Z70/H70</f>
        <v>5.8968978383836981E-2</v>
      </c>
      <c r="AC70" s="33"/>
      <c r="AD70" s="33">
        <f t="shared" ref="AD70" si="90">+Z70/BV70</f>
        <v>1534.5245901639344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0.2275325899266526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1609517</v>
      </c>
      <c r="I71" s="16"/>
      <c r="J71" s="38">
        <f t="shared" ref="J71" si="102">+D71/H70</f>
        <v>1.3947537352500382E-2</v>
      </c>
      <c r="K71" s="16"/>
      <c r="L71" s="16"/>
      <c r="M71" s="16"/>
      <c r="N71" s="16">
        <f t="shared" ref="N71" si="103">+H71/BV71</f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95009</v>
      </c>
      <c r="AA71" s="33"/>
      <c r="AB71" s="46">
        <f t="shared" ref="AB71" si="105">+Z71/H71</f>
        <v>5.9029510095264602E-2</v>
      </c>
      <c r="AC71" s="33"/>
      <c r="AD71" s="33">
        <f t="shared" ref="AD71" si="106">+Z71/BV71</f>
        <v>1532.4032258064517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0.22992984851977333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1637692</v>
      </c>
      <c r="I72" s="16"/>
      <c r="J72" s="38">
        <f t="shared" ref="J72" si="118">+D72/H71</f>
        <v>1.7505251575472641E-2</v>
      </c>
      <c r="K72" s="16"/>
      <c r="L72" s="16"/>
      <c r="M72" s="16"/>
      <c r="N72" s="16">
        <f t="shared" ref="N72" si="119">+H72/BV72</f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96427</v>
      </c>
      <c r="AA72" s="33"/>
      <c r="AB72" s="46">
        <f t="shared" ref="AB72" si="121">+Z72/H72</f>
        <v>5.8879813786719359E-2</v>
      </c>
      <c r="AC72" s="33"/>
      <c r="AD72" s="33">
        <f t="shared" ref="AD72" si="122">+Z72/BV72</f>
        <v>1530.5873015873017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0.2333582871504532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1661694</v>
      </c>
      <c r="I73" s="16"/>
      <c r="J73" s="38">
        <f t="shared" ref="J73" si="134">+D73/H72</f>
        <v>1.4655991480693562E-2</v>
      </c>
      <c r="K73" s="16"/>
      <c r="L73" s="16"/>
      <c r="M73" s="16"/>
      <c r="N73" s="16">
        <f t="shared" ref="N73" si="135">+H73/BV73</f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97720</v>
      </c>
      <c r="AA73" s="33"/>
      <c r="AB73" s="46">
        <f t="shared" ref="AB73" si="137">+Z73/H73</f>
        <v>5.8807457931484376E-2</v>
      </c>
      <c r="AC73" s="33"/>
      <c r="AD73" s="33">
        <f t="shared" ref="AD73" si="138">+Z73/BV73</f>
        <v>1526.875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0.26093673083010471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9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1683622</v>
      </c>
      <c r="I74" s="16"/>
      <c r="J74" s="38">
        <f t="shared" ref="J74" si="150">+D74/H73</f>
        <v>1.31961720990748E-2</v>
      </c>
      <c r="K74" s="16"/>
      <c r="L74" s="16"/>
      <c r="M74" s="16"/>
      <c r="N74" s="16">
        <f t="shared" ref="N74" si="151">+H74/BV74</f>
        <v>25901.876923076925</v>
      </c>
      <c r="O74" s="41"/>
      <c r="P74" s="17"/>
      <c r="Q74" s="16"/>
      <c r="R74" s="60"/>
      <c r="S74" s="16"/>
      <c r="T74" s="41"/>
      <c r="U74" s="481"/>
      <c r="V74" s="34">
        <v>1036</v>
      </c>
      <c r="W74" s="33"/>
      <c r="X74" s="33"/>
      <c r="Y74" s="33"/>
      <c r="Z74" s="33">
        <f t="shared" ref="Z74" si="152">+Z73+V74</f>
        <v>98756</v>
      </c>
      <c r="AA74" s="33"/>
      <c r="AB74" s="46">
        <f t="shared" ref="AB74" si="153">+Z74/H74</f>
        <v>5.8656871910678289E-2</v>
      </c>
      <c r="AC74" s="33"/>
      <c r="AD74" s="33">
        <f t="shared" ref="AD74" si="154">+Z74/BV74</f>
        <v>1519.323076923077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0.26544794496626917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1703230</v>
      </c>
      <c r="I75" s="16"/>
      <c r="J75" s="38">
        <f t="shared" ref="J75" si="166">+D75/H74</f>
        <v>1.1646319660826481E-2</v>
      </c>
      <c r="K75" s="16"/>
      <c r="L75" s="16"/>
      <c r="M75" s="16"/>
      <c r="N75" s="16">
        <f t="shared" ref="N75" si="167">+H75/BV75</f>
        <v>25806.515151515152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99373</v>
      </c>
      <c r="AA75" s="33"/>
      <c r="AB75" s="46">
        <f t="shared" ref="AB75" si="171">+Z75/H75</f>
        <v>5.8343852562484221E-2</v>
      </c>
      <c r="AC75" s="33"/>
      <c r="AD75" s="33">
        <f t="shared" ref="AD75" si="172">+Z75/BV75</f>
        <v>1505.6515151515152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0.26520317279521849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1723020</v>
      </c>
      <c r="I76" s="16"/>
      <c r="J76" s="38">
        <f t="shared" ref="J76" si="188">+D76/H75</f>
        <v>1.1619100180245768E-2</v>
      </c>
      <c r="K76" s="16"/>
      <c r="L76" s="16"/>
      <c r="M76" s="16"/>
      <c r="N76" s="16">
        <f t="shared" ref="N76" si="189">+H76/BV76</f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99878</v>
      </c>
      <c r="AA76" s="33"/>
      <c r="AB76" s="46">
        <f t="shared" ref="AB76" si="191">+Z76/H76</f>
        <v>5.7966825689777249E-2</v>
      </c>
      <c r="AC76" s="33"/>
      <c r="AD76" s="33">
        <f t="shared" ref="AD76" si="192">+Z76/BV76</f>
        <v>1490.7164179104477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0.2696834627572518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8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1742051</v>
      </c>
      <c r="I77" s="16"/>
      <c r="J77" s="38">
        <f t="shared" ref="J77" si="205">+D77/H76</f>
        <v>1.1045141669858736E-2</v>
      </c>
      <c r="K77" s="16"/>
      <c r="L77" s="16"/>
      <c r="M77" s="16"/>
      <c r="N77" s="16">
        <f t="shared" ref="N77" si="206">+H77/BV77</f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100652</v>
      </c>
      <c r="AA77" s="33"/>
      <c r="AB77" s="46">
        <f t="shared" ref="AB77" si="208">+Z77/H77</f>
        <v>5.7777872174810035E-2</v>
      </c>
      <c r="AC77" s="33"/>
      <c r="AD77" s="33">
        <f t="shared" ref="AD77" si="209">+Z77/BV77</f>
        <v>1480.1764705882354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0.27551948823541905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8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1762597</v>
      </c>
      <c r="I78" s="16"/>
      <c r="J78" s="38">
        <f t="shared" ref="J78" si="222">+D78/H77</f>
        <v>1.1794143799463966E-2</v>
      </c>
      <c r="K78" s="16"/>
      <c r="L78" s="16"/>
      <c r="M78" s="16"/>
      <c r="N78" s="16">
        <f t="shared" ref="N78" si="223">+H78/BV78</f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102180</v>
      </c>
      <c r="AA78" s="33"/>
      <c r="AB78" s="46">
        <f t="shared" ref="AB78" si="225">+Z78/H78</f>
        <v>5.7971277609118819E-2</v>
      </c>
      <c r="AC78" s="33"/>
      <c r="AD78" s="33">
        <f t="shared" ref="AD78" si="226">+Z78/BV78</f>
        <v>1480.8695652173913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0.27807263940651211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1785255</v>
      </c>
      <c r="I79" s="16"/>
      <c r="J79" s="38">
        <f t="shared" ref="J79:J80" si="238">+D79/H78</f>
        <v>1.2854895361787182E-2</v>
      </c>
      <c r="K79" s="16"/>
      <c r="L79" s="16"/>
      <c r="M79" s="16"/>
      <c r="N79" s="16">
        <f t="shared" ref="N79:N80" si="239">+H79/BV79</f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103403</v>
      </c>
      <c r="AA79" s="33"/>
      <c r="AB79" s="46">
        <f t="shared" ref="AB79" si="241">+Z79/H79</f>
        <v>5.7920577172448751E-2</v>
      </c>
      <c r="AC79" s="33"/>
      <c r="AD79" s="33">
        <f t="shared" ref="AD79" si="242">+Z79/BV79</f>
        <v>1477.1857142857143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0.27935785083923587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1810324</v>
      </c>
      <c r="I80" s="16"/>
      <c r="J80" s="38">
        <f t="shared" si="238"/>
        <v>1.4042251667128785E-2</v>
      </c>
      <c r="K80" s="16"/>
      <c r="L80" s="16"/>
      <c r="M80" s="16"/>
      <c r="N80" s="16">
        <f t="shared" si="239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104615</v>
      </c>
      <c r="AA80" s="33"/>
      <c r="AB80" s="46">
        <f t="shared" ref="AB80" si="254">+Z80/H80</f>
        <v>5.7787998170493238E-2</v>
      </c>
      <c r="AC80" s="33"/>
      <c r="AD80" s="33">
        <f t="shared" ref="AD80" si="255">+Z80/BV80</f>
        <v>1473.4507042253522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0.28700332095249248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74" x14ac:dyDescent="0.3">
      <c r="B81" s="479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1833614</v>
      </c>
      <c r="I81" s="16"/>
      <c r="J81" s="38">
        <f t="shared" ref="J81" si="267">+D81/H80</f>
        <v>1.2865100390869258E-2</v>
      </c>
      <c r="K81" s="16"/>
      <c r="L81" s="16"/>
      <c r="M81" s="16"/>
      <c r="N81" s="16">
        <f t="shared" ref="N81" si="268">+H81/BV81</f>
        <v>25466.861111111109</v>
      </c>
      <c r="O81" s="41"/>
      <c r="P81" s="17"/>
      <c r="Q81" s="16"/>
      <c r="R81" s="60"/>
      <c r="S81" s="16"/>
      <c r="T81" s="41"/>
      <c r="U81" s="481"/>
      <c r="V81" s="34">
        <v>1015</v>
      </c>
      <c r="W81" s="33"/>
      <c r="X81" s="33"/>
      <c r="Y81" s="33"/>
      <c r="Z81" s="33">
        <f t="shared" ref="Z81" si="269">+Z80+V81</f>
        <v>105630</v>
      </c>
      <c r="AA81" s="33"/>
      <c r="AB81" s="46">
        <f t="shared" ref="AB81" si="270">+Z81/H81</f>
        <v>5.7607544445014057E-2</v>
      </c>
      <c r="AC81" s="33"/>
      <c r="AD81" s="33">
        <f t="shared" ref="AD81" si="271">+Z81/BV81</f>
        <v>1467.0833333333333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0.29190331225656002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7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1853964</v>
      </c>
      <c r="I82" s="16"/>
      <c r="J82" s="38">
        <f t="shared" ref="J82" si="283">+D82/H81</f>
        <v>1.1098300951018044E-2</v>
      </c>
      <c r="K82" s="16"/>
      <c r="L82" s="16"/>
      <c r="M82" s="16"/>
      <c r="N82" s="16">
        <f t="shared" ref="N82" si="284">+H82/BV82</f>
        <v>25396.767123287671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106268</v>
      </c>
      <c r="AA82" s="33"/>
      <c r="AB82" s="46">
        <f t="shared" ref="AB82" si="288">+Z82/H82</f>
        <v>5.7319343849179381E-2</v>
      </c>
      <c r="AC82" s="33"/>
      <c r="AD82" s="33">
        <f t="shared" ref="AD82" si="289">+Z82/BV82</f>
        <v>1455.7260273972602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0.32355914138570113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7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1876117</v>
      </c>
      <c r="I83" s="16"/>
      <c r="J83" s="38">
        <f t="shared" ref="J83" si="305">+D83/H82</f>
        <v>1.1948991458302319E-2</v>
      </c>
      <c r="K83" s="16"/>
      <c r="L83" s="16"/>
      <c r="M83" s="16"/>
      <c r="N83" s="16">
        <f t="shared" ref="N83" si="306">+H83/BV83</f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106998</v>
      </c>
      <c r="AA83" s="33"/>
      <c r="AB83" s="46">
        <f t="shared" ref="AB83" si="308">+Z83/H83</f>
        <v>5.7031624360314413E-2</v>
      </c>
      <c r="AC83" s="33"/>
      <c r="AD83" s="33">
        <f t="shared" ref="AD83" si="309">+Z83/BV83</f>
        <v>1445.918918918919</v>
      </c>
      <c r="AE83" s="50"/>
      <c r="AF83" s="33"/>
      <c r="AG83" s="33"/>
      <c r="AH83" s="233"/>
      <c r="AI83" s="50"/>
      <c r="AJ83" s="10"/>
      <c r="AK83" s="23">
        <f t="shared" ref="AK83" si="310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1">+AK83/AO82</f>
        <v>2.5774046580325307E-2</v>
      </c>
      <c r="AR83" s="25"/>
      <c r="AS83" s="25"/>
      <c r="AT83" s="24"/>
      <c r="AU83" s="344">
        <f t="shared" ref="AU83" si="312">+AO83/H83</f>
        <v>0.32797954498573384</v>
      </c>
      <c r="AV83" s="344"/>
      <c r="AW83" s="24">
        <f t="shared" ref="AW83" si="313">+AO83/BV83</f>
        <v>8315.2432432432433</v>
      </c>
      <c r="AX83" s="354"/>
      <c r="AY83" s="10"/>
      <c r="AZ83" s="66">
        <f t="shared" ref="AZ83" si="314">+BB83-BB82</f>
        <v>477486</v>
      </c>
      <c r="BA83" s="67"/>
      <c r="BB83" s="67">
        <v>18150053</v>
      </c>
      <c r="BC83" s="67"/>
      <c r="BD83" s="67">
        <f t="shared" ref="BD83" si="315">+D83</f>
        <v>22153</v>
      </c>
      <c r="BE83" s="67"/>
      <c r="BF83" s="157">
        <f t="shared" ref="BF83" si="316">+BD83/AZ83</f>
        <v>4.6395077552011998E-2</v>
      </c>
      <c r="BG83" s="67"/>
      <c r="BH83" s="185"/>
      <c r="BI83" s="67"/>
      <c r="BJ83" s="67"/>
      <c r="BK83" s="67"/>
      <c r="BL83" s="157"/>
      <c r="BM83" s="66">
        <f t="shared" ref="BM83" si="317">+BB83/BV83</f>
        <v>245270.98648648648</v>
      </c>
      <c r="BN83" s="67"/>
      <c r="BO83" s="67">
        <f t="shared" ref="BO83" si="318">+BO82+BD83</f>
        <v>1607001</v>
      </c>
      <c r="BP83" s="67"/>
      <c r="BQ83" s="74">
        <f t="shared" ref="BQ83" si="319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7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0">+H83+D84</f>
        <v>1897999</v>
      </c>
      <c r="I84" s="16"/>
      <c r="J84" s="38">
        <f t="shared" ref="J84" si="321">+D84/H83</f>
        <v>1.1663451693044731E-2</v>
      </c>
      <c r="K84" s="16"/>
      <c r="L84" s="16"/>
      <c r="M84" s="16"/>
      <c r="N84" s="16">
        <f t="shared" ref="N84" si="322">+H84/BV84</f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3">+Z83+V84</f>
        <v>108132</v>
      </c>
      <c r="AA84" s="33"/>
      <c r="AB84" s="46">
        <f t="shared" ref="AB84" si="324">+Z84/H84</f>
        <v>5.6971579015584306E-2</v>
      </c>
      <c r="AC84" s="33"/>
      <c r="AD84" s="33">
        <f t="shared" ref="AD84" si="325">+Z84/BV84</f>
        <v>1441.76</v>
      </c>
      <c r="AE84" s="50"/>
      <c r="AF84" s="33"/>
      <c r="AG84" s="33"/>
      <c r="AH84" s="233"/>
      <c r="AI84" s="50"/>
      <c r="AJ84" s="10"/>
      <c r="AK84" s="23">
        <f t="shared" ref="AK84" si="32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27">+AK84/AO83</f>
        <v>4.9320037443444799E-2</v>
      </c>
      <c r="AR84" s="25"/>
      <c r="AS84" s="25"/>
      <c r="AT84" s="24"/>
      <c r="AU84" s="344">
        <f t="shared" ref="AU84" si="328">+AO84/H84</f>
        <v>0.34018774509364863</v>
      </c>
      <c r="AV84" s="344"/>
      <c r="AW84" s="24">
        <f t="shared" ref="AW84" si="329">+AO84/BV84</f>
        <v>8609.0133333333342</v>
      </c>
      <c r="AX84" s="354"/>
      <c r="AY84" s="10"/>
      <c r="AZ84" s="66">
        <f t="shared" ref="AZ84" si="330">+BB84-BB83</f>
        <v>453121</v>
      </c>
      <c r="BA84" s="67"/>
      <c r="BB84" s="67">
        <v>18603174</v>
      </c>
      <c r="BC84" s="67"/>
      <c r="BD84" s="67">
        <f t="shared" ref="BD84" si="331">+D84</f>
        <v>21882</v>
      </c>
      <c r="BE84" s="67"/>
      <c r="BF84" s="157">
        <f t="shared" ref="BF84" si="332">+BD84/AZ84</f>
        <v>4.8291736644295896E-2</v>
      </c>
      <c r="BG84" s="67"/>
      <c r="BH84" s="185"/>
      <c r="BI84" s="67"/>
      <c r="BJ84" s="67"/>
      <c r="BK84" s="67"/>
      <c r="BL84" s="157"/>
      <c r="BM84" s="66">
        <f t="shared" ref="BM84" si="333">+BB84/BV84</f>
        <v>248042.32</v>
      </c>
      <c r="BN84" s="67"/>
      <c r="BO84" s="67">
        <f t="shared" ref="BO84" si="334">+BO83+BD84</f>
        <v>1628883</v>
      </c>
      <c r="BP84" s="67"/>
      <c r="BQ84" s="74">
        <f t="shared" ref="BQ84" si="335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7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36">+H84+D85</f>
        <v>1918577</v>
      </c>
      <c r="I85" s="16"/>
      <c r="J85" s="38">
        <f t="shared" ref="J85" si="337">+D85/H84</f>
        <v>1.0841944595334349E-2</v>
      </c>
      <c r="K85" s="16"/>
      <c r="L85" s="16"/>
      <c r="M85" s="16"/>
      <c r="N85" s="16">
        <f t="shared" ref="N85" si="338">+H85/BV85</f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39">+Z84+V85</f>
        <v>109215</v>
      </c>
      <c r="AA85" s="33"/>
      <c r="AB85" s="46">
        <f t="shared" ref="AB85" si="340">+Z85/H85</f>
        <v>5.6925002228213929E-2</v>
      </c>
      <c r="AC85" s="33"/>
      <c r="AD85" s="33">
        <f t="shared" ref="AD85" si="341">+Z85/BV85</f>
        <v>1437.0394736842106</v>
      </c>
      <c r="AE85" s="50"/>
      <c r="AF85" s="33"/>
      <c r="AG85" s="33"/>
      <c r="AH85" s="233"/>
      <c r="AI85" s="50"/>
      <c r="AJ85" s="10"/>
      <c r="AK85" s="23">
        <f t="shared" ref="AK85" si="34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43">+AK85/AO84</f>
        <v>6.6587576431522938E-2</v>
      </c>
      <c r="AR85" s="25"/>
      <c r="AS85" s="25"/>
      <c r="AT85" s="24"/>
      <c r="AU85" s="344">
        <f t="shared" ref="AU85" si="344">+AO85/H85</f>
        <v>0.35894832472191629</v>
      </c>
      <c r="AV85" s="344"/>
      <c r="AW85" s="24">
        <f t="shared" ref="AW85" si="345">+AO85/BV85</f>
        <v>9061.4473684210534</v>
      </c>
      <c r="AX85" s="354"/>
      <c r="AY85" s="10"/>
      <c r="AZ85" s="66">
        <f t="shared" ref="AZ85" si="346">+BB85-BB84</f>
        <v>493497</v>
      </c>
      <c r="BA85" s="67"/>
      <c r="BB85" s="67">
        <v>19096671</v>
      </c>
      <c r="BC85" s="67"/>
      <c r="BD85" s="67">
        <f t="shared" ref="BD85" si="347">+D85</f>
        <v>20578</v>
      </c>
      <c r="BE85" s="67"/>
      <c r="BF85" s="157">
        <f t="shared" ref="BF85" si="348">+BD85/AZ85</f>
        <v>4.1698328459950113E-2</v>
      </c>
      <c r="BG85" s="67"/>
      <c r="BH85" s="185"/>
      <c r="BI85" s="67"/>
      <c r="BJ85" s="67"/>
      <c r="BK85" s="67"/>
      <c r="BL85" s="157"/>
      <c r="BM85" s="66">
        <f t="shared" ref="BM85" si="349">+BB85/BV85</f>
        <v>251271.98684210525</v>
      </c>
      <c r="BN85" s="67"/>
      <c r="BO85" s="67">
        <f t="shared" ref="BO85" si="350">+BO84+BD85</f>
        <v>1649461</v>
      </c>
      <c r="BP85" s="67"/>
      <c r="BQ85" s="74">
        <f t="shared" ref="BQ85" si="351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7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52">+H85+D86</f>
        <v>1940845</v>
      </c>
      <c r="I86" s="16"/>
      <c r="J86" s="38">
        <f t="shared" ref="J86" si="353">+D86/H85</f>
        <v>1.1606518789707164E-2</v>
      </c>
      <c r="K86" s="16"/>
      <c r="L86" s="16"/>
      <c r="M86" s="16"/>
      <c r="N86" s="16">
        <f t="shared" ref="N86" si="354">+H86/BV86</f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ref="Z86" si="355">+Z85+V86</f>
        <v>110246</v>
      </c>
      <c r="AA86" s="33"/>
      <c r="AB86" s="46">
        <f t="shared" ref="AB86" si="356">+Z86/H86</f>
        <v>5.6803093497935178E-2</v>
      </c>
      <c r="AC86" s="33"/>
      <c r="AD86" s="33">
        <f t="shared" ref="AD86" si="357">+Z86/BV86</f>
        <v>1431.7662337662337</v>
      </c>
      <c r="AE86" s="50"/>
      <c r="AF86" s="33"/>
      <c r="AG86" s="33"/>
      <c r="AH86" s="233"/>
      <c r="AI86" s="50"/>
      <c r="AJ86" s="10"/>
      <c r="AK86" s="23">
        <f t="shared" ref="AK86" si="358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59">+AK86/AO85</f>
        <v>3.4242815862459523E-2</v>
      </c>
      <c r="AR86" s="25"/>
      <c r="AS86" s="25"/>
      <c r="AT86" s="24"/>
      <c r="AU86" s="344">
        <f t="shared" ref="AU86" si="360">+AO86/H86</f>
        <v>0.36698036164660236</v>
      </c>
      <c r="AV86" s="344"/>
      <c r="AW86" s="24">
        <f t="shared" ref="AW86" si="361">+AO86/BV86</f>
        <v>9250.0259740259735</v>
      </c>
      <c r="AX86" s="354"/>
      <c r="AY86" s="10"/>
      <c r="AZ86" s="66">
        <f t="shared" ref="AZ86" si="362">+BB86-BB85</f>
        <v>471398</v>
      </c>
      <c r="BA86" s="67"/>
      <c r="BB86" s="67">
        <v>19568069</v>
      </c>
      <c r="BC86" s="67"/>
      <c r="BD86" s="67">
        <f t="shared" ref="BD86" si="363">+D86</f>
        <v>22268</v>
      </c>
      <c r="BE86" s="67"/>
      <c r="BF86" s="157">
        <f t="shared" ref="BF86" si="364">+BD86/AZ86</f>
        <v>4.7238214841810955E-2</v>
      </c>
      <c r="BG86" s="67"/>
      <c r="BH86" s="185"/>
      <c r="BI86" s="67"/>
      <c r="BJ86" s="67"/>
      <c r="BK86" s="67"/>
      <c r="BL86" s="157"/>
      <c r="BM86" s="66">
        <f t="shared" ref="BM86" si="365">+BB86/BV86</f>
        <v>254130.76623376625</v>
      </c>
      <c r="BN86" s="67"/>
      <c r="BO86" s="67">
        <f t="shared" ref="BO86" si="366">+BO85+BD86</f>
        <v>1671729</v>
      </c>
      <c r="BP86" s="67"/>
      <c r="BQ86" s="74">
        <f t="shared" ref="BQ86" si="367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74" x14ac:dyDescent="0.3">
      <c r="B87" s="173">
        <f t="shared" si="203"/>
        <v>43987</v>
      </c>
      <c r="C87" s="61"/>
      <c r="D87" s="17">
        <v>25393</v>
      </c>
      <c r="E87" s="16"/>
      <c r="F87" s="16"/>
      <c r="G87" s="16"/>
      <c r="H87" s="16">
        <f t="shared" ref="H87" si="368">+H86+D87</f>
        <v>1966238</v>
      </c>
      <c r="I87" s="16"/>
      <c r="J87" s="38">
        <f t="shared" ref="J87" si="369">+D87/H86</f>
        <v>1.3083476526976652E-2</v>
      </c>
      <c r="K87" s="16"/>
      <c r="L87" s="16"/>
      <c r="M87" s="16"/>
      <c r="N87" s="16">
        <f t="shared" ref="N87" si="370">+H87/BV87</f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ref="Z87" si="371">+Z86+V87</f>
        <v>111221</v>
      </c>
      <c r="AA87" s="33"/>
      <c r="AB87" s="46">
        <f t="shared" ref="AB87" si="372">+Z87/H87</f>
        <v>5.6565380182866977E-2</v>
      </c>
      <c r="AC87" s="33"/>
      <c r="AD87" s="33">
        <f t="shared" ref="AD87" si="373">+Z87/BV87</f>
        <v>1425.9102564102564</v>
      </c>
      <c r="AE87" s="50"/>
      <c r="AF87" s="33"/>
      <c r="AG87" s="33"/>
      <c r="AH87" s="233"/>
      <c r="AI87" s="50"/>
      <c r="AJ87" s="10"/>
      <c r="AK87" s="23">
        <f t="shared" ref="AK87" si="374">+AO87-AO86</f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ref="AQ87" si="375">+AK87/AO86</f>
        <v>3.7057109000746928E-2</v>
      </c>
      <c r="AR87" s="25"/>
      <c r="AS87" s="25"/>
      <c r="AT87" s="24"/>
      <c r="AU87" s="344">
        <f t="shared" ref="AU87" si="376">+AO87/H87</f>
        <v>0.37566459401150826</v>
      </c>
      <c r="AV87" s="344"/>
      <c r="AW87" s="24">
        <f t="shared" ref="AW87" si="377">+AO87/BV87</f>
        <v>9469.8205128205136</v>
      </c>
      <c r="AX87" s="354"/>
      <c r="AY87" s="10"/>
      <c r="AZ87" s="66">
        <f t="shared" ref="AZ87" si="378">+BB87-BB86</f>
        <v>699286</v>
      </c>
      <c r="BA87" s="67"/>
      <c r="BB87" s="67">
        <v>20267355</v>
      </c>
      <c r="BC87" s="67"/>
      <c r="BD87" s="67">
        <f t="shared" ref="BD87" si="379">+D87</f>
        <v>25393</v>
      </c>
      <c r="BE87" s="67"/>
      <c r="BF87" s="157">
        <f t="shared" ref="BF87" si="380">+BD87/AZ87</f>
        <v>3.631275329407424E-2</v>
      </c>
      <c r="BG87" s="67"/>
      <c r="BH87" s="185"/>
      <c r="BI87" s="67"/>
      <c r="BJ87" s="67"/>
      <c r="BK87" s="67"/>
      <c r="BL87" s="157"/>
      <c r="BM87" s="66">
        <f t="shared" ref="BM87" si="381">+BB87/BV87</f>
        <v>259837.88461538462</v>
      </c>
      <c r="BN87" s="67"/>
      <c r="BO87" s="67">
        <f t="shared" ref="BO87" si="382">+BO86+BD87</f>
        <v>1697122</v>
      </c>
      <c r="BP87" s="67"/>
      <c r="BQ87" s="74">
        <f t="shared" ref="BQ87" si="383">+BO87/BB87</f>
        <v>8.3736728349604578E-2</v>
      </c>
      <c r="BR87" s="67"/>
      <c r="BS87" s="86"/>
      <c r="BT87" s="185"/>
      <c r="BU87" s="1"/>
      <c r="BV87">
        <f t="shared" si="220"/>
        <v>78</v>
      </c>
    </row>
    <row r="88" spans="2:74" x14ac:dyDescent="0.3">
      <c r="B88" s="479">
        <f t="shared" si="203"/>
        <v>43988</v>
      </c>
      <c r="C88" s="61"/>
      <c r="D88" s="17">
        <v>22836</v>
      </c>
      <c r="E88" s="16"/>
      <c r="F88" s="16"/>
      <c r="G88" s="16"/>
      <c r="H88" s="16">
        <f t="shared" ref="H88" si="384">+H87+D88</f>
        <v>1989074</v>
      </c>
      <c r="I88" s="16"/>
      <c r="J88" s="38">
        <f t="shared" ref="J88" si="385">+D88/H87</f>
        <v>1.1614056894434956E-2</v>
      </c>
      <c r="K88" s="16"/>
      <c r="L88" s="16"/>
      <c r="M88" s="16"/>
      <c r="N88" s="16">
        <f t="shared" ref="N88" si="386">+H88/BV88</f>
        <v>25178.151898734177</v>
      </c>
      <c r="O88" s="41"/>
      <c r="P88" s="17"/>
      <c r="Q88" s="16"/>
      <c r="R88" s="60"/>
      <c r="S88" s="16"/>
      <c r="T88" s="41"/>
      <c r="U88" s="481"/>
      <c r="V88" s="34">
        <v>706</v>
      </c>
      <c r="W88" s="33"/>
      <c r="X88" s="33"/>
      <c r="Y88" s="33"/>
      <c r="Z88" s="33">
        <f t="shared" ref="Z88" si="387">+Z87+V88</f>
        <v>111927</v>
      </c>
      <c r="AA88" s="33"/>
      <c r="AB88" s="46">
        <f t="shared" ref="AB88" si="388">+Z88/H88</f>
        <v>5.6270907970241431E-2</v>
      </c>
      <c r="AC88" s="33"/>
      <c r="AD88" s="33">
        <f t="shared" ref="AD88" si="389">+Z88/BV88</f>
        <v>1416.7974683544303</v>
      </c>
      <c r="AE88" s="50"/>
      <c r="AF88" s="33"/>
      <c r="AG88" s="33"/>
      <c r="AH88" s="233"/>
      <c r="AI88" s="50"/>
      <c r="AJ88" s="10"/>
      <c r="AK88" s="23">
        <f t="shared" ref="AK88" si="390">+AO88-AO87</f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ref="AQ88" si="391">+AK88/AO87</f>
        <v>1.7666107986775804E-2</v>
      </c>
      <c r="AR88" s="25"/>
      <c r="AS88" s="25"/>
      <c r="AT88" s="24"/>
      <c r="AU88" s="344">
        <f t="shared" ref="AU88" si="392">+AO88/H88</f>
        <v>0.37791203343867547</v>
      </c>
      <c r="AV88" s="344"/>
      <c r="AW88" s="24">
        <f t="shared" ref="AW88" si="393">+AO88/BV88</f>
        <v>9515.1265822784808</v>
      </c>
      <c r="AX88" s="354"/>
      <c r="AY88" s="10"/>
      <c r="AZ88" s="66">
        <f t="shared" ref="AZ88" si="394">+BB88-BB87</f>
        <v>551073</v>
      </c>
      <c r="BA88" s="67"/>
      <c r="BB88" s="67">
        <v>20818428</v>
      </c>
      <c r="BC88" s="67"/>
      <c r="BD88" s="67">
        <f t="shared" ref="BD88" si="395">+D88</f>
        <v>22836</v>
      </c>
      <c r="BE88" s="67"/>
      <c r="BF88" s="157">
        <f t="shared" ref="BF88" si="396">+BD88/AZ88</f>
        <v>4.1439155973890938E-2</v>
      </c>
      <c r="BG88" s="67"/>
      <c r="BH88" s="185"/>
      <c r="BI88" s="67"/>
      <c r="BJ88" s="67"/>
      <c r="BK88" s="67"/>
      <c r="BL88" s="157"/>
      <c r="BM88" s="66">
        <f t="shared" ref="BM88" si="397">+BB88/BV88</f>
        <v>263524.40506329114</v>
      </c>
      <c r="BN88" s="67"/>
      <c r="BO88" s="67">
        <f t="shared" ref="BO88" si="398">+BO87+BD88</f>
        <v>1719958</v>
      </c>
      <c r="BP88" s="67"/>
      <c r="BQ88" s="74">
        <f t="shared" ref="BQ88" si="399">+BO88/BB88</f>
        <v>8.2617092894814156E-2</v>
      </c>
      <c r="BR88" s="67"/>
      <c r="BS88" s="86"/>
      <c r="BT88" s="185"/>
      <c r="BU88" s="1"/>
      <c r="BV88">
        <f t="shared" si="220"/>
        <v>79</v>
      </c>
    </row>
    <row r="89" spans="2:74" x14ac:dyDescent="0.3">
      <c r="B89" s="393">
        <f t="shared" si="203"/>
        <v>43989</v>
      </c>
      <c r="C89" s="61"/>
      <c r="D89" s="17">
        <v>18375</v>
      </c>
      <c r="E89" s="16"/>
      <c r="F89" s="16"/>
      <c r="G89" s="16"/>
      <c r="H89" s="16">
        <f t="shared" ref="H89" si="400">+H88+D89</f>
        <v>2007449</v>
      </c>
      <c r="I89" s="16"/>
      <c r="J89" s="38">
        <f t="shared" ref="J89" si="401">+D89/H88</f>
        <v>9.23796701379637E-3</v>
      </c>
      <c r="K89" s="16"/>
      <c r="L89" s="16"/>
      <c r="M89" s="16"/>
      <c r="N89" s="16">
        <f t="shared" ref="N89" si="402">+H89/BV89</f>
        <v>25093.112499999999</v>
      </c>
      <c r="O89" s="41"/>
      <c r="P89" s="17">
        <f t="shared" ref="P89" si="403">SUM(D83:D89)</f>
        <v>153485</v>
      </c>
      <c r="Q89" s="16"/>
      <c r="R89" s="60">
        <f t="shared" ref="R89" si="404">+(P89-P82)/P82</f>
        <v>1.8250693274244695E-2</v>
      </c>
      <c r="S89" s="16"/>
      <c r="T89" s="41"/>
      <c r="U89" s="394"/>
      <c r="V89" s="34">
        <v>542</v>
      </c>
      <c r="W89" s="33"/>
      <c r="X89" s="33"/>
      <c r="Y89" s="33"/>
      <c r="Z89" s="33">
        <f t="shared" ref="Z89" si="405">+Z88+V89</f>
        <v>112469</v>
      </c>
      <c r="AA89" s="33"/>
      <c r="AB89" s="46">
        <f t="shared" ref="AB89" si="406">+Z89/H89</f>
        <v>5.6025831789500005E-2</v>
      </c>
      <c r="AC89" s="33"/>
      <c r="AD89" s="33">
        <f t="shared" ref="AD89" si="407">+Z89/BV89</f>
        <v>1405.8625</v>
      </c>
      <c r="AE89" s="50"/>
      <c r="AF89" s="33">
        <f t="shared" ref="AF89" si="408">SUM(V83:V89)</f>
        <v>6201</v>
      </c>
      <c r="AG89" s="33"/>
      <c r="AH89" s="233">
        <f t="shared" ref="AH89" si="409">+(AF89-AF82)/AF82</f>
        <v>-0.10065264684554025</v>
      </c>
      <c r="AI89" s="50"/>
      <c r="AJ89" s="394"/>
      <c r="AK89" s="23">
        <f t="shared" ref="AK89" si="410">+AO89-AO88</f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ref="AQ89" si="411">+AK89/AO88</f>
        <v>1.3320562196103473E-2</v>
      </c>
      <c r="AR89" s="25"/>
      <c r="AS89" s="25"/>
      <c r="AT89" s="24"/>
      <c r="AU89" s="344">
        <f t="shared" ref="AU89" si="412">+AO89/H89</f>
        <v>0.37944077284155164</v>
      </c>
      <c r="AV89" s="344"/>
      <c r="AW89" s="24">
        <f t="shared" ref="AW89" si="413">+AO89/BV89</f>
        <v>9521.35</v>
      </c>
      <c r="AX89" s="354"/>
      <c r="AY89" s="394"/>
      <c r="AZ89" s="66">
        <f t="shared" ref="AZ89" si="414">+BB89-BB88</f>
        <v>473249</v>
      </c>
      <c r="BA89" s="67"/>
      <c r="BB89" s="67">
        <v>21291677</v>
      </c>
      <c r="BC89" s="67"/>
      <c r="BD89" s="67">
        <f t="shared" ref="BD89" si="415">+D89</f>
        <v>18375</v>
      </c>
      <c r="BE89" s="67"/>
      <c r="BF89" s="157">
        <f t="shared" ref="BF89" si="416">+BD89/AZ89</f>
        <v>3.8827340364163472E-2</v>
      </c>
      <c r="BG89" s="67"/>
      <c r="BH89" s="185"/>
      <c r="BI89" s="67"/>
      <c r="BJ89" s="67">
        <f t="shared" ref="BJ89" si="417">SUM(AZ83:AZ89)</f>
        <v>3619110</v>
      </c>
      <c r="BK89" s="67"/>
      <c r="BL89" s="157">
        <f t="shared" ref="BL89" si="418">+P89/BJ89</f>
        <v>4.2409597939824982E-2</v>
      </c>
      <c r="BM89" s="66">
        <f t="shared" ref="BM89" si="419">+BB89/BV89</f>
        <v>266145.96250000002</v>
      </c>
      <c r="BN89" s="67"/>
      <c r="BO89" s="67">
        <f t="shared" ref="BO89" si="420">+BO88+BD89</f>
        <v>1738333</v>
      </c>
      <c r="BP89" s="67"/>
      <c r="BQ89" s="74">
        <f t="shared" ref="BQ89" si="421">+BO89/BB89</f>
        <v>8.1643780337265118E-2</v>
      </c>
      <c r="BR89" s="67"/>
      <c r="BS89" s="86"/>
      <c r="BT89" s="185"/>
      <c r="BU89" s="1"/>
      <c r="BV89">
        <f t="shared" si="220"/>
        <v>80</v>
      </c>
    </row>
    <row r="90" spans="2:74" x14ac:dyDescent="0.3">
      <c r="B90" s="173">
        <f t="shared" si="203"/>
        <v>43990</v>
      </c>
      <c r="C90" s="61"/>
      <c r="D90" s="17">
        <v>19044</v>
      </c>
      <c r="E90" s="16"/>
      <c r="F90" s="16"/>
      <c r="G90" s="16"/>
      <c r="H90" s="16">
        <f t="shared" ref="H90" si="422">+H89+D90</f>
        <v>2026493</v>
      </c>
      <c r="I90" s="16"/>
      <c r="J90" s="38">
        <f t="shared" ref="J90" si="423">+D90/H89</f>
        <v>9.486666909097068E-3</v>
      </c>
      <c r="K90" s="16"/>
      <c r="L90" s="16"/>
      <c r="M90" s="16"/>
      <c r="N90" s="16">
        <f t="shared" ref="N90" si="424">+H90/BV90</f>
        <v>25018.432098765432</v>
      </c>
      <c r="O90" s="41"/>
      <c r="P90" s="17">
        <f t="shared" ref="P90" si="425">SUM(D84:D90)</f>
        <v>150376</v>
      </c>
      <c r="Q90" s="16"/>
      <c r="R90" s="60" t="e">
        <f t="shared" ref="R90" si="426">+(P90-P83)/P83</f>
        <v>#DIV/0!</v>
      </c>
      <c r="S90" s="16"/>
      <c r="T90" s="41"/>
      <c r="U90" s="10"/>
      <c r="V90" s="34">
        <v>586</v>
      </c>
      <c r="W90" s="33"/>
      <c r="X90" s="33"/>
      <c r="Y90" s="33"/>
      <c r="Z90" s="33">
        <f t="shared" ref="Z90" si="427">+Z89+V90</f>
        <v>113055</v>
      </c>
      <c r="AA90" s="33"/>
      <c r="AB90" s="46">
        <f t="shared" ref="AB90" si="428">+Z90/H90</f>
        <v>5.5788497665671677E-2</v>
      </c>
      <c r="AC90" s="33"/>
      <c r="AD90" s="33">
        <f t="shared" ref="AD90" si="429">+Z90/BV90</f>
        <v>1395.7407407407406</v>
      </c>
      <c r="AE90" s="50"/>
      <c r="AF90" s="33">
        <f t="shared" ref="AF90" si="430">SUM(V84:V90)</f>
        <v>6057</v>
      </c>
      <c r="AG90" s="33"/>
      <c r="AH90" s="233" t="e">
        <f t="shared" ref="AH90" si="431">+(AF90-AF83)/AF83</f>
        <v>#DIV/0!</v>
      </c>
      <c r="AI90" s="50"/>
      <c r="AJ90" s="10"/>
      <c r="AK90" s="23">
        <f t="shared" ref="AK90" si="432">+AO90-AO89</f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ref="AQ90" si="433">+AK90/AO89</f>
        <v>1.545474118691152E-2</v>
      </c>
      <c r="AR90" s="25"/>
      <c r="AS90" s="25"/>
      <c r="AT90" s="24"/>
      <c r="AU90" s="344">
        <f t="shared" ref="AU90" si="434">+AO90/H90</f>
        <v>0.3816840225946993</v>
      </c>
      <c r="AV90" s="344"/>
      <c r="AW90" s="24">
        <f t="shared" ref="AW90" si="435">+AO90/BV90</f>
        <v>9549.1358024691363</v>
      </c>
      <c r="AX90" s="354"/>
      <c r="AY90" s="10"/>
      <c r="AZ90" s="66">
        <f t="shared" ref="AZ90" si="436">+BB90-BB89</f>
        <v>433387</v>
      </c>
      <c r="BA90" s="67"/>
      <c r="BB90" s="67">
        <v>21725064</v>
      </c>
      <c r="BC90" s="67"/>
      <c r="BD90" s="67">
        <f t="shared" ref="BD90" si="437">+D90</f>
        <v>19044</v>
      </c>
      <c r="BE90" s="67"/>
      <c r="BF90" s="157">
        <f t="shared" ref="BF90" si="438">+BD90/AZ90</f>
        <v>4.3942250229010098E-2</v>
      </c>
      <c r="BG90" s="67"/>
      <c r="BH90" s="185"/>
      <c r="BI90" s="67"/>
      <c r="BJ90" s="67">
        <f t="shared" ref="BJ90" si="439">SUM(AZ84:AZ90)</f>
        <v>3575011</v>
      </c>
      <c r="BK90" s="67"/>
      <c r="BL90" s="157">
        <f t="shared" ref="BL90" si="440">+P90/BJ90</f>
        <v>4.2063087358332606E-2</v>
      </c>
      <c r="BM90" s="66">
        <f t="shared" ref="BM90" si="441">+BB90/BV90</f>
        <v>268210.66666666669</v>
      </c>
      <c r="BN90" s="67"/>
      <c r="BO90" s="67">
        <f t="shared" ref="BO90" si="442">+BO89+BD90</f>
        <v>1757377</v>
      </c>
      <c r="BP90" s="67"/>
      <c r="BQ90" s="74">
        <f t="shared" ref="BQ90" si="443">+BO90/BB90</f>
        <v>8.0891683449125854E-2</v>
      </c>
      <c r="BR90" s="67"/>
      <c r="BS90" s="86"/>
      <c r="BT90" s="185"/>
      <c r="BU90" s="1"/>
      <c r="BV90">
        <f t="shared" si="220"/>
        <v>81</v>
      </c>
    </row>
    <row r="91" spans="2:74" x14ac:dyDescent="0.3">
      <c r="B91" s="173">
        <f t="shared" si="203"/>
        <v>43991</v>
      </c>
      <c r="C91" s="61"/>
      <c r="D91" s="17">
        <v>19056</v>
      </c>
      <c r="E91" s="16"/>
      <c r="F91" s="16"/>
      <c r="G91" s="16"/>
      <c r="H91" s="16">
        <f t="shared" ref="H91" si="444">+H90+D91</f>
        <v>2045549</v>
      </c>
      <c r="I91" s="16"/>
      <c r="J91" s="38">
        <f t="shared" ref="J91" si="445">+D91/H90</f>
        <v>9.4034373669191068E-3</v>
      </c>
      <c r="K91" s="16"/>
      <c r="L91" s="16"/>
      <c r="M91" s="16"/>
      <c r="N91" s="16">
        <f t="shared" ref="N91" si="446">+H91/BV91</f>
        <v>24945.719512195123</v>
      </c>
      <c r="O91" s="41"/>
      <c r="P91" s="17">
        <f t="shared" ref="P91" si="447">SUM(D85:D91)</f>
        <v>147550</v>
      </c>
      <c r="Q91" s="16"/>
      <c r="R91" s="60" t="e">
        <f t="shared" ref="R91" si="448">+(P91-P84)/P84</f>
        <v>#DIV/0!</v>
      </c>
      <c r="S91" s="16"/>
      <c r="T91" s="41"/>
      <c r="U91" s="10"/>
      <c r="V91" s="34">
        <v>1093</v>
      </c>
      <c r="W91" s="33"/>
      <c r="X91" s="33"/>
      <c r="Y91" s="33"/>
      <c r="Z91" s="33">
        <f t="shared" ref="Z91" si="449">+Z90+V91</f>
        <v>114148</v>
      </c>
      <c r="AA91" s="33"/>
      <c r="AB91" s="46">
        <f t="shared" ref="AB91" si="450">+Z91/H91</f>
        <v>5.5803112025182483E-2</v>
      </c>
      <c r="AC91" s="33"/>
      <c r="AD91" s="33">
        <f t="shared" ref="AD91" si="451">+Z91/BV91</f>
        <v>1392.0487804878048</v>
      </c>
      <c r="AE91" s="50"/>
      <c r="AF91" s="33">
        <f t="shared" ref="AF91" si="452">SUM(V85:V91)</f>
        <v>6016</v>
      </c>
      <c r="AG91" s="33"/>
      <c r="AH91" s="233" t="e">
        <f t="shared" ref="AH91" si="453">+(AF91-AF84)/AF84</f>
        <v>#DIV/0!</v>
      </c>
      <c r="AI91" s="50"/>
      <c r="AJ91" s="10"/>
      <c r="AK91" s="23">
        <f t="shared" ref="AK91" si="454">+AO91-AO90</f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ref="AQ91" si="455">+AK91/AO90</f>
        <v>1.988674561721053E-2</v>
      </c>
      <c r="AR91" s="25"/>
      <c r="AS91" s="25"/>
      <c r="AT91" s="24"/>
      <c r="AU91" s="344">
        <f t="shared" ref="AU91" si="456">+AO91/H91</f>
        <v>0.38564805829633025</v>
      </c>
      <c r="AV91" s="344"/>
      <c r="AW91" s="24">
        <f t="shared" ref="AW91" si="457">+AO91/BV91</f>
        <v>9620.2682926829275</v>
      </c>
      <c r="AX91" s="354"/>
      <c r="AY91" s="10"/>
      <c r="AZ91" s="66">
        <f t="shared" ref="AZ91" si="458">+BB91-BB90</f>
        <v>415612</v>
      </c>
      <c r="BA91" s="67"/>
      <c r="BB91" s="67">
        <v>22140676</v>
      </c>
      <c r="BC91" s="67"/>
      <c r="BD91" s="67">
        <f t="shared" ref="BD91" si="459">+D91</f>
        <v>19056</v>
      </c>
      <c r="BE91" s="67"/>
      <c r="BF91" s="157">
        <f t="shared" ref="BF91" si="460">+BD91/AZ91</f>
        <v>4.5850456675938137E-2</v>
      </c>
      <c r="BG91" s="67"/>
      <c r="BH91" s="185"/>
      <c r="BI91" s="67"/>
      <c r="BJ91" s="67">
        <f t="shared" ref="BJ91" si="461">SUM(AZ85:AZ91)</f>
        <v>3537502</v>
      </c>
      <c r="BK91" s="67"/>
      <c r="BL91" s="157">
        <f t="shared" ref="BL91" si="462">+P91/BJ91</f>
        <v>4.1710223768071368E-2</v>
      </c>
      <c r="BM91" s="66">
        <f t="shared" ref="BM91" si="463">+BB91/BV91</f>
        <v>270008.24390243902</v>
      </c>
      <c r="BN91" s="67"/>
      <c r="BO91" s="67">
        <f t="shared" ref="BO91" si="464">+BO90+BD91</f>
        <v>1776433</v>
      </c>
      <c r="BP91" s="67"/>
      <c r="BQ91" s="74">
        <f t="shared" ref="BQ91" si="465">+BO91/BB91</f>
        <v>8.0233909750542398E-2</v>
      </c>
      <c r="BR91" s="67"/>
      <c r="BS91" s="86"/>
      <c r="BT91" s="185"/>
      <c r="BU91" s="1"/>
      <c r="BV91">
        <f t="shared" si="220"/>
        <v>82</v>
      </c>
    </row>
    <row r="92" spans="2:74" x14ac:dyDescent="0.3">
      <c r="B92" s="173">
        <f t="shared" si="203"/>
        <v>43992</v>
      </c>
      <c r="C92" s="61"/>
      <c r="D92" s="17">
        <v>20852</v>
      </c>
      <c r="E92" s="16"/>
      <c r="F92" s="16"/>
      <c r="G92" s="16"/>
      <c r="H92" s="16">
        <f t="shared" ref="H92" si="466">+H91+D92</f>
        <v>2066401</v>
      </c>
      <c r="I92" s="16"/>
      <c r="J92" s="38">
        <f t="shared" ref="J92" si="467">+D92/H91</f>
        <v>1.019384038221524E-2</v>
      </c>
      <c r="K92" s="16"/>
      <c r="L92" s="16"/>
      <c r="M92" s="16"/>
      <c r="N92" s="16">
        <f t="shared" ref="N92" si="468">+H92/BV92</f>
        <v>24896.397590361445</v>
      </c>
      <c r="O92" s="41"/>
      <c r="P92" s="17">
        <f t="shared" ref="P92" si="469">SUM(D86:D92)</f>
        <v>147824</v>
      </c>
      <c r="Q92" s="16"/>
      <c r="R92" s="60" t="e">
        <f t="shared" ref="R92" si="470">+(P92-P85)/P85</f>
        <v>#DIV/0!</v>
      </c>
      <c r="S92" s="16"/>
      <c r="T92" s="41"/>
      <c r="U92" s="10"/>
      <c r="V92" s="34">
        <v>982</v>
      </c>
      <c r="W92" s="33"/>
      <c r="X92" s="33"/>
      <c r="Y92" s="33"/>
      <c r="Z92" s="33">
        <f t="shared" ref="Z92" si="471">+Z91+V92</f>
        <v>115130</v>
      </c>
      <c r="AA92" s="33"/>
      <c r="AB92" s="46">
        <f t="shared" ref="AB92" si="472">+Z92/H92</f>
        <v>5.5715226618647591E-2</v>
      </c>
      <c r="AC92" s="33"/>
      <c r="AD92" s="33">
        <f t="shared" ref="AD92" si="473">+Z92/BV92</f>
        <v>1387.1084337349398</v>
      </c>
      <c r="AE92" s="50"/>
      <c r="AF92" s="33">
        <f t="shared" ref="AF92" si="474">SUM(V86:V92)</f>
        <v>5915</v>
      </c>
      <c r="AG92" s="33"/>
      <c r="AH92" s="233" t="e">
        <f t="shared" ref="AH92" si="475">+(AF92-AF85)/AF85</f>
        <v>#DIV/0!</v>
      </c>
      <c r="AI92" s="50"/>
      <c r="AJ92" s="10"/>
      <c r="AK92" s="23">
        <f t="shared" ref="AK92" si="476">+AO92-AO91</f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ref="AQ92" si="477">+AK92/AO91</f>
        <v>2.4886482046289467E-2</v>
      </c>
      <c r="AR92" s="25"/>
      <c r="AS92" s="25"/>
      <c r="AT92" s="24"/>
      <c r="AU92" s="344">
        <f t="shared" ref="AU92" si="478">+AO92/H92</f>
        <v>0.39125706965879326</v>
      </c>
      <c r="AV92" s="344"/>
      <c r="AW92" s="24">
        <f t="shared" ref="AW92" si="479">+AO92/BV92</f>
        <v>9740.8915662650597</v>
      </c>
      <c r="AX92" s="354"/>
      <c r="AY92" s="10"/>
      <c r="AZ92" s="66">
        <f t="shared" ref="AZ92" si="480">+BB92-BB91</f>
        <v>485082</v>
      </c>
      <c r="BA92" s="67"/>
      <c r="BB92" s="67">
        <v>22625758</v>
      </c>
      <c r="BC92" s="67"/>
      <c r="BD92" s="67">
        <f t="shared" ref="BD92" si="481">+D92</f>
        <v>20852</v>
      </c>
      <c r="BE92" s="67"/>
      <c r="BF92" s="157">
        <f t="shared" ref="BF92" si="482">+BD92/AZ92</f>
        <v>4.298654660449161E-2</v>
      </c>
      <c r="BG92" s="67"/>
      <c r="BH92" s="185"/>
      <c r="BI92" s="67"/>
      <c r="BJ92" s="67">
        <f t="shared" ref="BJ92" si="483">SUM(AZ86:AZ92)</f>
        <v>3529087</v>
      </c>
      <c r="BK92" s="67"/>
      <c r="BL92" s="157">
        <f t="shared" ref="BL92" si="484">+P92/BJ92</f>
        <v>4.1887320998320529E-2</v>
      </c>
      <c r="BM92" s="66">
        <f t="shared" ref="BM92" si="485">+BB92/BV92</f>
        <v>272599.49397590361</v>
      </c>
      <c r="BN92" s="67"/>
      <c r="BO92" s="67">
        <f t="shared" ref="BO92" si="486">+BO91+BD92</f>
        <v>1797285</v>
      </c>
      <c r="BP92" s="67"/>
      <c r="BQ92" s="74">
        <f t="shared" ref="BQ92" si="487">+BO92/BB92</f>
        <v>7.9435349746072595E-2</v>
      </c>
      <c r="BR92" s="67"/>
      <c r="BS92" s="86"/>
      <c r="BT92" s="185"/>
      <c r="BU92" s="1"/>
      <c r="BV92">
        <f t="shared" si="220"/>
        <v>83</v>
      </c>
    </row>
    <row r="93" spans="2:74" x14ac:dyDescent="0.3">
      <c r="B93" s="173">
        <f t="shared" si="203"/>
        <v>43993</v>
      </c>
      <c r="C93" s="61"/>
      <c r="D93" s="17">
        <v>23300</v>
      </c>
      <c r="E93" s="16"/>
      <c r="F93" s="16"/>
      <c r="G93" s="16"/>
      <c r="H93" s="16">
        <f t="shared" ref="H93" si="488">+H92+D93</f>
        <v>2089701</v>
      </c>
      <c r="I93" s="16"/>
      <c r="J93" s="38">
        <f t="shared" ref="J93" si="489">+D93/H92</f>
        <v>1.127564301411004E-2</v>
      </c>
      <c r="K93" s="16"/>
      <c r="L93" s="16"/>
      <c r="M93" s="16"/>
      <c r="N93" s="16">
        <f t="shared" ref="N93" si="490">+H93/BV93</f>
        <v>24877.392857142859</v>
      </c>
      <c r="O93" s="41"/>
      <c r="P93" s="17">
        <f t="shared" ref="P93" si="491">SUM(D87:D93)</f>
        <v>148856</v>
      </c>
      <c r="Q93" s="16"/>
      <c r="R93" s="60" t="e">
        <f t="shared" ref="R93" si="492">+(P93-P86)/P86</f>
        <v>#DIV/0!</v>
      </c>
      <c r="S93" s="16"/>
      <c r="T93" s="41"/>
      <c r="U93" s="10"/>
      <c r="V93" s="34">
        <v>904</v>
      </c>
      <c r="W93" s="33"/>
      <c r="X93" s="33"/>
      <c r="Y93" s="33"/>
      <c r="Z93" s="33">
        <f t="shared" ref="Z93" si="493">+Z92+V93</f>
        <v>116034</v>
      </c>
      <c r="AA93" s="33"/>
      <c r="AB93" s="46">
        <f t="shared" ref="AB93" si="494">+Z93/H93</f>
        <v>5.552660404526772E-2</v>
      </c>
      <c r="AC93" s="33"/>
      <c r="AD93" s="33">
        <f t="shared" ref="AD93" si="495">+Z93/BV93</f>
        <v>1381.3571428571429</v>
      </c>
      <c r="AE93" s="50"/>
      <c r="AF93" s="33">
        <f t="shared" ref="AF93" si="496">SUM(V87:V93)</f>
        <v>5788</v>
      </c>
      <c r="AG93" s="33"/>
      <c r="AH93" s="233" t="e">
        <f t="shared" ref="AH93" si="497">+(AF93-AF86)/AF86</f>
        <v>#DIV/0!</v>
      </c>
      <c r="AI93" s="50"/>
      <c r="AJ93" s="10"/>
      <c r="AK93" s="23">
        <f t="shared" ref="AK93" si="498">+AO93-AO92</f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ref="AQ93" si="499">+AK93/AO92</f>
        <v>6.5937409554059773E-3</v>
      </c>
      <c r="AR93" s="25"/>
      <c r="AS93" s="25"/>
      <c r="AT93" s="24"/>
      <c r="AU93" s="344">
        <f t="shared" ref="AU93" si="500">+AO93/H93</f>
        <v>0.38944566710739958</v>
      </c>
      <c r="AV93" s="344"/>
      <c r="AW93" s="24">
        <f t="shared" ref="AW93" si="501">+AO93/BV93</f>
        <v>9688.3928571428569</v>
      </c>
      <c r="AX93" s="354"/>
      <c r="AY93" s="10"/>
      <c r="AZ93" s="66">
        <f t="shared" ref="AZ93" si="502">+BB93-BB92</f>
        <v>447712</v>
      </c>
      <c r="BA93" s="67"/>
      <c r="BB93" s="67">
        <v>23073470</v>
      </c>
      <c r="BC93" s="67"/>
      <c r="BD93" s="67">
        <f t="shared" ref="BD93" si="503">+D93</f>
        <v>23300</v>
      </c>
      <c r="BE93" s="67"/>
      <c r="BF93" s="157">
        <f t="shared" ref="BF93" si="504">+BD93/AZ93</f>
        <v>5.2042384389964974E-2</v>
      </c>
      <c r="BG93" s="67"/>
      <c r="BH93" s="185"/>
      <c r="BI93" s="67"/>
      <c r="BJ93" s="67">
        <f t="shared" ref="BJ93" si="505">SUM(AZ87:AZ93)</f>
        <v>3505401</v>
      </c>
      <c r="BK93" s="67"/>
      <c r="BL93" s="157">
        <f t="shared" ref="BL93" si="506">+P93/BJ93</f>
        <v>4.2464756528568341E-2</v>
      </c>
      <c r="BM93" s="66">
        <f t="shared" ref="BM93" si="507">+BB93/BV93</f>
        <v>274684.16666666669</v>
      </c>
      <c r="BN93" s="67"/>
      <c r="BO93" s="67">
        <f t="shared" ref="BO93" si="508">+BO92+BD93</f>
        <v>1820585</v>
      </c>
      <c r="BP93" s="67"/>
      <c r="BQ93" s="74">
        <f t="shared" ref="BQ93" si="509">+BO93/BB93</f>
        <v>7.8903823308761098E-2</v>
      </c>
      <c r="BR93" s="67"/>
      <c r="BS93" s="86"/>
      <c r="BT93" s="185"/>
      <c r="BU93" s="1"/>
      <c r="BV93">
        <f t="shared" si="220"/>
        <v>84</v>
      </c>
    </row>
    <row r="94" spans="2:74" x14ac:dyDescent="0.3">
      <c r="B94" s="173">
        <f t="shared" si="203"/>
        <v>43994</v>
      </c>
      <c r="C94" s="61"/>
      <c r="D94" s="17"/>
      <c r="E94" s="16"/>
      <c r="F94" s="16"/>
      <c r="G94" s="16"/>
      <c r="H94" s="16"/>
      <c r="I94" s="16"/>
      <c r="J94" s="483"/>
      <c r="K94" s="16"/>
      <c r="L94" s="16"/>
      <c r="M94" s="16"/>
      <c r="N94" s="16"/>
      <c r="O94" s="41"/>
      <c r="P94" s="17"/>
      <c r="Q94" s="16"/>
      <c r="R94" s="60"/>
      <c r="S94" s="16"/>
      <c r="T94" s="41"/>
      <c r="U94" s="10"/>
      <c r="V94" s="34"/>
      <c r="W94" s="33"/>
      <c r="X94" s="33"/>
      <c r="Y94" s="33"/>
      <c r="Z94" s="33"/>
      <c r="AA94" s="33"/>
      <c r="AB94" s="46"/>
      <c r="AC94" s="33"/>
      <c r="AD94" s="33"/>
      <c r="AE94" s="50"/>
      <c r="AF94" s="33"/>
      <c r="AG94" s="33"/>
      <c r="AH94" s="233"/>
      <c r="AI94" s="50"/>
      <c r="AJ94" s="10"/>
      <c r="AK94" s="23"/>
      <c r="AL94" s="24"/>
      <c r="AM94" s="24"/>
      <c r="AN94" s="24"/>
      <c r="AO94" s="24"/>
      <c r="AP94" s="24"/>
      <c r="AQ94" s="25"/>
      <c r="AR94" s="25"/>
      <c r="AS94" s="25"/>
      <c r="AT94" s="24"/>
      <c r="AU94" s="344"/>
      <c r="AV94" s="344"/>
      <c r="AW94" s="24"/>
      <c r="AX94" s="354"/>
      <c r="AY94" s="10"/>
      <c r="AZ94" s="66"/>
      <c r="BA94" s="67"/>
      <c r="BB94" s="67"/>
      <c r="BC94" s="67"/>
      <c r="BD94" s="67"/>
      <c r="BE94" s="67"/>
      <c r="BF94" s="157"/>
      <c r="BG94" s="67"/>
      <c r="BH94" s="185"/>
      <c r="BI94" s="67"/>
      <c r="BJ94" s="67"/>
      <c r="BK94" s="67"/>
      <c r="BL94" s="157"/>
      <c r="BM94" s="66"/>
      <c r="BN94" s="67"/>
      <c r="BO94" s="67"/>
      <c r="BP94" s="67"/>
      <c r="BQ94" s="74"/>
      <c r="BR94" s="67"/>
      <c r="BS94" s="86"/>
      <c r="BT94" s="185"/>
      <c r="BU94" s="1"/>
      <c r="BV94">
        <f t="shared" si="220"/>
        <v>85</v>
      </c>
    </row>
    <row r="95" spans="2:74" x14ac:dyDescent="0.3">
      <c r="B95" s="173">
        <f t="shared" si="203"/>
        <v>43995</v>
      </c>
      <c r="C95" s="61"/>
      <c r="D95" s="17"/>
      <c r="E95" s="16"/>
      <c r="F95" s="16"/>
      <c r="G95" s="16"/>
      <c r="H95" s="16"/>
      <c r="I95" s="16"/>
      <c r="J95" s="483"/>
      <c r="K95" s="16"/>
      <c r="L95" s="16"/>
      <c r="M95" s="16"/>
      <c r="N95" s="16"/>
      <c r="O95" s="41"/>
      <c r="P95" s="17"/>
      <c r="Q95" s="16"/>
      <c r="R95" s="60"/>
      <c r="S95" s="16"/>
      <c r="T95" s="41"/>
      <c r="U95" s="10"/>
      <c r="V95" s="34"/>
      <c r="W95" s="33"/>
      <c r="X95" s="33"/>
      <c r="Y95" s="33"/>
      <c r="Z95" s="33"/>
      <c r="AA95" s="33"/>
      <c r="AB95" s="46"/>
      <c r="AC95" s="33"/>
      <c r="AD95" s="33"/>
      <c r="AE95" s="50"/>
      <c r="AF95" s="33"/>
      <c r="AG95" s="33"/>
      <c r="AH95" s="233"/>
      <c r="AI95" s="50"/>
      <c r="AJ95" s="10"/>
      <c r="AK95" s="23"/>
      <c r="AL95" s="24"/>
      <c r="AM95" s="24"/>
      <c r="AN95" s="24"/>
      <c r="AO95" s="24"/>
      <c r="AP95" s="24"/>
      <c r="AQ95" s="25"/>
      <c r="AR95" s="25"/>
      <c r="AS95" s="25"/>
      <c r="AT95" s="24"/>
      <c r="AU95" s="344"/>
      <c r="AV95" s="344"/>
      <c r="AW95" s="24"/>
      <c r="AX95" s="354"/>
      <c r="AY95" s="10"/>
      <c r="AZ95" s="66"/>
      <c r="BA95" s="67"/>
      <c r="BB95" s="67"/>
      <c r="BC95" s="67"/>
      <c r="BD95" s="67"/>
      <c r="BE95" s="67"/>
      <c r="BF95" s="157"/>
      <c r="BG95" s="67"/>
      <c r="BH95" s="185"/>
      <c r="BI95" s="67"/>
      <c r="BJ95" s="67"/>
      <c r="BK95" s="67"/>
      <c r="BL95" s="157"/>
      <c r="BM95" s="66"/>
      <c r="BN95" s="67"/>
      <c r="BO95" s="67"/>
      <c r="BP95" s="67"/>
      <c r="BQ95" s="74"/>
      <c r="BR95" s="67"/>
      <c r="BS95" s="86"/>
      <c r="BT95" s="185"/>
      <c r="BU95" s="1"/>
      <c r="BV95">
        <f t="shared" si="220"/>
        <v>86</v>
      </c>
    </row>
    <row r="96" spans="2:74" x14ac:dyDescent="0.3">
      <c r="B96" s="393">
        <f t="shared" si="203"/>
        <v>43996</v>
      </c>
      <c r="C96" s="61"/>
      <c r="D96" s="17"/>
      <c r="E96" s="16"/>
      <c r="F96" s="16"/>
      <c r="G96" s="16"/>
      <c r="H96" s="16"/>
      <c r="I96" s="16"/>
      <c r="J96" s="483"/>
      <c r="K96" s="16"/>
      <c r="L96" s="16"/>
      <c r="M96" s="16"/>
      <c r="N96" s="16"/>
      <c r="O96" s="41"/>
      <c r="P96" s="17"/>
      <c r="Q96" s="16"/>
      <c r="R96" s="60"/>
      <c r="S96" s="16"/>
      <c r="T96" s="41"/>
      <c r="U96" s="10"/>
      <c r="V96" s="34"/>
      <c r="W96" s="33"/>
      <c r="X96" s="33"/>
      <c r="Y96" s="33"/>
      <c r="Z96" s="33"/>
      <c r="AA96" s="33"/>
      <c r="AB96" s="46"/>
      <c r="AC96" s="33"/>
      <c r="AD96" s="33"/>
      <c r="AE96" s="50"/>
      <c r="AF96" s="33"/>
      <c r="AG96" s="33"/>
      <c r="AH96" s="233"/>
      <c r="AI96" s="50"/>
      <c r="AJ96" s="10"/>
      <c r="AK96" s="23"/>
      <c r="AL96" s="24"/>
      <c r="AM96" s="24"/>
      <c r="AN96" s="24"/>
      <c r="AO96" s="24"/>
      <c r="AP96" s="24"/>
      <c r="AQ96" s="25"/>
      <c r="AR96" s="25"/>
      <c r="AS96" s="25"/>
      <c r="AT96" s="24"/>
      <c r="AU96" s="344"/>
      <c r="AV96" s="344"/>
      <c r="AW96" s="24"/>
      <c r="AX96" s="354"/>
      <c r="AY96" s="10"/>
      <c r="AZ96" s="66"/>
      <c r="BA96" s="67"/>
      <c r="BB96" s="67"/>
      <c r="BC96" s="67"/>
      <c r="BD96" s="67"/>
      <c r="BE96" s="67"/>
      <c r="BF96" s="157"/>
      <c r="BG96" s="67"/>
      <c r="BH96" s="185"/>
      <c r="BI96" s="67"/>
      <c r="BJ96" s="67"/>
      <c r="BK96" s="67"/>
      <c r="BL96" s="157"/>
      <c r="BM96" s="66"/>
      <c r="BN96" s="67"/>
      <c r="BO96" s="67"/>
      <c r="BP96" s="67"/>
      <c r="BQ96" s="74"/>
      <c r="BR96" s="67"/>
      <c r="BS96" s="86"/>
      <c r="BT96" s="185"/>
      <c r="BU96" s="1"/>
      <c r="BV96">
        <f t="shared" si="220"/>
        <v>87</v>
      </c>
    </row>
    <row r="97" spans="2:84" x14ac:dyDescent="0.3">
      <c r="B97" s="173">
        <f t="shared" si="203"/>
        <v>43997</v>
      </c>
      <c r="C97" s="61"/>
      <c r="D97" s="17"/>
      <c r="E97" s="16"/>
      <c r="F97" s="16"/>
      <c r="G97" s="16"/>
      <c r="H97" s="16"/>
      <c r="I97" s="16"/>
      <c r="J97" s="38"/>
      <c r="K97" s="16"/>
      <c r="L97" s="16"/>
      <c r="M97" s="16"/>
      <c r="N97" s="16"/>
      <c r="O97" s="41"/>
      <c r="P97" s="457"/>
      <c r="Q97" s="16"/>
      <c r="R97" s="60"/>
      <c r="S97" s="16"/>
      <c r="T97" s="41"/>
      <c r="U97" s="10"/>
      <c r="V97" s="34"/>
      <c r="W97" s="33"/>
      <c r="X97" s="33"/>
      <c r="Y97" s="33"/>
      <c r="Z97" s="33"/>
      <c r="AA97" s="33"/>
      <c r="AB97" s="46"/>
      <c r="AC97" s="33"/>
      <c r="AD97" s="33"/>
      <c r="AE97" s="50"/>
      <c r="AF97" s="33"/>
      <c r="AG97" s="33"/>
      <c r="AH97" s="233"/>
      <c r="AI97" s="50"/>
      <c r="AJ97" s="10"/>
      <c r="AK97" s="23"/>
      <c r="AL97" s="24"/>
      <c r="AM97" s="24"/>
      <c r="AN97" s="24"/>
      <c r="AO97" s="24"/>
      <c r="AP97" s="24"/>
      <c r="AQ97" s="25"/>
      <c r="AR97" s="25"/>
      <c r="AS97" s="25"/>
      <c r="AT97" s="24"/>
      <c r="AU97" s="344"/>
      <c r="AV97" s="344"/>
      <c r="AW97" s="24"/>
      <c r="AX97" s="354"/>
      <c r="AY97" s="10"/>
      <c r="AZ97" s="66"/>
      <c r="BA97" s="67"/>
      <c r="BB97" s="67"/>
      <c r="BC97" s="67"/>
      <c r="BD97" s="67"/>
      <c r="BE97" s="67"/>
      <c r="BF97" s="157"/>
      <c r="BG97" s="67"/>
      <c r="BH97" s="185"/>
      <c r="BI97" s="67"/>
      <c r="BJ97" s="157"/>
      <c r="BK97" s="67"/>
      <c r="BL97" s="157"/>
      <c r="BM97" s="66"/>
      <c r="BN97" s="67"/>
      <c r="BO97" s="67"/>
      <c r="BP97" s="67"/>
      <c r="BQ97" s="74"/>
      <c r="BR97" s="67"/>
      <c r="BS97" s="86"/>
      <c r="BT97" s="185"/>
      <c r="BU97" s="1"/>
      <c r="BV97">
        <f t="shared" si="220"/>
        <v>88</v>
      </c>
    </row>
    <row r="98" spans="2:84" x14ac:dyDescent="0.3">
      <c r="B98" s="173">
        <f t="shared" si="203"/>
        <v>43998</v>
      </c>
      <c r="D98" s="18"/>
      <c r="E98" s="19"/>
      <c r="F98" s="19"/>
      <c r="G98" s="19"/>
      <c r="H98" s="19"/>
      <c r="I98" s="19"/>
      <c r="J98" s="39"/>
      <c r="K98" s="19"/>
      <c r="L98" s="19"/>
      <c r="M98" s="19"/>
      <c r="N98" s="19"/>
      <c r="O98" s="43"/>
      <c r="P98" s="18"/>
      <c r="Q98" s="19"/>
      <c r="R98" s="19"/>
      <c r="S98" s="19"/>
      <c r="T98" s="43"/>
      <c r="U98" s="1"/>
      <c r="V98" s="35"/>
      <c r="W98" s="36"/>
      <c r="X98" s="36"/>
      <c r="Y98" s="36"/>
      <c r="Z98" s="36"/>
      <c r="AA98" s="36"/>
      <c r="AB98" s="47"/>
      <c r="AC98" s="36"/>
      <c r="AD98" s="36"/>
      <c r="AE98" s="51"/>
      <c r="AF98" s="36"/>
      <c r="AG98" s="36"/>
      <c r="AH98" s="36"/>
      <c r="AI98" s="51"/>
      <c r="AJ98" s="1"/>
      <c r="AK98" s="26"/>
      <c r="AL98" s="27"/>
      <c r="AM98" s="27"/>
      <c r="AN98" s="27"/>
      <c r="AO98" s="27"/>
      <c r="AP98" s="27"/>
      <c r="AQ98" s="27"/>
      <c r="AR98" s="27"/>
      <c r="AS98" s="27"/>
      <c r="AT98" s="27"/>
      <c r="AU98" s="346"/>
      <c r="AV98" s="346"/>
      <c r="AW98" s="27"/>
      <c r="AX98" s="353"/>
      <c r="AY98" s="1"/>
      <c r="AZ98" s="68"/>
      <c r="BA98" s="69"/>
      <c r="BB98" s="69"/>
      <c r="BC98" s="69"/>
      <c r="BD98" s="69"/>
      <c r="BE98" s="69"/>
      <c r="BF98" s="69"/>
      <c r="BG98" s="69"/>
      <c r="BH98" s="186"/>
      <c r="BI98" s="69"/>
      <c r="BJ98" s="69"/>
      <c r="BK98" s="69"/>
      <c r="BL98" s="69"/>
      <c r="BM98" s="68"/>
      <c r="BN98" s="69"/>
      <c r="BO98" s="69"/>
      <c r="BP98" s="69"/>
      <c r="BQ98" s="71"/>
      <c r="BR98" s="69"/>
      <c r="BS98" s="69"/>
      <c r="BT98" s="186"/>
      <c r="BU98" s="1"/>
      <c r="BV98">
        <f t="shared" si="220"/>
        <v>89</v>
      </c>
    </row>
    <row r="99" spans="2:84" x14ac:dyDescent="0.3">
      <c r="B99" s="56"/>
      <c r="D99" s="1"/>
      <c r="E99" s="1"/>
      <c r="F99" s="1"/>
      <c r="G99" s="1"/>
      <c r="H99" s="59"/>
      <c r="I99" s="1"/>
      <c r="J99" s="5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59"/>
      <c r="W99" s="1"/>
      <c r="X99" s="1"/>
      <c r="Y99" s="1"/>
      <c r="Z99" s="1"/>
      <c r="AA99" s="1"/>
      <c r="AB99" s="5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59"/>
      <c r="BC99" s="1"/>
      <c r="BD99" s="59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84" x14ac:dyDescent="0.3">
      <c r="B100" s="181" t="s">
        <v>83</v>
      </c>
      <c r="D100" s="56">
        <f>+D93</f>
        <v>23300</v>
      </c>
      <c r="E100" s="56"/>
      <c r="F100" s="56"/>
      <c r="G100" s="56"/>
      <c r="H100" s="56">
        <f t="shared" ref="H100:BO100" si="510">+H93</f>
        <v>2089701</v>
      </c>
      <c r="I100" s="56">
        <f t="shared" si="510"/>
        <v>0</v>
      </c>
      <c r="J100" s="56">
        <f t="shared" si="510"/>
        <v>1.127564301411004E-2</v>
      </c>
      <c r="K100" s="56">
        <f t="shared" si="510"/>
        <v>0</v>
      </c>
      <c r="L100" s="56">
        <f t="shared" si="510"/>
        <v>0</v>
      </c>
      <c r="M100" s="56">
        <f t="shared" si="510"/>
        <v>0</v>
      </c>
      <c r="N100" s="56">
        <f t="shared" si="510"/>
        <v>24877.392857142859</v>
      </c>
      <c r="O100" s="56">
        <f t="shared" si="510"/>
        <v>0</v>
      </c>
      <c r="P100" s="56">
        <f t="shared" si="510"/>
        <v>148856</v>
      </c>
      <c r="Q100" s="56">
        <f t="shared" si="510"/>
        <v>0</v>
      </c>
      <c r="R100" s="56" t="e">
        <f t="shared" si="510"/>
        <v>#DIV/0!</v>
      </c>
      <c r="S100" s="56">
        <f t="shared" si="510"/>
        <v>0</v>
      </c>
      <c r="T100" s="56">
        <f t="shared" si="510"/>
        <v>0</v>
      </c>
      <c r="U100" s="56">
        <f t="shared" si="510"/>
        <v>0</v>
      </c>
      <c r="V100" s="56">
        <f t="shared" si="510"/>
        <v>904</v>
      </c>
      <c r="W100" s="56">
        <f t="shared" si="510"/>
        <v>0</v>
      </c>
      <c r="X100" s="56">
        <f t="shared" si="510"/>
        <v>0</v>
      </c>
      <c r="Y100" s="56">
        <f t="shared" si="510"/>
        <v>0</v>
      </c>
      <c r="Z100" s="56">
        <f t="shared" si="510"/>
        <v>116034</v>
      </c>
      <c r="AA100" s="56">
        <f t="shared" si="510"/>
        <v>0</v>
      </c>
      <c r="AB100" s="56">
        <f t="shared" si="510"/>
        <v>5.552660404526772E-2</v>
      </c>
      <c r="AC100" s="56">
        <f t="shared" si="510"/>
        <v>0</v>
      </c>
      <c r="AD100" s="56">
        <f t="shared" si="510"/>
        <v>1381.3571428571429</v>
      </c>
      <c r="AE100" s="56">
        <f t="shared" si="510"/>
        <v>0</v>
      </c>
      <c r="AF100" s="56">
        <f t="shared" si="510"/>
        <v>5788</v>
      </c>
      <c r="AG100" s="56">
        <f t="shared" si="510"/>
        <v>0</v>
      </c>
      <c r="AH100" s="56" t="e">
        <f t="shared" si="510"/>
        <v>#DIV/0!</v>
      </c>
      <c r="AI100" s="56">
        <f t="shared" si="510"/>
        <v>0</v>
      </c>
      <c r="AJ100" s="56">
        <f t="shared" si="510"/>
        <v>0</v>
      </c>
      <c r="AK100" s="56">
        <f t="shared" si="510"/>
        <v>5331</v>
      </c>
      <c r="AL100" s="56">
        <f t="shared" si="510"/>
        <v>0</v>
      </c>
      <c r="AM100" s="56">
        <f t="shared" si="510"/>
        <v>0</v>
      </c>
      <c r="AN100" s="56">
        <f t="shared" si="510"/>
        <v>178263</v>
      </c>
      <c r="AO100" s="56">
        <f t="shared" si="510"/>
        <v>813825</v>
      </c>
      <c r="AP100" s="56">
        <f t="shared" si="510"/>
        <v>0</v>
      </c>
      <c r="AQ100" s="56">
        <f t="shared" si="510"/>
        <v>6.5937409554059773E-3</v>
      </c>
      <c r="AR100" s="56">
        <f t="shared" si="510"/>
        <v>0</v>
      </c>
      <c r="AS100" s="56">
        <f t="shared" si="510"/>
        <v>0</v>
      </c>
      <c r="AT100" s="56">
        <f t="shared" si="510"/>
        <v>0</v>
      </c>
      <c r="AU100" s="56">
        <f t="shared" si="510"/>
        <v>0.38944566710739958</v>
      </c>
      <c r="AV100" s="56">
        <f t="shared" si="510"/>
        <v>0</v>
      </c>
      <c r="AW100" s="56">
        <f t="shared" si="510"/>
        <v>9688.3928571428569</v>
      </c>
      <c r="AX100" s="56">
        <f t="shared" si="510"/>
        <v>0</v>
      </c>
      <c r="AY100" s="56">
        <f t="shared" si="510"/>
        <v>0</v>
      </c>
      <c r="AZ100" s="56">
        <f t="shared" si="510"/>
        <v>447712</v>
      </c>
      <c r="BA100" s="56">
        <f t="shared" si="510"/>
        <v>0</v>
      </c>
      <c r="BB100" s="56">
        <f t="shared" si="510"/>
        <v>23073470</v>
      </c>
      <c r="BC100" s="56">
        <f t="shared" si="510"/>
        <v>0</v>
      </c>
      <c r="BD100" s="56">
        <f t="shared" si="510"/>
        <v>23300</v>
      </c>
      <c r="BE100" s="56">
        <f t="shared" si="510"/>
        <v>0</v>
      </c>
      <c r="BF100" s="56">
        <f t="shared" si="510"/>
        <v>5.2042384389964974E-2</v>
      </c>
      <c r="BG100" s="56">
        <f t="shared" si="510"/>
        <v>0</v>
      </c>
      <c r="BH100" s="56">
        <f t="shared" si="510"/>
        <v>0</v>
      </c>
      <c r="BI100" s="56">
        <f t="shared" si="510"/>
        <v>0</v>
      </c>
      <c r="BJ100" s="56">
        <f t="shared" si="510"/>
        <v>3505401</v>
      </c>
      <c r="BK100" s="56">
        <f t="shared" si="510"/>
        <v>0</v>
      </c>
      <c r="BL100" s="56">
        <f t="shared" si="510"/>
        <v>4.2464756528568341E-2</v>
      </c>
      <c r="BM100" s="56">
        <f t="shared" si="510"/>
        <v>274684.16666666669</v>
      </c>
      <c r="BN100" s="56">
        <f t="shared" si="510"/>
        <v>0</v>
      </c>
      <c r="BO100" s="56">
        <f t="shared" si="510"/>
        <v>1820585</v>
      </c>
      <c r="BP100" s="10"/>
      <c r="BQ100" s="62"/>
      <c r="BR100" s="10"/>
      <c r="BS100" s="10"/>
      <c r="BT100" s="10"/>
      <c r="BU100" s="10"/>
      <c r="BV100" s="161"/>
      <c r="BW100" s="10"/>
      <c r="BX100" s="62"/>
      <c r="BY100" s="10"/>
      <c r="BZ100" s="161"/>
      <c r="CA100" s="61"/>
      <c r="CB100" s="61"/>
      <c r="CC100" s="61"/>
      <c r="CD100" s="61"/>
      <c r="CE100" s="61"/>
      <c r="CF100" s="158"/>
    </row>
    <row r="101" spans="2:84" x14ac:dyDescent="0.3">
      <c r="B101" t="s">
        <v>119</v>
      </c>
      <c r="D101" s="56">
        <f>+D92-D100</f>
        <v>-2448</v>
      </c>
      <c r="H101" s="56">
        <f t="shared" ref="H101:BO101" si="511">+H92-H100</f>
        <v>-23300</v>
      </c>
      <c r="I101" s="56">
        <f t="shared" si="511"/>
        <v>0</v>
      </c>
      <c r="J101" s="56">
        <f t="shared" si="511"/>
        <v>-1.0818026318948001E-3</v>
      </c>
      <c r="K101" s="56">
        <f t="shared" si="511"/>
        <v>0</v>
      </c>
      <c r="L101" s="56">
        <f t="shared" si="511"/>
        <v>0</v>
      </c>
      <c r="M101" s="56">
        <f t="shared" si="511"/>
        <v>0</v>
      </c>
      <c r="N101" s="56">
        <f t="shared" si="511"/>
        <v>19.004733218585898</v>
      </c>
      <c r="O101" s="56">
        <f t="shared" si="511"/>
        <v>0</v>
      </c>
      <c r="P101" s="56">
        <f t="shared" si="511"/>
        <v>-1032</v>
      </c>
      <c r="Q101" s="56">
        <f t="shared" si="511"/>
        <v>0</v>
      </c>
      <c r="R101" s="56" t="e">
        <f t="shared" si="511"/>
        <v>#DIV/0!</v>
      </c>
      <c r="S101" s="56">
        <f t="shared" si="511"/>
        <v>0</v>
      </c>
      <c r="T101" s="56">
        <f t="shared" si="511"/>
        <v>0</v>
      </c>
      <c r="U101" s="56">
        <f t="shared" si="511"/>
        <v>0</v>
      </c>
      <c r="V101" s="56">
        <f t="shared" si="511"/>
        <v>78</v>
      </c>
      <c r="W101" s="56">
        <f t="shared" si="511"/>
        <v>0</v>
      </c>
      <c r="X101" s="56">
        <f t="shared" si="511"/>
        <v>0</v>
      </c>
      <c r="Y101" s="56">
        <f t="shared" si="511"/>
        <v>0</v>
      </c>
      <c r="Z101" s="56">
        <f t="shared" si="511"/>
        <v>-904</v>
      </c>
      <c r="AA101" s="56">
        <f t="shared" si="511"/>
        <v>0</v>
      </c>
      <c r="AB101" s="56">
        <f t="shared" si="511"/>
        <v>1.8862257337987076E-4</v>
      </c>
      <c r="AC101" s="56">
        <f t="shared" si="511"/>
        <v>0</v>
      </c>
      <c r="AD101" s="56">
        <f t="shared" si="511"/>
        <v>5.7512908777969187</v>
      </c>
      <c r="AE101" s="56">
        <f t="shared" si="511"/>
        <v>0</v>
      </c>
      <c r="AF101" s="56">
        <f t="shared" si="511"/>
        <v>127</v>
      </c>
      <c r="AG101" s="56">
        <f t="shared" si="511"/>
        <v>0</v>
      </c>
      <c r="AH101" s="56" t="e">
        <f t="shared" si="511"/>
        <v>#DIV/0!</v>
      </c>
      <c r="AI101" s="56">
        <f t="shared" si="511"/>
        <v>0</v>
      </c>
      <c r="AJ101" s="56">
        <f t="shared" si="511"/>
        <v>0</v>
      </c>
      <c r="AK101" s="56">
        <f t="shared" si="511"/>
        <v>14301</v>
      </c>
      <c r="AL101" s="56">
        <f t="shared" si="511"/>
        <v>0</v>
      </c>
      <c r="AM101" s="56">
        <f t="shared" si="511"/>
        <v>0</v>
      </c>
      <c r="AN101" s="56">
        <f t="shared" si="511"/>
        <v>0</v>
      </c>
      <c r="AO101" s="56">
        <f t="shared" si="511"/>
        <v>-5331</v>
      </c>
      <c r="AP101" s="56">
        <f t="shared" si="511"/>
        <v>0</v>
      </c>
      <c r="AQ101" s="56">
        <f t="shared" si="511"/>
        <v>1.8292741090883489E-2</v>
      </c>
      <c r="AR101" s="56">
        <f t="shared" si="511"/>
        <v>0</v>
      </c>
      <c r="AS101" s="56">
        <f t="shared" si="511"/>
        <v>0</v>
      </c>
      <c r="AT101" s="56">
        <f t="shared" si="511"/>
        <v>0</v>
      </c>
      <c r="AU101" s="56">
        <f t="shared" si="511"/>
        <v>1.8114025513936705E-3</v>
      </c>
      <c r="AV101" s="56">
        <f t="shared" si="511"/>
        <v>0</v>
      </c>
      <c r="AW101" s="56">
        <f t="shared" si="511"/>
        <v>52.498709122202854</v>
      </c>
      <c r="AX101" s="56">
        <f t="shared" si="511"/>
        <v>0</v>
      </c>
      <c r="AY101" s="56">
        <f t="shared" si="511"/>
        <v>0</v>
      </c>
      <c r="AZ101" s="56">
        <f t="shared" si="511"/>
        <v>37370</v>
      </c>
      <c r="BA101" s="56">
        <f t="shared" si="511"/>
        <v>0</v>
      </c>
      <c r="BB101" s="56">
        <f t="shared" si="511"/>
        <v>-447712</v>
      </c>
      <c r="BC101" s="56">
        <f t="shared" si="511"/>
        <v>0</v>
      </c>
      <c r="BD101" s="56">
        <f t="shared" si="511"/>
        <v>-2448</v>
      </c>
      <c r="BE101" s="56">
        <f t="shared" si="511"/>
        <v>0</v>
      </c>
      <c r="BF101" s="56">
        <f t="shared" si="511"/>
        <v>-9.055837785473364E-3</v>
      </c>
      <c r="BG101" s="56">
        <f t="shared" si="511"/>
        <v>0</v>
      </c>
      <c r="BH101" s="56">
        <f t="shared" si="511"/>
        <v>0</v>
      </c>
      <c r="BI101" s="56">
        <f t="shared" si="511"/>
        <v>0</v>
      </c>
      <c r="BJ101" s="56">
        <f t="shared" si="511"/>
        <v>23686</v>
      </c>
      <c r="BK101" s="56">
        <f t="shared" si="511"/>
        <v>0</v>
      </c>
      <c r="BL101" s="56">
        <f t="shared" si="511"/>
        <v>-5.7743553024781208E-4</v>
      </c>
      <c r="BM101" s="56">
        <f t="shared" si="511"/>
        <v>-2084.67269076308</v>
      </c>
      <c r="BN101" s="56">
        <f t="shared" si="511"/>
        <v>0</v>
      </c>
      <c r="BO101" s="56">
        <f t="shared" si="511"/>
        <v>-23300</v>
      </c>
      <c r="BP101" s="10"/>
      <c r="BQ101" s="10"/>
      <c r="BR101" s="10"/>
      <c r="BS101" s="10"/>
      <c r="BT101" s="10"/>
      <c r="BU101" s="10"/>
      <c r="BV101" s="62"/>
      <c r="BW101" s="10"/>
      <c r="BX101" s="10"/>
      <c r="BY101" s="10"/>
      <c r="BZ101" s="62"/>
      <c r="CA101" s="61"/>
      <c r="CB101" s="61"/>
      <c r="CC101" s="61"/>
      <c r="CD101" s="61"/>
      <c r="CE101" s="61"/>
      <c r="CF101" s="117"/>
    </row>
    <row r="102" spans="2:84" x14ac:dyDescent="0.3">
      <c r="N102" s="59"/>
      <c r="Z102" s="56"/>
      <c r="AB102" s="59"/>
      <c r="AD102" s="275"/>
      <c r="AZ102" s="59"/>
      <c r="BF102" s="59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61"/>
      <c r="CB102" s="117"/>
      <c r="CC102" s="117"/>
      <c r="CD102" s="117"/>
      <c r="CE102" s="117"/>
    </row>
    <row r="103" spans="2:84" x14ac:dyDescent="0.3">
      <c r="D103" s="56"/>
      <c r="H103" s="1"/>
      <c r="N103" s="59"/>
      <c r="V103" s="56"/>
      <c r="Z103" s="55"/>
      <c r="AZ103" s="59"/>
      <c r="BB103" s="56"/>
      <c r="BD103" s="59"/>
      <c r="BI103" s="61"/>
      <c r="BJ103" s="62">
        <f>+BJ101/BJ82</f>
        <v>8.1038424995663414E-3</v>
      </c>
      <c r="BK103" s="61"/>
      <c r="BL103" s="61"/>
      <c r="BM103" s="61"/>
      <c r="BN103" s="61"/>
      <c r="BO103" s="61"/>
      <c r="BP103" s="61"/>
      <c r="BQ103" s="61"/>
      <c r="BR103" s="10"/>
      <c r="BS103" s="10"/>
    </row>
    <row r="104" spans="2:84" x14ac:dyDescent="0.3">
      <c r="H104" s="56"/>
      <c r="V104" s="56"/>
      <c r="Z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90"/>
      <c r="BR104" s="1"/>
      <c r="BS104" s="1"/>
    </row>
    <row r="105" spans="2:84" x14ac:dyDescent="0.3">
      <c r="D105" s="1"/>
      <c r="E105" s="123" t="s">
        <v>28</v>
      </c>
      <c r="F105" s="124"/>
      <c r="G105" s="124" t="s">
        <v>67</v>
      </c>
      <c r="H105" s="116"/>
      <c r="I105" s="116"/>
      <c r="J105" s="116"/>
      <c r="K105" s="61"/>
      <c r="L105" s="10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90"/>
      <c r="BR105" s="1"/>
      <c r="BS105" s="1"/>
    </row>
    <row r="106" spans="2:84" x14ac:dyDescent="0.3">
      <c r="D106" s="1"/>
      <c r="E106" s="123" t="s">
        <v>40</v>
      </c>
      <c r="F106" s="124"/>
      <c r="G106" s="124" t="s">
        <v>42</v>
      </c>
      <c r="H106" s="10"/>
      <c r="I106" s="10"/>
      <c r="J106" s="10"/>
      <c r="K106" s="61"/>
      <c r="L106" s="10"/>
      <c r="AC106" s="1"/>
      <c r="AD106" s="1"/>
      <c r="AE106" s="1"/>
      <c r="AF106" s="1"/>
      <c r="AG106" s="1"/>
      <c r="AH106" s="1"/>
      <c r="AI106" s="1"/>
      <c r="AJ106" s="1"/>
      <c r="AK106" s="1" t="s">
        <v>17</v>
      </c>
      <c r="AL106" s="1"/>
      <c r="AM106" s="1"/>
      <c r="AN106" s="1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90"/>
      <c r="BR106" s="1"/>
      <c r="BS106" s="1"/>
    </row>
    <row r="107" spans="2:84" x14ac:dyDescent="0.3">
      <c r="D107" s="1"/>
      <c r="E107" s="123" t="s">
        <v>47</v>
      </c>
      <c r="F107" s="124"/>
      <c r="G107" s="124" t="s">
        <v>57</v>
      </c>
      <c r="H107" s="10"/>
      <c r="I107" s="10"/>
      <c r="J107" s="10"/>
      <c r="K107" s="61"/>
      <c r="L107" s="10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90"/>
      <c r="BR107" s="1"/>
      <c r="BS107" s="1"/>
    </row>
    <row r="108" spans="2:84" x14ac:dyDescent="0.3">
      <c r="D108" s="1"/>
      <c r="E108" s="123" t="s">
        <v>68</v>
      </c>
      <c r="F108" s="61"/>
      <c r="G108" s="93" t="s">
        <v>69</v>
      </c>
      <c r="H108" s="61"/>
      <c r="I108" s="61"/>
      <c r="J108" s="61"/>
      <c r="K108" s="61"/>
      <c r="L108" s="6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90"/>
      <c r="BR108" s="1"/>
      <c r="BS108" s="1"/>
    </row>
    <row r="109" spans="2:84" x14ac:dyDescent="0.3">
      <c r="AC109" s="1"/>
      <c r="AD109" s="1"/>
      <c r="AE109" s="1"/>
      <c r="AF109" s="1"/>
      <c r="AG109" s="1"/>
      <c r="AH109" s="1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1"/>
      <c r="BS109" s="1"/>
    </row>
    <row r="110" spans="2:84" x14ac:dyDescent="0.3">
      <c r="AC110" s="1"/>
      <c r="AD110" s="1"/>
      <c r="AE110" s="1"/>
      <c r="AF110" s="1"/>
      <c r="AG110" s="1"/>
      <c r="AH110" s="1"/>
    </row>
    <row r="111" spans="2:84" x14ac:dyDescent="0.3">
      <c r="D111" s="56"/>
      <c r="AC111" s="1"/>
      <c r="AD111" s="1"/>
      <c r="AE111" s="1"/>
      <c r="AF111" s="1"/>
      <c r="AG111" s="1"/>
      <c r="AH111" s="1"/>
    </row>
    <row r="112" spans="2:84" x14ac:dyDescent="0.3">
      <c r="D112" s="1">
        <v>4900</v>
      </c>
      <c r="Z112" s="56"/>
      <c r="AC112" s="1"/>
      <c r="AD112" s="1"/>
      <c r="AE112" s="1"/>
      <c r="AF112" s="1"/>
      <c r="AG112" s="1"/>
      <c r="AH112" s="1"/>
    </row>
    <row r="113" spans="2:86" x14ac:dyDescent="0.3">
      <c r="D113" s="1">
        <v>1000000</v>
      </c>
      <c r="AC113" s="1"/>
      <c r="AD113" s="1"/>
      <c r="AE113" s="1"/>
      <c r="AF113" s="1"/>
      <c r="AG113" s="1"/>
      <c r="AH113" s="1"/>
    </row>
    <row r="114" spans="2:86" x14ac:dyDescent="0.3">
      <c r="AC114" s="1"/>
      <c r="AD114" s="1"/>
      <c r="AE114" s="1"/>
      <c r="AF114" s="1"/>
      <c r="AG114" s="1"/>
      <c r="AH114" s="1"/>
    </row>
    <row r="115" spans="2:86" x14ac:dyDescent="0.3">
      <c r="D115" s="279">
        <f>+D112/D113</f>
        <v>4.8999999999999998E-3</v>
      </c>
      <c r="AC115" s="1"/>
      <c r="AD115" s="1"/>
      <c r="AE115" s="1"/>
      <c r="AF115" s="1"/>
      <c r="AG115" s="1"/>
      <c r="AH115" s="1"/>
    </row>
    <row r="116" spans="2:86" x14ac:dyDescent="0.3">
      <c r="AC116" s="1"/>
      <c r="AD116" s="1"/>
      <c r="AE116" s="1"/>
      <c r="AF116" s="1"/>
      <c r="AG116" s="1"/>
      <c r="AH116" s="1"/>
    </row>
    <row r="117" spans="2:86" x14ac:dyDescent="0.3">
      <c r="D117" s="475"/>
      <c r="AC117" s="1"/>
      <c r="AD117" s="1"/>
      <c r="AE117" s="1"/>
      <c r="AF117" s="1"/>
      <c r="AG117" s="1"/>
      <c r="AH117" s="1"/>
    </row>
    <row r="118" spans="2:86" x14ac:dyDescent="0.3">
      <c r="B118" s="474"/>
      <c r="AC118" s="1"/>
      <c r="AD118" s="1"/>
      <c r="AE118" s="1"/>
      <c r="AF118" s="1"/>
      <c r="AG118" s="1"/>
      <c r="AH118" s="1"/>
    </row>
    <row r="119" spans="2:86" x14ac:dyDescent="0.3">
      <c r="D119" s="474"/>
      <c r="AC119" s="1"/>
      <c r="AD119" s="1"/>
      <c r="AE119" s="1"/>
      <c r="AF119" s="1"/>
      <c r="AG119" s="1"/>
      <c r="AH119" s="1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1"/>
      <c r="BS119" s="1"/>
      <c r="BT119" s="1"/>
      <c r="BU119" s="1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</row>
    <row r="120" spans="2:86" x14ac:dyDescent="0.3">
      <c r="AC120" s="10"/>
      <c r="AD120" s="10"/>
      <c r="AE120" s="10"/>
      <c r="AF120" s="10"/>
      <c r="AG120" s="10"/>
      <c r="AH120" s="1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121"/>
      <c r="CA120" s="1"/>
      <c r="CB120" s="1"/>
      <c r="CC120" s="1"/>
      <c r="CD120" s="1"/>
      <c r="CE120" s="1"/>
      <c r="CF120" s="1"/>
      <c r="CG120" s="1"/>
      <c r="CH120" s="1"/>
    </row>
    <row r="121" spans="2:86" x14ac:dyDescent="0.3">
      <c r="D121">
        <v>10</v>
      </c>
      <c r="AC121" s="10"/>
      <c r="AD121" s="10"/>
      <c r="AE121" s="10"/>
      <c r="AF121" s="10"/>
      <c r="AG121" s="10"/>
      <c r="AH121" s="1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  <c r="CA121" s="1"/>
      <c r="CB121" s="1"/>
      <c r="CC121" s="1"/>
      <c r="CD121" s="1"/>
      <c r="CE121" s="1"/>
      <c r="CF121" s="1"/>
      <c r="CG121" s="1"/>
      <c r="CH121" s="1"/>
    </row>
    <row r="122" spans="2:86" x14ac:dyDescent="0.3">
      <c r="D122" s="1">
        <v>1000000</v>
      </c>
      <c r="AC122" s="10"/>
      <c r="AD122" s="10"/>
      <c r="AE122" s="10"/>
      <c r="AF122" s="10"/>
      <c r="AG122" s="10"/>
      <c r="AH122" s="1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  <c r="CA122" s="1"/>
      <c r="CB122" s="1"/>
      <c r="CC122" s="1"/>
      <c r="CD122" s="1"/>
      <c r="CE122" s="1"/>
      <c r="CF122" s="1"/>
    </row>
    <row r="123" spans="2:86" x14ac:dyDescent="0.3">
      <c r="D123" s="57">
        <f>+D121/D122</f>
        <v>1.0000000000000001E-5</v>
      </c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89"/>
      <c r="CA123" s="1"/>
      <c r="CB123" s="1"/>
      <c r="CC123" s="1"/>
      <c r="CD123" s="1"/>
      <c r="CE123" s="1"/>
      <c r="CF123" s="1"/>
    </row>
    <row r="124" spans="2:86" x14ac:dyDescent="0.3"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122"/>
      <c r="BY124" s="89"/>
      <c r="BZ124" s="89"/>
    </row>
    <row r="125" spans="2:86" x14ac:dyDescent="0.3">
      <c r="D125" s="1">
        <v>330000000</v>
      </c>
      <c r="AC125" s="10"/>
      <c r="AD125" s="10"/>
      <c r="AE125" s="10"/>
      <c r="AF125" s="10"/>
      <c r="AG125" s="10"/>
      <c r="AH125" s="10"/>
      <c r="AI125" s="90"/>
      <c r="AJ125" s="90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9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</row>
    <row r="126" spans="2:86" x14ac:dyDescent="0.3">
      <c r="AC126" s="10"/>
      <c r="AD126" s="10"/>
      <c r="AE126" s="10"/>
      <c r="AF126" s="10"/>
      <c r="AG126" s="10"/>
      <c r="AH126" s="10"/>
      <c r="AI126" s="90"/>
      <c r="AJ126" s="90"/>
      <c r="AK126" s="151"/>
      <c r="AL126" s="151"/>
      <c r="AM126" s="151"/>
      <c r="AN126" s="151"/>
      <c r="AO126" s="151"/>
      <c r="AP126" s="151"/>
      <c r="AQ126" s="151"/>
      <c r="AR126" s="90"/>
      <c r="AS126" s="90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</row>
    <row r="127" spans="2:86" x14ac:dyDescent="0.3">
      <c r="D127" s="472">
        <f>+H72/D125</f>
        <v>4.9627030303030307E-3</v>
      </c>
      <c r="AC127" s="10"/>
      <c r="AD127" s="10"/>
      <c r="AE127" s="10"/>
      <c r="AF127" s="10"/>
      <c r="AG127" s="10"/>
      <c r="AH127" s="10"/>
      <c r="AI127" s="90"/>
      <c r="AJ127" s="90"/>
      <c r="AK127" s="151"/>
      <c r="AL127" s="151"/>
      <c r="AM127" s="151"/>
      <c r="AN127" s="151"/>
      <c r="AO127" s="151"/>
      <c r="AP127" s="151"/>
      <c r="AQ127" s="151"/>
      <c r="AR127" s="151"/>
      <c r="AS127" s="110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89"/>
      <c r="BY127" s="89"/>
      <c r="BZ127" s="89"/>
    </row>
    <row r="128" spans="2:86" x14ac:dyDescent="0.3">
      <c r="D128">
        <v>150000</v>
      </c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90"/>
      <c r="AS128" s="90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D129" s="279">
        <f>+D128/D125</f>
        <v>4.5454545454545455E-4</v>
      </c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D130">
        <v>28.59</v>
      </c>
      <c r="AC130" s="10"/>
      <c r="AD130" s="10"/>
      <c r="AE130" s="10"/>
      <c r="AF130" s="10"/>
      <c r="AG130" s="10"/>
      <c r="AH130" s="10"/>
      <c r="AI130" s="90"/>
      <c r="AJ130" s="90"/>
      <c r="AK130" s="90"/>
      <c r="AL130" s="90"/>
      <c r="AM130" s="152"/>
      <c r="AN130" s="152"/>
      <c r="AO130" s="152"/>
      <c r="AP130" s="152"/>
      <c r="AQ130" s="152"/>
      <c r="AR130" s="152"/>
      <c r="AS130" s="152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152"/>
      <c r="AS131" s="152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2:78" x14ac:dyDescent="0.3">
      <c r="D132">
        <f>+D125/100000</f>
        <v>3300</v>
      </c>
      <c r="AC132" s="10"/>
      <c r="AD132" s="10"/>
      <c r="AE132" s="10"/>
      <c r="AF132" s="10"/>
      <c r="AG132" s="10"/>
      <c r="AH132" s="10"/>
      <c r="AI132" s="90"/>
      <c r="AJ132" s="90"/>
      <c r="AK132" s="90"/>
      <c r="AL132" s="90"/>
      <c r="AM132" s="152"/>
      <c r="AN132" s="152"/>
      <c r="AO132" s="152"/>
      <c r="AP132" s="152"/>
      <c r="AQ132" s="152"/>
      <c r="AR132" s="152"/>
      <c r="AS132" s="152"/>
      <c r="AT132" s="90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f>+D132*D130</f>
        <v>94347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AC135" s="10"/>
      <c r="AD135" s="10"/>
      <c r="AE135" s="10"/>
      <c r="AF135" s="10"/>
      <c r="AG135" s="10"/>
      <c r="AH135" s="10"/>
      <c r="AI135" s="90"/>
      <c r="AJ135" s="90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90"/>
      <c r="AV135" s="90"/>
      <c r="AW135" s="90"/>
      <c r="AX135" s="90"/>
      <c r="AY135" s="90"/>
      <c r="AZ135" s="11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AC136" s="10"/>
      <c r="AD136" s="10"/>
      <c r="AE136" s="10"/>
      <c r="AF136" s="10"/>
      <c r="AG136" s="10"/>
      <c r="AH136" s="10"/>
      <c r="AI136" s="90"/>
      <c r="AJ136" s="90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90"/>
      <c r="AT137" s="110"/>
      <c r="AU137" s="153"/>
      <c r="AV137" s="153"/>
      <c r="AW137" s="153"/>
      <c r="AX137" s="153"/>
      <c r="AY137" s="110"/>
      <c r="AZ137" s="110"/>
      <c r="BA137" s="110"/>
      <c r="BB137" s="110"/>
    </row>
    <row r="138" spans="2:78" x14ac:dyDescent="0.3">
      <c r="B138" s="125"/>
      <c r="D138" s="55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90"/>
      <c r="AV138" s="90"/>
      <c r="AW138" s="90"/>
      <c r="AX138" s="90"/>
      <c r="AY138" s="110"/>
      <c r="AZ138" s="154"/>
      <c r="BA138" s="110"/>
      <c r="BB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</row>
    <row r="140" spans="2:78" x14ac:dyDescent="0.3">
      <c r="B140" s="1"/>
      <c r="D140" s="55"/>
      <c r="W140" s="61"/>
      <c r="X140" s="61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</row>
    <row r="141" spans="2:78" x14ac:dyDescent="0.3">
      <c r="B141" s="1"/>
      <c r="D141" s="55"/>
      <c r="W141" s="61"/>
      <c r="X141" s="61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</row>
    <row r="143" spans="2:78" x14ac:dyDescent="0.3">
      <c r="B143" s="55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</row>
    <row r="144" spans="2:78" x14ac:dyDescent="0.3">
      <c r="B144" s="57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1"/>
      <c r="D146" s="55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</row>
    <row r="147" spans="2:43" x14ac:dyDescent="0.3">
      <c r="B147" s="1"/>
      <c r="D147" s="55"/>
    </row>
    <row r="148" spans="2:43" x14ac:dyDescent="0.3">
      <c r="B148" s="1"/>
      <c r="D148" s="55"/>
    </row>
    <row r="149" spans="2:43" x14ac:dyDescent="0.3">
      <c r="B149" s="57" t="e">
        <f>+B148/B147</f>
        <v>#DIV/0!</v>
      </c>
      <c r="D149" s="55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1">
        <f>+B148*50</f>
        <v>0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/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</row>
    <row r="163" spans="2:4" x14ac:dyDescent="0.3">
      <c r="B163" s="1"/>
    </row>
    <row r="164" spans="2:4" x14ac:dyDescent="0.3">
      <c r="B164" s="1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11"/>
  <sheetViews>
    <sheetView topLeftCell="A74" workbookViewId="0">
      <selection activeCell="AD57" sqref="AD57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5" t="s">
        <v>7</v>
      </c>
      <c r="F7" s="516"/>
      <c r="G7" s="520">
        <v>0.7</v>
      </c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1"/>
    </row>
    <row r="8" spans="3:40" x14ac:dyDescent="0.3">
      <c r="E8" s="517" t="s">
        <v>124</v>
      </c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9"/>
    </row>
    <row r="9" spans="3:40" x14ac:dyDescent="0.3">
      <c r="E9" s="535" t="s">
        <v>37</v>
      </c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7"/>
      <c r="Q9" s="533" t="s">
        <v>117</v>
      </c>
      <c r="R9" s="5"/>
      <c r="S9" s="530" t="s">
        <v>4</v>
      </c>
      <c r="T9" s="531"/>
      <c r="U9" s="532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80</v>
      </c>
      <c r="N10" s="119"/>
      <c r="O10" s="120" t="s">
        <v>15</v>
      </c>
      <c r="P10" s="374"/>
      <c r="Q10" s="534"/>
      <c r="R10" s="6"/>
      <c r="S10" s="4" t="s">
        <v>4</v>
      </c>
      <c r="T10" s="6"/>
      <c r="U10" s="285" t="s">
        <v>81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60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7" t="s">
        <v>48</v>
      </c>
      <c r="AE14" s="528"/>
      <c r="AF14" s="529"/>
      <c r="AG14" s="208"/>
      <c r="AH14" s="525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6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+K99</f>
        <v>591169</v>
      </c>
      <c r="AG16" s="202"/>
      <c r="AH16" s="216">
        <f>+AJ31</f>
        <v>1824.8510396127824</v>
      </c>
      <c r="AI16" s="216"/>
      <c r="AJ16" s="217">
        <f>+S99</f>
        <v>47166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58</v>
      </c>
      <c r="AE17" s="170"/>
      <c r="AF17" s="163">
        <v>104667</v>
      </c>
      <c r="AG17" s="203"/>
      <c r="AH17" s="164">
        <v>1519</v>
      </c>
      <c r="AI17" s="216"/>
      <c r="AJ17" s="163">
        <v>7492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91</v>
      </c>
      <c r="AE18" s="170"/>
      <c r="AF18" s="163">
        <v>81848</v>
      </c>
      <c r="AG18" s="203"/>
      <c r="AH18" s="164">
        <v>639</v>
      </c>
      <c r="AI18" s="216"/>
      <c r="AJ18" s="163">
        <v>6113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777684</v>
      </c>
      <c r="AG19" s="203"/>
      <c r="AH19" s="203"/>
      <c r="AI19" s="203"/>
      <c r="AJ19" s="221">
        <f>SUM(AJ16:AJ18)</f>
        <v>60771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Table'!H100</f>
        <v>0.37215084837495893</v>
      </c>
      <c r="AG21" s="203"/>
      <c r="AH21" s="203"/>
      <c r="AI21" s="203"/>
      <c r="AJ21" s="223">
        <f>+AJ19/'Main Table'!Z100</f>
        <v>0.52373442266921766</v>
      </c>
      <c r="AK21" s="220"/>
      <c r="AL21" s="110"/>
      <c r="AM21" s="96">
        <f>1-AJ21</f>
        <v>0.47626557733078234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106268</v>
      </c>
      <c r="AN23" s="90">
        <f>+AM23*AJ21</f>
        <v>55656.209628212426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21256.95195615078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7" t="s">
        <v>134</v>
      </c>
      <c r="AB25" s="528"/>
      <c r="AC25" s="528"/>
      <c r="AD25" s="528"/>
      <c r="AE25" s="528"/>
      <c r="AF25" s="528"/>
      <c r="AG25" s="528"/>
      <c r="AH25" s="528"/>
      <c r="AI25" s="528"/>
      <c r="AJ25" s="528"/>
      <c r="AK25" s="529"/>
      <c r="AL25" s="155"/>
      <c r="AM25" s="155"/>
      <c r="AN25" s="90">
        <f>+AN23+AN24</f>
        <v>76913.161584363203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0.72376596514814617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+E99</f>
        <v>380892</v>
      </c>
      <c r="AE27" s="170"/>
      <c r="AF27" s="201">
        <v>1958</v>
      </c>
      <c r="AG27" s="170"/>
      <c r="AH27" s="192">
        <f>+AD27/AD$31</f>
        <v>0.54738760282595322</v>
      </c>
      <c r="AI27" s="192"/>
      <c r="AJ27" s="170">
        <f>+AF27*AH27</f>
        <v>1071.7849263332164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+G99</f>
        <v>165816</v>
      </c>
      <c r="AE28" s="170"/>
      <c r="AF28" s="201">
        <v>1867</v>
      </c>
      <c r="AG28" s="170"/>
      <c r="AH28" s="192">
        <f>+AD28/AD$31</f>
        <v>0.23829752987772981</v>
      </c>
      <c r="AI28" s="192"/>
      <c r="AJ28" s="170">
        <f>+AF28*AH28</f>
        <v>444.90148828172158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+I99</f>
        <v>44461</v>
      </c>
      <c r="AE29" s="170"/>
      <c r="AF29" s="201">
        <v>1247</v>
      </c>
      <c r="AG29" s="170"/>
      <c r="AH29" s="192">
        <f>+AD29/AD$31</f>
        <v>6.3895803034048251E-2</v>
      </c>
      <c r="AI29" s="192"/>
      <c r="AJ29" s="170">
        <f>+AF29*AH29</f>
        <v>79.678066383458173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106</v>
      </c>
      <c r="AC30" s="282"/>
      <c r="AD30" s="170">
        <f>+AF17</f>
        <v>104667</v>
      </c>
      <c r="AE30" s="282"/>
      <c r="AF30" s="170">
        <f>+AH17</f>
        <v>1519</v>
      </c>
      <c r="AG30" s="282"/>
      <c r="AH30" s="192">
        <f>+AD30/AD$31</f>
        <v>0.1504190642622687</v>
      </c>
      <c r="AI30" s="282"/>
      <c r="AJ30" s="170">
        <f>+AF30*AH30</f>
        <v>228.48655861438615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695836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1824.8510396127824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2" t="s">
        <v>31</v>
      </c>
      <c r="AB36" s="523"/>
      <c r="AC36" s="523"/>
      <c r="AD36" s="523"/>
      <c r="AE36" s="523"/>
      <c r="AF36" s="523"/>
      <c r="AG36" s="523"/>
      <c r="AH36" s="523"/>
      <c r="AI36" s="524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6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  <c r="AD49" s="1">
        <f>+'Main Table'!Z93</f>
        <v>116034</v>
      </c>
      <c r="AJ49" s="56">
        <f>+AJ19</f>
        <v>60771</v>
      </c>
    </row>
    <row r="50" spans="3:36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D50" s="56">
        <f>+AJ19</f>
        <v>60771</v>
      </c>
      <c r="AF50" s="275"/>
    </row>
    <row r="51" spans="3:36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  <c r="AD51" s="56">
        <f>+AD49-AD50</f>
        <v>55263</v>
      </c>
    </row>
    <row r="52" spans="3:36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  <c r="AD53" s="1">
        <f>+AD51*AD52</f>
        <v>23210.46</v>
      </c>
    </row>
    <row r="54" spans="3:36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6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  <c r="AD55" s="56">
        <f>+AD51-AD53</f>
        <v>32052.54</v>
      </c>
    </row>
    <row r="56" spans="3:36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6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  <c r="AD57" s="275">
        <f>+AD55/AD49</f>
        <v>0.27623403485185377</v>
      </c>
    </row>
    <row r="58" spans="3:36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6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6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6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6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6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6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29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29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ref="K88" si="93">SUM(E88:I88)</f>
        <v>583004</v>
      </c>
      <c r="L88" s="6"/>
      <c r="M88" s="29">
        <f t="shared" ref="M88" si="94">+(K88-K87)/K87</f>
        <v>3.6185105232896426E-3</v>
      </c>
      <c r="N88" s="29"/>
      <c r="O88" s="29"/>
      <c r="P88" s="29"/>
      <c r="Q88" s="378">
        <f t="shared" ref="Q88" si="95">+K88-K87</f>
        <v>2102</v>
      </c>
      <c r="R88" s="6"/>
      <c r="S88" s="7">
        <f>30236+12049+4038</f>
        <v>46323</v>
      </c>
      <c r="T88" s="6"/>
      <c r="U88" s="288">
        <f t="shared" ref="U88" si="96">+S88/K88</f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ref="K89" si="97">SUM(E89:I89)</f>
        <v>585027</v>
      </c>
      <c r="L89" s="6"/>
      <c r="M89" s="29">
        <f t="shared" ref="M89" si="98">+(K89-K88)/K88</f>
        <v>3.4699590397321458E-3</v>
      </c>
      <c r="N89" s="29"/>
      <c r="O89" s="29"/>
      <c r="P89" s="29"/>
      <c r="Q89" s="378">
        <f t="shared" ref="Q89" si="99">+K89-K88</f>
        <v>2023</v>
      </c>
      <c r="R89" s="6"/>
      <c r="S89" s="7">
        <f>30280+12106+4055</f>
        <v>46441</v>
      </c>
      <c r="T89" s="6"/>
      <c r="U89" s="288">
        <f t="shared" ref="U89" si="100">+S89/K89</f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ref="K90" si="101">SUM(E90:I90)</f>
        <v>586229</v>
      </c>
      <c r="L90" s="6"/>
      <c r="M90" s="29">
        <f t="shared" ref="M90" si="102">+(K90-K89)/K89</f>
        <v>2.0546060267303901E-3</v>
      </c>
      <c r="N90" s="29"/>
      <c r="O90" s="29"/>
      <c r="P90" s="29"/>
      <c r="Q90" s="378">
        <f t="shared" ref="Q90" si="103">+K90-K89</f>
        <v>1202</v>
      </c>
      <c r="R90" s="6"/>
      <c r="S90" s="7">
        <f>30374+12176+4071</f>
        <v>46621</v>
      </c>
      <c r="T90" s="6"/>
      <c r="U90" s="288">
        <f t="shared" ref="U90" si="104">+S90/K90</f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ref="K91" si="105">SUM(E91:I91)</f>
        <v>587389</v>
      </c>
      <c r="L91" s="6"/>
      <c r="M91" s="29">
        <f t="shared" ref="M91" si="106">+(K91-K90)/K90</f>
        <v>1.978748918937821E-3</v>
      </c>
      <c r="N91" s="29"/>
      <c r="O91" s="29"/>
      <c r="P91" s="29"/>
      <c r="Q91" s="378">
        <f t="shared" ref="Q91" si="107">+K91-K90</f>
        <v>1160</v>
      </c>
      <c r="R91" s="6"/>
      <c r="S91" s="7">
        <f>30417+12214+4084</f>
        <v>46715</v>
      </c>
      <c r="T91" s="6"/>
      <c r="U91" s="288">
        <f t="shared" ref="U91" si="108">+S91/K91</f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>
        <v>379482</v>
      </c>
      <c r="F92" s="7"/>
      <c r="G92" s="7">
        <v>164796</v>
      </c>
      <c r="H92" s="7"/>
      <c r="I92" s="7">
        <v>44179</v>
      </c>
      <c r="J92" s="289"/>
      <c r="K92" s="7">
        <f t="shared" ref="K92" si="109">SUM(E92:I92)</f>
        <v>588457</v>
      </c>
      <c r="L92" s="6"/>
      <c r="M92" s="478">
        <f t="shared" ref="M92" si="110">+(K92-K91)/K91</f>
        <v>1.8182158671680947E-3</v>
      </c>
      <c r="N92" s="29"/>
      <c r="O92" s="29"/>
      <c r="P92" s="29"/>
      <c r="Q92" s="378">
        <f t="shared" ref="Q92" si="111">+K92-K91</f>
        <v>1068</v>
      </c>
      <c r="R92" s="6"/>
      <c r="S92" s="7">
        <f>30458+12303+4097</f>
        <v>46858</v>
      </c>
      <c r="T92" s="6"/>
      <c r="U92" s="288">
        <f t="shared" ref="U92" si="112">+S92/K92</f>
        <v>7.9628587985188376E-2</v>
      </c>
      <c r="W92">
        <f t="shared" si="0"/>
        <v>82</v>
      </c>
    </row>
    <row r="93" spans="3:25" x14ac:dyDescent="0.3">
      <c r="C93" s="172">
        <f t="shared" si="1"/>
        <v>43992</v>
      </c>
      <c r="E93" s="286">
        <v>380156</v>
      </c>
      <c r="F93" s="7"/>
      <c r="G93" s="7">
        <v>165346</v>
      </c>
      <c r="H93" s="7"/>
      <c r="I93" s="7">
        <v>44347</v>
      </c>
      <c r="J93" s="289"/>
      <c r="K93" s="7">
        <f t="shared" ref="K93" si="113">SUM(E93:I93)</f>
        <v>589849</v>
      </c>
      <c r="L93" s="6"/>
      <c r="M93" s="478">
        <f t="shared" ref="M93" si="114">+(K93-K92)/K92</f>
        <v>2.3655084398690133E-3</v>
      </c>
      <c r="N93" s="29"/>
      <c r="O93" s="29"/>
      <c r="P93" s="29"/>
      <c r="Q93" s="378">
        <f t="shared" ref="Q93" si="115">+K93-K92</f>
        <v>1392</v>
      </c>
      <c r="R93" s="6"/>
      <c r="S93" s="7">
        <f>30458+12303+4097</f>
        <v>46858</v>
      </c>
      <c r="T93" s="6"/>
      <c r="U93" s="288">
        <f t="shared" ref="U93" si="116">+S93/K93</f>
        <v>7.9440670408867348E-2</v>
      </c>
      <c r="W93">
        <f t="shared" si="0"/>
        <v>83</v>
      </c>
    </row>
    <row r="94" spans="3:25" x14ac:dyDescent="0.3">
      <c r="C94" s="172">
        <f t="shared" si="1"/>
        <v>43993</v>
      </c>
      <c r="E94" s="286">
        <v>380892</v>
      </c>
      <c r="F94" s="7"/>
      <c r="G94" s="7">
        <v>165816</v>
      </c>
      <c r="H94" s="7"/>
      <c r="I94" s="7">
        <v>44461</v>
      </c>
      <c r="J94" s="289"/>
      <c r="K94" s="7">
        <f t="shared" ref="K94" si="117">SUM(E94:I94)</f>
        <v>591169</v>
      </c>
      <c r="L94" s="6"/>
      <c r="M94" s="478">
        <f t="shared" ref="M94" si="118">+(K94-K93)/K93</f>
        <v>2.237860876258161E-3</v>
      </c>
      <c r="N94" s="29"/>
      <c r="O94" s="29"/>
      <c r="P94" s="29"/>
      <c r="Q94" s="378">
        <f t="shared" ref="Q94" si="119">+K94-K93</f>
        <v>1320</v>
      </c>
      <c r="R94" s="6"/>
      <c r="S94" s="7">
        <f>30575+12443+4148</f>
        <v>47166</v>
      </c>
      <c r="T94" s="6"/>
      <c r="U94" s="288">
        <f t="shared" ref="U94" si="120">+S94/K94</f>
        <v>7.9784291801498389E-2</v>
      </c>
      <c r="W94">
        <f t="shared" si="0"/>
        <v>84</v>
      </c>
    </row>
    <row r="95" spans="3:25" x14ac:dyDescent="0.3">
      <c r="C95" s="172">
        <f t="shared" si="1"/>
        <v>43994</v>
      </c>
      <c r="E95" s="286"/>
      <c r="F95" s="7"/>
      <c r="G95" s="7"/>
      <c r="H95" s="7"/>
      <c r="I95" s="7"/>
      <c r="J95" s="289"/>
      <c r="K95" s="7"/>
      <c r="L95" s="6"/>
      <c r="M95" s="29"/>
      <c r="N95" s="29"/>
      <c r="O95" s="29"/>
      <c r="P95" s="29"/>
      <c r="Q95" s="378"/>
      <c r="R95" s="6"/>
      <c r="S95" s="7"/>
      <c r="T95" s="6"/>
      <c r="U95" s="288"/>
      <c r="W95">
        <f t="shared" si="0"/>
        <v>85</v>
      </c>
    </row>
    <row r="96" spans="3:25" x14ac:dyDescent="0.3">
      <c r="C96" s="172">
        <f t="shared" si="1"/>
        <v>43995</v>
      </c>
      <c r="E96" s="286"/>
      <c r="F96" s="7"/>
      <c r="G96" s="7"/>
      <c r="H96" s="7"/>
      <c r="I96" s="7"/>
      <c r="J96" s="289"/>
      <c r="K96" s="7"/>
      <c r="L96" s="6"/>
      <c r="M96" s="29"/>
      <c r="N96" s="29"/>
      <c r="O96" s="29"/>
      <c r="P96" s="29"/>
      <c r="Q96" s="378"/>
      <c r="R96" s="6"/>
      <c r="S96" s="7"/>
      <c r="T96" s="6"/>
      <c r="U96" s="288"/>
      <c r="W96">
        <f t="shared" si="0"/>
        <v>86</v>
      </c>
      <c r="Y96" s="56">
        <f>+Q89-Y90</f>
        <v>60.571428571428669</v>
      </c>
    </row>
    <row r="97" spans="3:41" ht="15" thickBot="1" x14ac:dyDescent="0.35">
      <c r="C97" s="172">
        <f t="shared" si="1"/>
        <v>43996</v>
      </c>
      <c r="E97" s="290"/>
      <c r="F97" s="291"/>
      <c r="G97" s="291"/>
      <c r="H97" s="291"/>
      <c r="I97" s="291"/>
      <c r="J97" s="291"/>
      <c r="K97" s="291"/>
      <c r="L97" s="292"/>
      <c r="M97" s="293"/>
      <c r="N97" s="293"/>
      <c r="O97" s="293"/>
      <c r="P97" s="293"/>
      <c r="Q97" s="377"/>
      <c r="R97" s="292"/>
      <c r="S97" s="292"/>
      <c r="T97" s="292"/>
      <c r="U97" s="294"/>
      <c r="W97">
        <f t="shared" si="0"/>
        <v>87</v>
      </c>
      <c r="Y97" s="59">
        <f>+Y96/Y90</f>
        <v>3.0865545606755529E-2</v>
      </c>
    </row>
    <row r="98" spans="3:41" x14ac:dyDescent="0.3">
      <c r="E98" s="56"/>
      <c r="F98" s="1"/>
      <c r="G98" s="56"/>
      <c r="H98" s="56"/>
      <c r="I98" s="56"/>
      <c r="J98" s="1"/>
      <c r="K98" s="56"/>
      <c r="S98" s="56"/>
    </row>
    <row r="99" spans="3:41" x14ac:dyDescent="0.3">
      <c r="C99" s="181" t="s">
        <v>82</v>
      </c>
      <c r="E99" s="56">
        <f>+E94</f>
        <v>380892</v>
      </c>
      <c r="F99" s="56">
        <f>+F52</f>
        <v>0</v>
      </c>
      <c r="G99" s="56">
        <f t="shared" ref="G99:S99" si="121">+G94</f>
        <v>165816</v>
      </c>
      <c r="H99" s="56">
        <f t="shared" si="121"/>
        <v>0</v>
      </c>
      <c r="I99" s="56">
        <f t="shared" si="121"/>
        <v>44461</v>
      </c>
      <c r="J99" s="56">
        <f t="shared" si="121"/>
        <v>0</v>
      </c>
      <c r="K99" s="56">
        <f t="shared" si="121"/>
        <v>591169</v>
      </c>
      <c r="L99" s="56">
        <f t="shared" si="121"/>
        <v>0</v>
      </c>
      <c r="M99" s="56">
        <f t="shared" si="121"/>
        <v>2.237860876258161E-3</v>
      </c>
      <c r="N99" s="56">
        <f t="shared" si="121"/>
        <v>0</v>
      </c>
      <c r="O99" s="56">
        <f t="shared" si="121"/>
        <v>0</v>
      </c>
      <c r="P99" s="56">
        <f t="shared" si="121"/>
        <v>0</v>
      </c>
      <c r="Q99" s="56">
        <f t="shared" si="121"/>
        <v>1320</v>
      </c>
      <c r="R99" s="56">
        <f t="shared" si="121"/>
        <v>0</v>
      </c>
      <c r="S99" s="56">
        <f t="shared" si="121"/>
        <v>47166</v>
      </c>
      <c r="T99" s="56">
        <f>+T60</f>
        <v>0</v>
      </c>
    </row>
    <row r="100" spans="3:41" x14ac:dyDescent="0.3">
      <c r="E100" s="56"/>
      <c r="G100" s="56"/>
      <c r="H100" s="56"/>
      <c r="I100" s="56"/>
      <c r="J100" s="56"/>
      <c r="K100" s="56"/>
      <c r="L100" s="56"/>
      <c r="M100" s="59"/>
      <c r="N100" s="56"/>
      <c r="O100" s="56"/>
      <c r="P100" s="56"/>
      <c r="Q100" s="56"/>
      <c r="R100" s="56"/>
      <c r="S100" s="56"/>
    </row>
    <row r="101" spans="3:41" x14ac:dyDescent="0.3">
      <c r="E101" s="59"/>
      <c r="K101" s="1"/>
    </row>
    <row r="102" spans="3:41" x14ac:dyDescent="0.3">
      <c r="C102" s="123"/>
      <c r="D102" s="124"/>
      <c r="E102" s="395"/>
      <c r="F102" s="10"/>
      <c r="G102" s="10"/>
      <c r="H102" s="10"/>
      <c r="I102" s="61"/>
      <c r="J102" s="10"/>
      <c r="K102" s="10"/>
      <c r="L102" s="10"/>
      <c r="M102" s="10"/>
      <c r="N102" s="10"/>
      <c r="O102" s="10"/>
      <c r="P102" s="10"/>
      <c r="Q102" s="395"/>
      <c r="R102" s="10"/>
      <c r="S102" s="10"/>
    </row>
    <row r="103" spans="3:41" x14ac:dyDescent="0.3">
      <c r="E103" s="56"/>
      <c r="K103" s="56"/>
      <c r="Q103" s="56"/>
    </row>
    <row r="104" spans="3:41" x14ac:dyDescent="0.3">
      <c r="Q104" s="56"/>
      <c r="S104" s="59"/>
    </row>
    <row r="107" spans="3:41" x14ac:dyDescent="0.3">
      <c r="AO107" s="1">
        <v>3797000</v>
      </c>
    </row>
    <row r="108" spans="3:41" x14ac:dyDescent="0.3">
      <c r="C108" s="1"/>
    </row>
    <row r="109" spans="3:41" x14ac:dyDescent="0.3">
      <c r="C109" s="1"/>
      <c r="AO109" s="1">
        <v>30000</v>
      </c>
    </row>
    <row r="110" spans="3:41" x14ac:dyDescent="0.3">
      <c r="C110" s="59"/>
    </row>
    <row r="111" spans="3:41" x14ac:dyDescent="0.3">
      <c r="AO111" s="279">
        <f>+AO109/AO107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31" workbookViewId="0">
      <selection activeCell="Q51" sqref="Q5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43" t="s">
        <v>115</v>
      </c>
      <c r="T3" s="544"/>
      <c r="U3" s="544"/>
      <c r="V3" s="544"/>
      <c r="W3" s="544"/>
      <c r="X3" s="544"/>
      <c r="Y3" s="544"/>
      <c r="Z3" s="544"/>
      <c r="AA3" s="544"/>
      <c r="AB3" s="544"/>
      <c r="AC3" s="545"/>
    </row>
    <row r="4" spans="2:29" ht="15.6" x14ac:dyDescent="0.3">
      <c r="B4" s="258"/>
      <c r="C4" s="258"/>
      <c r="D4" s="168"/>
      <c r="S4" s="295"/>
      <c r="T4" s="396" t="s">
        <v>79</v>
      </c>
      <c r="U4" s="6"/>
      <c r="V4" s="396" t="s">
        <v>107</v>
      </c>
      <c r="W4" s="5"/>
      <c r="X4" s="396" t="s">
        <v>108</v>
      </c>
      <c r="Y4" s="5"/>
      <c r="Z4" s="396" t="s">
        <v>74</v>
      </c>
      <c r="AA4" s="6"/>
      <c r="AB4" s="296" t="s">
        <v>15</v>
      </c>
      <c r="AC4" s="297"/>
    </row>
    <row r="5" spans="2:29" ht="15.6" x14ac:dyDescent="0.3">
      <c r="B5" s="258"/>
      <c r="C5" t="s">
        <v>93</v>
      </c>
      <c r="D5" s="168"/>
      <c r="E5" t="s">
        <v>94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95</v>
      </c>
      <c r="F6" t="s">
        <v>112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96</v>
      </c>
      <c r="F7" t="s">
        <v>98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97</v>
      </c>
      <c r="F8" t="s">
        <v>113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99</v>
      </c>
      <c r="D10" s="171"/>
      <c r="E10" t="s">
        <v>102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95</v>
      </c>
      <c r="F11" t="s">
        <v>100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96</v>
      </c>
      <c r="F12" t="s">
        <v>101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0.14173510947259918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103</v>
      </c>
      <c r="D14" s="171"/>
      <c r="E14" t="s">
        <v>104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6" t="s">
        <v>105</v>
      </c>
      <c r="F15" s="546"/>
      <c r="G15" s="546"/>
      <c r="H15" s="546"/>
      <c r="I15" s="546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52" t="s">
        <v>46</v>
      </c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4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5" t="s">
        <v>76</v>
      </c>
      <c r="F19" s="555"/>
      <c r="G19" s="555"/>
      <c r="H19" s="555"/>
      <c r="I19" s="147" t="s">
        <v>75</v>
      </c>
      <c r="J19" s="148"/>
      <c r="K19" s="560" t="s">
        <v>73</v>
      </c>
      <c r="L19" s="560"/>
      <c r="M19" s="141"/>
      <c r="N19" s="145" t="s">
        <v>74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Table'!H80</f>
        <v>1810324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Table'!Z100</f>
        <v>116034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16807</v>
      </c>
      <c r="J22" s="129"/>
      <c r="K22" s="140"/>
      <c r="L22" s="283">
        <v>16838</v>
      </c>
      <c r="M22" s="140"/>
      <c r="N22" s="160">
        <f>+(I22-L22)/I22</f>
        <v>-1.8444695662521568E-3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1677483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Table'!AO100</f>
        <v>813825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556" t="s">
        <v>49</v>
      </c>
      <c r="E25" s="557"/>
      <c r="F25" s="557"/>
      <c r="G25" s="557"/>
      <c r="H25" s="557"/>
      <c r="I25" s="132">
        <f>+I23-I24</f>
        <v>863658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813825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556" t="s">
        <v>46</v>
      </c>
      <c r="E27" s="557"/>
      <c r="F27" s="557"/>
      <c r="G27" s="557"/>
      <c r="H27" s="557"/>
      <c r="I27" s="149">
        <f>+I25+I26</f>
        <v>1677483</v>
      </c>
      <c r="J27" s="129"/>
      <c r="K27" s="561">
        <v>1636736</v>
      </c>
      <c r="L27" s="561"/>
      <c r="M27" s="140"/>
      <c r="N27" s="150">
        <f>+I27-K27</f>
        <v>40747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8" t="s">
        <v>70</v>
      </c>
      <c r="F28" s="558"/>
      <c r="G28" s="558"/>
      <c r="H28" s="137"/>
      <c r="I28" s="276">
        <f>+I27/I32</f>
        <v>0.80273828648213308</v>
      </c>
      <c r="J28" s="140"/>
      <c r="K28" s="140"/>
      <c r="L28" s="140"/>
      <c r="M28" s="110"/>
      <c r="N28" s="162">
        <f>+N27/K27</f>
        <v>2.4895279385313208E-2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67" t="s">
        <v>115</v>
      </c>
      <c r="F31" s="568"/>
      <c r="G31" s="568"/>
      <c r="H31" s="568"/>
      <c r="I31" s="568"/>
      <c r="J31" s="569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89</v>
      </c>
      <c r="F32" s="24"/>
      <c r="G32" s="24"/>
      <c r="H32" s="24"/>
      <c r="I32" s="562">
        <f>+'Main Table'!H100</f>
        <v>2089701</v>
      </c>
      <c r="J32" s="562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114</v>
      </c>
      <c r="G34" s="265"/>
      <c r="H34" s="22"/>
      <c r="I34" s="563">
        <f>+I27</f>
        <v>1677483</v>
      </c>
      <c r="J34" s="564"/>
      <c r="K34" s="22"/>
      <c r="L34" s="25">
        <f>+I34/$I$32</f>
        <v>0.80273828648213308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90</v>
      </c>
      <c r="G35" s="22"/>
      <c r="H35" s="22"/>
      <c r="I35" s="570">
        <f>+I21</f>
        <v>116034</v>
      </c>
      <c r="J35" s="571"/>
      <c r="K35" s="22"/>
      <c r="L35" s="25">
        <f>+I35/$I$32</f>
        <v>5.552660404526772E-2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559" t="s">
        <v>115</v>
      </c>
      <c r="F36" s="559"/>
      <c r="G36" s="559"/>
      <c r="H36" s="277"/>
      <c r="I36" s="565">
        <f>+I32-I34-I35</f>
        <v>296184</v>
      </c>
      <c r="J36" s="566"/>
      <c r="K36" s="305"/>
      <c r="L36" s="278">
        <f>+I36/$I$32</f>
        <v>0.14173510947259918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47" t="s">
        <v>128</v>
      </c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9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50" t="s">
        <v>76</v>
      </c>
      <c r="F42" s="550"/>
      <c r="G42" s="550"/>
      <c r="H42" s="550"/>
      <c r="I42" s="306" t="s">
        <v>75</v>
      </c>
      <c r="J42" s="307"/>
      <c r="K42" s="551" t="s">
        <v>37</v>
      </c>
      <c r="L42" s="551"/>
      <c r="M42" s="308"/>
      <c r="N42" s="309" t="s">
        <v>74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ref="Z42" si="25">+V41-V42</f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ref="Z43" si="26">+V42-V43</f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ref="Z44" si="27">+V43-V44</f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v>301795</v>
      </c>
      <c r="W45" s="6"/>
      <c r="X45" s="44">
        <v>0.15</v>
      </c>
      <c r="Y45" s="6"/>
      <c r="Z45" s="300">
        <f t="shared" ref="Z45" si="28">+V44-V45</f>
        <v>3</v>
      </c>
      <c r="AA45" s="6"/>
      <c r="AB45" s="304"/>
      <c r="AC45" s="297"/>
    </row>
    <row r="46" spans="3:29" x14ac:dyDescent="0.3">
      <c r="D46" s="325"/>
      <c r="E46" s="310"/>
      <c r="F46" s="314" t="s">
        <v>71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>
        <v>300305</v>
      </c>
      <c r="W46" s="6"/>
      <c r="X46" s="44">
        <v>0.14799999999999999</v>
      </c>
      <c r="Y46" s="6"/>
      <c r="Z46" s="300">
        <f t="shared" ref="Z46" si="29">+V45-V46</f>
        <v>1490</v>
      </c>
      <c r="AA46" s="6"/>
      <c r="AB46" s="304"/>
      <c r="AC46" s="297"/>
    </row>
    <row r="47" spans="3:29" x14ac:dyDescent="0.3">
      <c r="D47" s="325"/>
      <c r="E47" s="310" t="s">
        <v>78</v>
      </c>
      <c r="F47" s="312"/>
      <c r="G47" s="312"/>
      <c r="H47" s="312"/>
      <c r="I47" s="384">
        <f>+'Main Table'!AO117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>
        <v>298430</v>
      </c>
      <c r="W47" s="6"/>
      <c r="X47" s="44">
        <v>0.14599999999999999</v>
      </c>
      <c r="Y47" s="6"/>
      <c r="Z47" s="300">
        <f t="shared" ref="Z47" si="30">+V46-V47</f>
        <v>1875</v>
      </c>
      <c r="AA47" s="6"/>
      <c r="AB47" s="304"/>
      <c r="AC47" s="297"/>
    </row>
    <row r="48" spans="3:29" x14ac:dyDescent="0.3">
      <c r="D48" s="573" t="s">
        <v>49</v>
      </c>
      <c r="E48" s="574"/>
      <c r="F48" s="574"/>
      <c r="G48" s="574"/>
      <c r="H48" s="574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>
        <f>+I$36</f>
        <v>296184</v>
      </c>
      <c r="W48" s="6"/>
      <c r="X48" s="44">
        <f>+L$36</f>
        <v>0.14173510947259918</v>
      </c>
      <c r="Y48" s="6"/>
      <c r="Z48" s="300">
        <f t="shared" ref="Z48" si="31">+V47-V48</f>
        <v>2246</v>
      </c>
      <c r="AA48" s="6"/>
      <c r="AB48" s="304"/>
      <c r="AC48" s="297"/>
    </row>
    <row r="49" spans="4:29" x14ac:dyDescent="0.3">
      <c r="D49" s="325"/>
      <c r="E49" s="310" t="s">
        <v>72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73" t="s">
        <v>46</v>
      </c>
      <c r="E50" s="574"/>
      <c r="F50" s="574"/>
      <c r="G50" s="574"/>
      <c r="H50" s="574"/>
      <c r="I50" s="386">
        <f>+I48+I49</f>
        <v>22172</v>
      </c>
      <c r="J50" s="382"/>
      <c r="K50" s="575">
        <v>30167</v>
      </c>
      <c r="L50" s="575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76" t="s">
        <v>70</v>
      </c>
      <c r="F51" s="576"/>
      <c r="G51" s="576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Z53" s="482"/>
    </row>
    <row r="54" spans="4:29" ht="16.2" thickBot="1" x14ac:dyDescent="0.35">
      <c r="D54" s="363"/>
      <c r="E54" s="539" t="s">
        <v>129</v>
      </c>
      <c r="F54" s="540"/>
      <c r="G54" s="540"/>
      <c r="H54" s="540"/>
      <c r="I54" s="540"/>
      <c r="J54" s="541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89</v>
      </c>
      <c r="F55" s="312"/>
      <c r="G55" s="312"/>
      <c r="H55" s="312"/>
      <c r="I55" s="577">
        <f>+K50</f>
        <v>30167</v>
      </c>
      <c r="J55" s="577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114</v>
      </c>
      <c r="G57" s="359"/>
      <c r="H57" s="313"/>
      <c r="I57" s="578">
        <f>+I50</f>
        <v>22172</v>
      </c>
      <c r="J57" s="579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90</v>
      </c>
      <c r="G58" s="313"/>
      <c r="H58" s="313"/>
      <c r="I58" s="580">
        <f>+I44</f>
        <v>1836</v>
      </c>
      <c r="J58" s="581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82" t="s">
        <v>115</v>
      </c>
      <c r="F59" s="582"/>
      <c r="G59" s="582"/>
      <c r="H59" s="313"/>
      <c r="I59" s="542">
        <f>+I55-I57-I58</f>
        <v>6159</v>
      </c>
      <c r="J59" s="583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130</v>
      </c>
      <c r="G60" s="471"/>
      <c r="H60" s="313"/>
      <c r="I60" s="584">
        <f>+I45</f>
        <v>1397</v>
      </c>
      <c r="J60" s="584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131</v>
      </c>
      <c r="G61" s="379"/>
      <c r="H61" s="313"/>
      <c r="I61" s="542">
        <f>+I59-I60</f>
        <v>4762</v>
      </c>
      <c r="J61" s="542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9" t="s">
        <v>118</v>
      </c>
      <c r="F64" s="540"/>
      <c r="G64" s="540"/>
      <c r="H64" s="540"/>
      <c r="I64" s="540"/>
      <c r="J64" s="540"/>
      <c r="K64" s="540"/>
      <c r="L64" s="540"/>
      <c r="M64" s="541"/>
      <c r="P64" s="373"/>
      <c r="Q64" s="373"/>
    </row>
    <row r="65" spans="4:18" x14ac:dyDescent="0.3">
      <c r="E65" s="368"/>
      <c r="F65" s="321" t="s">
        <v>110</v>
      </c>
      <c r="G65" s="321"/>
      <c r="H65" s="321"/>
      <c r="I65" s="572">
        <v>11690000</v>
      </c>
      <c r="J65" s="572"/>
      <c r="K65" s="572"/>
      <c r="L65" s="572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111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8" t="s">
        <v>109</v>
      </c>
      <c r="G67" s="538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601" t="s">
        <v>132</v>
      </c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3"/>
    </row>
    <row r="73" spans="4:18" ht="15" thickBot="1" x14ac:dyDescent="0.35">
      <c r="D73" s="401"/>
      <c r="E73" s="604" t="s">
        <v>76</v>
      </c>
      <c r="F73" s="604"/>
      <c r="G73" s="604"/>
      <c r="H73" s="604"/>
      <c r="I73" s="402" t="s">
        <v>75</v>
      </c>
      <c r="J73" s="403"/>
      <c r="K73" s="605" t="s">
        <v>37</v>
      </c>
      <c r="L73" s="605"/>
      <c r="M73" s="404"/>
      <c r="N73" s="405" t="s">
        <v>74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71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78</v>
      </c>
      <c r="F78" s="16"/>
      <c r="G78" s="16"/>
      <c r="H78" s="16"/>
      <c r="I78" s="413">
        <f>+'Main Table'!AO147</f>
        <v>0</v>
      </c>
      <c r="J78" s="410"/>
      <c r="K78" s="411"/>
      <c r="L78" s="411"/>
      <c r="M78" s="411"/>
      <c r="N78" s="411"/>
      <c r="O78" s="412"/>
    </row>
    <row r="79" spans="4:18" x14ac:dyDescent="0.3">
      <c r="D79" s="606" t="s">
        <v>49</v>
      </c>
      <c r="E79" s="607"/>
      <c r="F79" s="607"/>
      <c r="G79" s="607"/>
      <c r="H79" s="607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72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606" t="s">
        <v>46</v>
      </c>
      <c r="E81" s="607"/>
      <c r="F81" s="607"/>
      <c r="G81" s="607"/>
      <c r="H81" s="607"/>
      <c r="I81" s="417">
        <f>+I79+I80</f>
        <v>36684</v>
      </c>
      <c r="J81" s="410"/>
      <c r="K81" s="609">
        <v>48675</v>
      </c>
      <c r="L81" s="609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608" t="s">
        <v>70</v>
      </c>
      <c r="F82" s="608"/>
      <c r="G82" s="608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85" t="s">
        <v>133</v>
      </c>
      <c r="F85" s="586"/>
      <c r="G85" s="586"/>
      <c r="H85" s="586"/>
      <c r="I85" s="586"/>
      <c r="J85" s="587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89</v>
      </c>
      <c r="F86" s="16"/>
      <c r="G86" s="16"/>
      <c r="H86" s="16"/>
      <c r="I86" s="588">
        <f>+K81</f>
        <v>48675</v>
      </c>
      <c r="J86" s="588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114</v>
      </c>
      <c r="G88" s="433"/>
      <c r="H88" s="15"/>
      <c r="I88" s="589">
        <f>+I81</f>
        <v>36684</v>
      </c>
      <c r="J88" s="590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90</v>
      </c>
      <c r="G89" s="15"/>
      <c r="H89" s="15"/>
      <c r="I89" s="591">
        <f>+I75</f>
        <v>2144</v>
      </c>
      <c r="J89" s="592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94" t="s">
        <v>115</v>
      </c>
      <c r="F90" s="594"/>
      <c r="G90" s="594"/>
      <c r="H90" s="15"/>
      <c r="I90" s="595">
        <f>+I86-I88-I89</f>
        <v>9847</v>
      </c>
      <c r="J90" s="596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97" t="s">
        <v>120</v>
      </c>
      <c r="F94" s="598"/>
      <c r="G94" s="598"/>
      <c r="H94" s="598"/>
      <c r="I94" s="598"/>
      <c r="J94" s="598"/>
      <c r="K94" s="598"/>
      <c r="L94" s="598"/>
      <c r="M94" s="599"/>
    </row>
    <row r="95" spans="4:18" x14ac:dyDescent="0.3">
      <c r="E95" s="442"/>
      <c r="F95" s="443" t="s">
        <v>121</v>
      </c>
      <c r="G95" s="443"/>
      <c r="H95" s="443"/>
      <c r="I95" s="600">
        <v>21477737</v>
      </c>
      <c r="J95" s="600"/>
      <c r="K95" s="600"/>
      <c r="L95" s="600"/>
      <c r="M95" s="444"/>
    </row>
    <row r="96" spans="4:18" x14ac:dyDescent="0.3">
      <c r="E96" s="442"/>
      <c r="F96" s="443" t="s">
        <v>111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93" t="s">
        <v>109</v>
      </c>
      <c r="G97" s="593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122</v>
      </c>
      <c r="G99" s="447"/>
      <c r="H99" s="593" t="s">
        <v>123</v>
      </c>
      <c r="I99" s="593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4" t="s">
        <v>5</v>
      </c>
      <c r="C1" s="484"/>
      <c r="D1" s="484"/>
    </row>
    <row r="2" spans="2:31" ht="15.6" x14ac:dyDescent="0.3">
      <c r="B2" s="484" t="s">
        <v>6</v>
      </c>
      <c r="C2" s="484"/>
      <c r="D2" s="484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84</v>
      </c>
      <c r="F5" s="259" t="s">
        <v>85</v>
      </c>
    </row>
    <row r="6" spans="2:31" ht="15.6" x14ac:dyDescent="0.3">
      <c r="B6" s="169"/>
      <c r="C6" s="169"/>
      <c r="D6" s="168"/>
      <c r="F6" t="s">
        <v>88</v>
      </c>
    </row>
    <row r="7" spans="2:31" ht="15.6" x14ac:dyDescent="0.3">
      <c r="B7" s="169"/>
      <c r="C7" s="169"/>
      <c r="D7" s="168"/>
      <c r="F7" s="259" t="s">
        <v>87</v>
      </c>
    </row>
    <row r="8" spans="2:31" ht="15.6" x14ac:dyDescent="0.3">
      <c r="B8" s="169"/>
      <c r="C8" s="169"/>
      <c r="D8" s="168"/>
      <c r="F8" s="259" t="s">
        <v>86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1" t="s">
        <v>23</v>
      </c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3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Table'!J100</f>
        <v>1.127564301411004E-2</v>
      </c>
      <c r="U14" s="231"/>
      <c r="V14" s="1"/>
      <c r="X14" s="235"/>
      <c r="Y14" s="610" t="s">
        <v>62</v>
      </c>
      <c r="Z14" s="610"/>
      <c r="AA14" s="610"/>
      <c r="AB14" s="610"/>
      <c r="AC14" s="610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86398.334560910502</v>
      </c>
      <c r="Q15" s="81"/>
      <c r="R15" s="81"/>
      <c r="S15" s="81"/>
      <c r="T15" s="82">
        <f t="shared" ref="T15:T59" si="5">+T14</f>
        <v>1.127564301411004E-2</v>
      </c>
      <c r="U15" s="231"/>
      <c r="V15" s="1"/>
      <c r="X15" s="237"/>
      <c r="Y15" s="238" t="s">
        <v>63</v>
      </c>
      <c r="Z15" s="239"/>
      <c r="AA15" s="238" t="s">
        <v>64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87372.531338432978</v>
      </c>
      <c r="Q16" s="81"/>
      <c r="R16" s="81"/>
      <c r="S16" s="81"/>
      <c r="T16" s="82">
        <f t="shared" si="5"/>
        <v>1.127564301411004E-2</v>
      </c>
      <c r="U16" s="231"/>
      <c r="V16" s="1"/>
      <c r="X16" s="237"/>
      <c r="Y16" s="243" t="s">
        <v>59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88357.712811044301</v>
      </c>
      <c r="Q17" s="81"/>
      <c r="R17" s="81"/>
      <c r="S17" s="81"/>
      <c r="T17" s="82">
        <f t="shared" si="5"/>
        <v>1.127564301411004E-2</v>
      </c>
      <c r="U17" s="231"/>
      <c r="V17" s="1"/>
      <c r="X17" s="237"/>
      <c r="Y17" s="246" t="s">
        <v>61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89354.002838244895</v>
      </c>
      <c r="Q18" s="81"/>
      <c r="R18" s="81"/>
      <c r="S18" s="81"/>
      <c r="T18" s="82">
        <f t="shared" si="5"/>
        <v>1.127564301411004E-2</v>
      </c>
      <c r="U18" s="231"/>
      <c r="V18" s="1"/>
      <c r="X18" s="237"/>
      <c r="Y18" s="248" t="s">
        <v>65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90361.526676130728</v>
      </c>
      <c r="Q19" s="81"/>
      <c r="R19" s="81"/>
      <c r="S19" s="81"/>
      <c r="T19" s="82">
        <f t="shared" si="5"/>
        <v>1.127564301411004E-2</v>
      </c>
      <c r="U19" s="231"/>
      <c r="V19" s="1"/>
      <c r="X19" s="249"/>
      <c r="Y19" s="250" t="s">
        <v>66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91380.410993140773</v>
      </c>
      <c r="Q20" s="81"/>
      <c r="R20" s="81"/>
      <c r="S20" s="81"/>
      <c r="T20" s="82">
        <f t="shared" si="5"/>
        <v>1.127564301411004E-2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92410.783885982091</v>
      </c>
      <c r="Q21" s="81"/>
      <c r="R21" s="81"/>
      <c r="S21" s="81"/>
      <c r="T21" s="82">
        <f t="shared" si="5"/>
        <v>1.127564301411004E-2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93452.774895734503</v>
      </c>
      <c r="Q22" s="81"/>
      <c r="R22" s="81"/>
      <c r="S22" s="81"/>
      <c r="T22" s="82">
        <f t="shared" si="5"/>
        <v>1.127564301411004E-2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94506.515024136796</v>
      </c>
      <c r="Q23" s="81"/>
      <c r="R23" s="81"/>
      <c r="S23" s="81"/>
      <c r="T23" s="82">
        <f t="shared" si="5"/>
        <v>1.127564301411004E-2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95572.136750056598</v>
      </c>
      <c r="Q24" s="81"/>
      <c r="R24" s="81"/>
      <c r="S24" s="81"/>
      <c r="T24" s="82">
        <f t="shared" si="5"/>
        <v>1.127564301411004E-2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96649.774046145947</v>
      </c>
      <c r="Q25" s="81"/>
      <c r="R25" s="81"/>
      <c r="S25" s="81"/>
      <c r="T25" s="82">
        <f t="shared" si="5"/>
        <v>1.127564301411004E-2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97739.562395684698</v>
      </c>
      <c r="Q26" s="81"/>
      <c r="R26" s="81"/>
      <c r="S26" s="81"/>
      <c r="T26" s="82">
        <f t="shared" si="5"/>
        <v>1.127564301411004E-2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98841.638809613782</v>
      </c>
      <c r="Q27" s="81"/>
      <c r="R27" s="81"/>
      <c r="S27" s="81"/>
      <c r="T27" s="82">
        <f t="shared" si="5"/>
        <v>1.127564301411004E-2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99956.141843760604</v>
      </c>
      <c r="Q28" s="81"/>
      <c r="R28" s="81"/>
      <c r="S28" s="81"/>
      <c r="T28" s="82">
        <f t="shared" si="5"/>
        <v>1.127564301411004E-2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101083.2116162586</v>
      </c>
      <c r="Q29" s="81"/>
      <c r="R29" s="81"/>
      <c r="S29" s="81"/>
      <c r="T29" s="82">
        <f t="shared" si="5"/>
        <v>1.127564301411004E-2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102222.98982516328</v>
      </c>
      <c r="Q30" s="81"/>
      <c r="R30" s="81"/>
      <c r="S30" s="81"/>
      <c r="T30" s="82">
        <f t="shared" si="5"/>
        <v>1.127564301411004E-2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103375.61976626683</v>
      </c>
      <c r="Q31" s="81"/>
      <c r="R31" s="81"/>
      <c r="S31" s="81"/>
      <c r="T31" s="82">
        <f t="shared" si="5"/>
        <v>1.127564301411004E-2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104541.24635111363</v>
      </c>
      <c r="Q32" s="81"/>
      <c r="R32" s="81"/>
      <c r="S32" s="81"/>
      <c r="T32" s="82">
        <f t="shared" si="5"/>
        <v>1.127564301411004E-2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105720.01612521893</v>
      </c>
      <c r="Q33" s="81"/>
      <c r="R33" s="81"/>
      <c r="S33" s="81"/>
      <c r="T33" s="82">
        <f t="shared" si="5"/>
        <v>1.127564301411004E-2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106912.07728649286</v>
      </c>
      <c r="Q34" s="81"/>
      <c r="R34" s="81"/>
      <c r="S34" s="81"/>
      <c r="T34" s="82">
        <f t="shared" si="5"/>
        <v>1.127564301411004E-2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108117.5797038723</v>
      </c>
      <c r="Q35" s="81"/>
      <c r="R35" s="81"/>
      <c r="S35" s="81"/>
      <c r="T35" s="82">
        <f t="shared" si="5"/>
        <v>1.127564301411004E-2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109336.67493616276</v>
      </c>
      <c r="Q36" s="81"/>
      <c r="R36" s="81"/>
      <c r="S36" s="81"/>
      <c r="T36" s="82">
        <f t="shared" si="5"/>
        <v>1.127564301411004E-2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110569.51625109273</v>
      </c>
      <c r="Q37" s="81"/>
      <c r="R37" s="81"/>
      <c r="S37" s="81"/>
      <c r="T37" s="82">
        <f t="shared" si="5"/>
        <v>1.127564301411004E-2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111816.25864458291</v>
      </c>
      <c r="Q38" s="81"/>
      <c r="R38" s="81"/>
      <c r="S38" s="81"/>
      <c r="T38" s="82">
        <f t="shared" si="5"/>
        <v>1.127564301411004E-2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113077.05886023263</v>
      </c>
      <c r="Q39" s="81"/>
      <c r="R39" s="81"/>
      <c r="S39" s="81"/>
      <c r="T39" s="82">
        <f t="shared" si="5"/>
        <v>1.127564301411004E-2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114352.07540902613</v>
      </c>
      <c r="Q40" s="81"/>
      <c r="R40" s="81"/>
      <c r="S40" s="81"/>
      <c r="T40" s="82">
        <f t="shared" si="5"/>
        <v>1.127564301411004E-2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115641.46858926091</v>
      </c>
      <c r="Q41" s="81"/>
      <c r="R41" s="81"/>
      <c r="S41" s="81"/>
      <c r="T41" s="82">
        <f t="shared" si="5"/>
        <v>1.127564301411004E-2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116945.40050670084</v>
      </c>
      <c r="Q42" s="81"/>
      <c r="R42" s="81"/>
      <c r="S42" s="81"/>
      <c r="T42" s="82">
        <f t="shared" si="5"/>
        <v>1.127564301411004E-2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118264.03509495653</v>
      </c>
      <c r="Q43" s="81"/>
      <c r="R43" s="81"/>
      <c r="S43" s="81"/>
      <c r="T43" s="82">
        <f t="shared" si="5"/>
        <v>1.127564301411004E-2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119597.53813609545</v>
      </c>
      <c r="Q44" s="81"/>
      <c r="R44" s="81"/>
      <c r="S44" s="81"/>
      <c r="T44" s="82">
        <f t="shared" si="5"/>
        <v>1.127564301411004E-2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120946.07728148448</v>
      </c>
      <c r="Q45" s="81"/>
      <c r="R45" s="81"/>
      <c r="S45" s="81"/>
      <c r="T45" s="82">
        <f t="shared" si="5"/>
        <v>1.127564301411004E-2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122309.82207286748</v>
      </c>
      <c r="Q46" s="81"/>
      <c r="R46" s="81"/>
      <c r="S46" s="81"/>
      <c r="T46" s="82">
        <f t="shared" si="5"/>
        <v>1.127564301411004E-2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123688.94396368046</v>
      </c>
      <c r="Q47" s="81"/>
      <c r="R47" s="81"/>
      <c r="S47" s="81"/>
      <c r="T47" s="82">
        <f t="shared" si="5"/>
        <v>1.127564301411004E-2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125083.61634060719</v>
      </c>
      <c r="Q48" s="81"/>
      <c r="R48" s="81"/>
      <c r="S48" s="81"/>
      <c r="T48" s="82">
        <f t="shared" si="5"/>
        <v>1.127564301411004E-2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126494.01454537778</v>
      </c>
      <c r="Q49" s="81"/>
      <c r="R49" s="81"/>
      <c r="S49" s="81"/>
      <c r="T49" s="82">
        <f t="shared" si="5"/>
        <v>1.127564301411004E-2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127920.31589681312</v>
      </c>
      <c r="Q50" s="81"/>
      <c r="R50" s="81"/>
      <c r="S50" s="81"/>
      <c r="T50" s="82">
        <f t="shared" si="5"/>
        <v>1.127564301411004E-2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129362.69971311778</v>
      </c>
      <c r="Q51" s="81"/>
      <c r="R51" s="81"/>
      <c r="S51" s="81"/>
      <c r="T51" s="82">
        <f t="shared" si="5"/>
        <v>1.127564301411004E-2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130821.34733442441</v>
      </c>
      <c r="Q52" s="81"/>
      <c r="R52" s="81"/>
      <c r="S52" s="81"/>
      <c r="T52" s="82">
        <f t="shared" si="5"/>
        <v>1.127564301411004E-2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132296.4421455923</v>
      </c>
      <c r="Q53" s="81"/>
      <c r="R53" s="81"/>
      <c r="S53" s="81"/>
      <c r="T53" s="82">
        <f t="shared" si="5"/>
        <v>1.127564301411004E-2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133788.16959926288</v>
      </c>
      <c r="Q54" s="81"/>
      <c r="R54" s="81"/>
      <c r="S54" s="81"/>
      <c r="T54" s="82">
        <f t="shared" si="5"/>
        <v>1.127564301411004E-2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135296.7172391754</v>
      </c>
      <c r="Q55" s="81"/>
      <c r="R55" s="81"/>
      <c r="S55" s="81"/>
      <c r="T55" s="82">
        <f t="shared" si="5"/>
        <v>1.127564301411004E-2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136822.27472374533</v>
      </c>
      <c r="Q56" s="81"/>
      <c r="R56" s="81"/>
      <c r="S56" s="81"/>
      <c r="T56" s="82">
        <f t="shared" si="5"/>
        <v>1.127564301411004E-2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138365.0338499088</v>
      </c>
      <c r="Q57" s="81"/>
      <c r="R57" s="81"/>
      <c r="S57" s="81"/>
      <c r="T57" s="82">
        <f t="shared" si="5"/>
        <v>1.127564301411004E-2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139925.18857723562</v>
      </c>
      <c r="Q58" s="81"/>
      <c r="R58" s="81"/>
      <c r="S58" s="81"/>
      <c r="T58" s="82">
        <f t="shared" si="5"/>
        <v>1.127564301411004E-2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141502.93505231457</v>
      </c>
      <c r="Q59" s="81"/>
      <c r="R59" s="81"/>
      <c r="S59" s="81"/>
      <c r="T59" s="82">
        <f t="shared" si="5"/>
        <v>1.127564301411004E-2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2020-06-12T01:07:40Z</dcterms:modified>
</cp:coreProperties>
</file>