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79864840-4507-4D18-B97E-63D60F3DA80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8" i="1" l="1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E108" i="2"/>
  <c r="R96" i="1" l="1"/>
  <c r="R103" i="1" s="1"/>
  <c r="R104" i="1" s="1"/>
  <c r="P96" i="1"/>
  <c r="BN104" i="1"/>
  <c r="BM104" i="1"/>
  <c r="BH104" i="1"/>
  <c r="BF104" i="1"/>
  <c r="BE104" i="1"/>
  <c r="AZ104" i="1"/>
  <c r="AX104" i="1"/>
  <c r="AW104" i="1"/>
  <c r="AR104" i="1"/>
  <c r="AP104" i="1"/>
  <c r="AO104" i="1"/>
  <c r="AJ104" i="1"/>
  <c r="AH104" i="1"/>
  <c r="AG104" i="1"/>
  <c r="AB104" i="1"/>
  <c r="Z104" i="1"/>
  <c r="Y104" i="1"/>
  <c r="T104" i="1"/>
  <c r="L104" i="1"/>
  <c r="J104" i="1"/>
  <c r="I104" i="1"/>
  <c r="BO103" i="1"/>
  <c r="BO104" i="1" s="1"/>
  <c r="BN103" i="1"/>
  <c r="BM103" i="1"/>
  <c r="BK103" i="1"/>
  <c r="BK104" i="1" s="1"/>
  <c r="BJ103" i="1"/>
  <c r="BJ104" i="1" s="1"/>
  <c r="BI103" i="1"/>
  <c r="BI104" i="1" s="1"/>
  <c r="BH103" i="1"/>
  <c r="BG103" i="1"/>
  <c r="BG104" i="1" s="1"/>
  <c r="BF103" i="1"/>
  <c r="BE103" i="1"/>
  <c r="BD103" i="1"/>
  <c r="BD104" i="1" s="1"/>
  <c r="BC103" i="1"/>
  <c r="BC104" i="1" s="1"/>
  <c r="BB103" i="1"/>
  <c r="BB104" i="1" s="1"/>
  <c r="BA103" i="1"/>
  <c r="BA104" i="1" s="1"/>
  <c r="AZ103" i="1"/>
  <c r="AY103" i="1"/>
  <c r="AY104" i="1" s="1"/>
  <c r="AX103" i="1"/>
  <c r="AW103" i="1"/>
  <c r="AV103" i="1"/>
  <c r="AV104" i="1" s="1"/>
  <c r="AU103" i="1"/>
  <c r="AU104" i="1" s="1"/>
  <c r="AT103" i="1"/>
  <c r="AT104" i="1" s="1"/>
  <c r="AS103" i="1"/>
  <c r="AS104" i="1" s="1"/>
  <c r="AR103" i="1"/>
  <c r="AQ103" i="1"/>
  <c r="AQ104" i="1" s="1"/>
  <c r="AP103" i="1"/>
  <c r="AO103" i="1"/>
  <c r="AN103" i="1"/>
  <c r="AN104" i="1" s="1"/>
  <c r="AM103" i="1"/>
  <c r="AM104" i="1" s="1"/>
  <c r="AL103" i="1"/>
  <c r="AL104" i="1" s="1"/>
  <c r="AK103" i="1"/>
  <c r="AK104" i="1" s="1"/>
  <c r="AJ103" i="1"/>
  <c r="AI103" i="1"/>
  <c r="AI104" i="1" s="1"/>
  <c r="AH103" i="1"/>
  <c r="AG103" i="1"/>
  <c r="AF103" i="1"/>
  <c r="AF104" i="1" s="1"/>
  <c r="AE103" i="1"/>
  <c r="AE104" i="1" s="1"/>
  <c r="AD103" i="1"/>
  <c r="AD104" i="1" s="1"/>
  <c r="AC103" i="1"/>
  <c r="AC104" i="1" s="1"/>
  <c r="AB103" i="1"/>
  <c r="AA103" i="1"/>
  <c r="AA104" i="1" s="1"/>
  <c r="Z103" i="1"/>
  <c r="Y103" i="1"/>
  <c r="X103" i="1"/>
  <c r="X104" i="1" s="1"/>
  <c r="W103" i="1"/>
  <c r="W104" i="1" s="1"/>
  <c r="V103" i="1"/>
  <c r="V104" i="1" s="1"/>
  <c r="U103" i="1"/>
  <c r="U104" i="1" s="1"/>
  <c r="T103" i="1"/>
  <c r="S103" i="1"/>
  <c r="S104" i="1" s="1"/>
  <c r="Q103" i="1"/>
  <c r="Q104" i="1" s="1"/>
  <c r="P103" i="1"/>
  <c r="P104" i="1" s="1"/>
  <c r="O103" i="1"/>
  <c r="O104" i="1" s="1"/>
  <c r="N103" i="1"/>
  <c r="N104" i="1" s="1"/>
  <c r="M103" i="1"/>
  <c r="M104" i="1" s="1"/>
  <c r="L103" i="1"/>
  <c r="K103" i="1"/>
  <c r="K104" i="1" s="1"/>
  <c r="J103" i="1"/>
  <c r="I103" i="1"/>
  <c r="H103" i="1"/>
  <c r="H104" i="1" s="1"/>
  <c r="D104" i="1"/>
  <c r="D103" i="1"/>
  <c r="BM96" i="1"/>
  <c r="BJ96" i="1"/>
  <c r="BD96" i="1"/>
  <c r="BO96" i="1" s="1"/>
  <c r="BQ96" i="1" s="1"/>
  <c r="AZ96" i="1"/>
  <c r="AW96" i="1"/>
  <c r="AK96" i="1"/>
  <c r="AQ96" i="1" s="1"/>
  <c r="AF96" i="1"/>
  <c r="AH96" i="1" s="1"/>
  <c r="Z96" i="1"/>
  <c r="AD96" i="1" s="1"/>
  <c r="N96" i="1"/>
  <c r="J96" i="1"/>
  <c r="H96" i="1"/>
  <c r="AU96" i="1" s="1"/>
  <c r="S97" i="2"/>
  <c r="K97" i="2"/>
  <c r="Q97" i="2" s="1"/>
  <c r="I20" i="3"/>
  <c r="BV96" i="1"/>
  <c r="BV97" i="1" s="1"/>
  <c r="BV98" i="1" s="1"/>
  <c r="BV99" i="1" s="1"/>
  <c r="BV100" i="1" s="1"/>
  <c r="BV101" i="1" s="1"/>
  <c r="B96" i="1"/>
  <c r="B97" i="1" s="1"/>
  <c r="B98" i="1" s="1"/>
  <c r="B99" i="1" s="1"/>
  <c r="B100" i="1" s="1"/>
  <c r="B101" i="1" s="1"/>
  <c r="S96" i="2"/>
  <c r="W98" i="2"/>
  <c r="W99" i="2" s="1"/>
  <c r="W100" i="2" s="1"/>
  <c r="W101" i="2" s="1"/>
  <c r="W102" i="2" s="1"/>
  <c r="W103" i="2" s="1"/>
  <c r="W104" i="2" s="1"/>
  <c r="W105" i="2" s="1"/>
  <c r="W106" i="2" s="1"/>
  <c r="W97" i="2"/>
  <c r="C98" i="2"/>
  <c r="C99" i="2" s="1"/>
  <c r="C100" i="2" s="1"/>
  <c r="C101" i="2" s="1"/>
  <c r="C102" i="2" s="1"/>
  <c r="C103" i="2" s="1"/>
  <c r="C104" i="2" s="1"/>
  <c r="C105" i="2" s="1"/>
  <c r="C106" i="2" s="1"/>
  <c r="C97" i="2"/>
  <c r="K96" i="2"/>
  <c r="Q96" i="2" s="1"/>
  <c r="BL96" i="1" l="1"/>
  <c r="BL103" i="1" s="1"/>
  <c r="AB96" i="1"/>
  <c r="BF96" i="1"/>
  <c r="U97" i="2"/>
  <c r="M97" i="2"/>
  <c r="U96" i="2"/>
  <c r="M96" i="2"/>
  <c r="BJ89" i="1" l="1"/>
  <c r="BD95" i="1" l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BL104" i="1" l="1"/>
  <c r="BF95" i="1"/>
  <c r="D121" i="1"/>
  <c r="BD94" i="1"/>
  <c r="AZ94" i="1"/>
  <c r="AK94" i="1"/>
  <c r="AQ94" i="1" s="1"/>
  <c r="K95" i="2"/>
  <c r="M95" i="2" s="1"/>
  <c r="BF94" i="1" l="1"/>
  <c r="Q95" i="2"/>
  <c r="U95" i="2"/>
  <c r="S94" i="2" l="1"/>
  <c r="BD93" i="1" l="1"/>
  <c r="AZ93" i="1"/>
  <c r="AK93" i="1"/>
  <c r="AQ93" i="1" s="1"/>
  <c r="K94" i="2"/>
  <c r="Q94" i="2" s="1"/>
  <c r="BF93" i="1" l="1"/>
  <c r="U94" i="2"/>
  <c r="M94" i="2"/>
  <c r="S93" i="2"/>
  <c r="K93" i="2"/>
  <c r="M93" i="2" s="1"/>
  <c r="BD92" i="1"/>
  <c r="AZ92" i="1"/>
  <c r="AK92" i="1"/>
  <c r="AQ92" i="1" s="1"/>
  <c r="Q93" i="2" l="1"/>
  <c r="U93" i="2"/>
  <c r="BF92" i="1"/>
  <c r="S92" i="2" l="1"/>
  <c r="BD91" i="1" l="1"/>
  <c r="AZ91" i="1"/>
  <c r="AK91" i="1"/>
  <c r="AQ91" i="1" s="1"/>
  <c r="K92" i="2"/>
  <c r="Q92" i="2" s="1"/>
  <c r="BF91" i="1" l="1"/>
  <c r="U92" i="2"/>
  <c r="M92" i="2"/>
  <c r="S91" i="2"/>
  <c r="BD90" i="1" l="1"/>
  <c r="AZ90" i="1"/>
  <c r="AK90" i="1"/>
  <c r="AQ90" i="1" s="1"/>
  <c r="K91" i="2"/>
  <c r="M91" i="2" s="1"/>
  <c r="BJ106" i="1" l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X89" i="2"/>
  <c r="Y90" i="2" s="1"/>
  <c r="Y96" i="2" s="1"/>
  <c r="Y106" i="2" s="1"/>
  <c r="BL89" i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32" i="1" l="1"/>
  <c r="BD75" i="1"/>
  <c r="AZ75" i="1"/>
  <c r="AK75" i="1"/>
  <c r="AQ75" i="1" s="1"/>
  <c r="K76" i="2"/>
  <c r="M76" i="2" s="1"/>
  <c r="BF75" i="1" l="1"/>
  <c r="U76" i="2"/>
  <c r="Q76" i="2"/>
  <c r="D136" i="1"/>
  <c r="D135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8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6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108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2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0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52" i="1"/>
  <c r="B155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M95" i="1" l="1"/>
  <c r="AW95" i="1"/>
  <c r="BO67" i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Q94" i="1"/>
  <c r="Z73" i="1"/>
  <c r="AD72" i="1"/>
  <c r="H68" i="1"/>
  <c r="J68" i="1"/>
  <c r="AU67" i="1"/>
  <c r="N67" i="1"/>
  <c r="AB67" i="1"/>
  <c r="BQ95" i="1" l="1"/>
  <c r="Z74" i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30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M23" i="2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AD94" i="1"/>
  <c r="AD49" i="2"/>
  <c r="AD51" i="2" s="1"/>
  <c r="AD53" i="2" s="1"/>
  <c r="AD55" i="2" s="1"/>
  <c r="AD57" i="2" s="1"/>
  <c r="AD93" i="1"/>
  <c r="J83" i="1"/>
  <c r="H83" i="1"/>
  <c r="AU82" i="1"/>
  <c r="N82" i="1"/>
  <c r="AB82" i="1"/>
  <c r="AD95" i="1" l="1"/>
  <c r="AJ21" i="2"/>
  <c r="I21" i="3"/>
  <c r="J84" i="1"/>
  <c r="H84" i="1"/>
  <c r="AU83" i="1"/>
  <c r="N83" i="1"/>
  <c r="AB83" i="1"/>
  <c r="I35" i="3" l="1"/>
  <c r="I23" i="3"/>
  <c r="I25" i="3" s="1"/>
  <c r="I27" i="3" s="1"/>
  <c r="AM21" i="2"/>
  <c r="AN24" i="2" s="1"/>
  <c r="AN23" i="2"/>
  <c r="AU84" i="1"/>
  <c r="J85" i="1"/>
  <c r="H85" i="1"/>
  <c r="N84" i="1"/>
  <c r="AB84" i="1"/>
  <c r="AN25" i="2" l="1"/>
  <c r="AN26" i="2" s="1"/>
  <c r="I34" i="3"/>
  <c r="N27" i="3"/>
  <c r="N28" i="3" s="1"/>
  <c r="H86" i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T14" i="7" l="1"/>
  <c r="N95" i="1"/>
  <c r="AU95" i="1"/>
  <c r="AB95" i="1"/>
  <c r="Z48" i="3"/>
  <c r="Z49" i="3"/>
  <c r="Z47" i="3"/>
  <c r="I32" i="3" l="1"/>
  <c r="AF21" i="2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28" i="3"/>
  <c r="L32" i="3"/>
  <c r="I36" i="3"/>
  <c r="V51" i="3" s="1"/>
  <c r="Z51" i="3" s="1"/>
  <c r="L35" i="3"/>
  <c r="L34" i="3"/>
  <c r="Z50" i="3" l="1"/>
  <c r="L36" i="3"/>
  <c r="X51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<sst xmlns="http://schemas.openxmlformats.org/spreadsheetml/2006/main" count="243" uniqueCount="135">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</sst>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66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Lit>
              <c:ptCount val="11"/>
              <c:pt idx="0">
                <c:v>2</c:v>
              </c:pt>
              <c:pt idx="1">
                <c:v>9</c:v>
              </c:pt>
              <c:pt idx="2">
                <c:v>16</c:v>
              </c:pt>
              <c:pt idx="3">
                <c:v>23</c:v>
              </c:pt>
              <c:pt idx="4">
                <c:v>30</c:v>
              </c:pt>
              <c:pt idx="5">
                <c:v>37</c:v>
              </c:pt>
              <c:pt idx="6">
                <c:v>44</c:v>
              </c:pt>
              <c:pt idx="7">
                <c:v>51</c:v>
              </c:pt>
              <c:pt idx="8">
                <c:v>58</c:v>
              </c:pt>
              <c:pt idx="9">
                <c:v>65</c:v>
              </c:pt>
              <c:pt idx="10">
                <c:v>72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Table'!$AF$25:$AF$96</c15:sqref>
                  </c15:fullRef>
                </c:ext>
              </c:extLst>
              <c:f>('Main Table'!$AF$26,'Main Table'!$AF$33,'Main Table'!$AF$40,'Main Table'!$AF$47,'Main Table'!$AF$54,'Main Table'!$AF$61,'Main Table'!$AF$68,'Main Table'!$AF$75,'Main Table'!$AF$82,'Main Table'!$AF$89,'Main Table'!$AF$96)</c:f>
              <c:numCache>
                <c:formatCode>_(* #,##0_);_(* \(#,##0\);_(* "-"??_);_(@_)</c:formatCode>
                <c:ptCount val="11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6201</c:v>
                </c:pt>
                <c:pt idx="10">
                  <c:v>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Lit>
              <c:ptCount val="11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Table'!$P$26:$P$96</c15:sqref>
                  </c15:fullRef>
                </c:ext>
              </c:extLst>
              <c:f>('Main Table'!$P$26,'Main Table'!$P$33,'Main Table'!$P$40,'Main Table'!$P$47,'Main Table'!$P$54,'Main Table'!$P$61,'Main Table'!$P$68,'Main Table'!$P$75,'Main Table'!$P$82,'Main Table'!$P$89,'Main Table'!$P$96)</c:f>
              <c:numCache>
                <c:formatCode>_(* #,##0_);_(* \(#,##0\);_(* "-"??_);_(@_)</c:formatCode>
                <c:ptCount val="11"/>
                <c:pt idx="0">
                  <c:v>193182</c:v>
                </c:pt>
                <c:pt idx="1">
                  <c:v>221317</c:v>
                </c:pt>
                <c:pt idx="2">
                  <c:v>204675</c:v>
                </c:pt>
                <c:pt idx="3">
                  <c:v>217050</c:v>
                </c:pt>
                <c:pt idx="4">
                  <c:v>200962</c:v>
                </c:pt>
                <c:pt idx="5">
                  <c:v>179516</c:v>
                </c:pt>
                <c:pt idx="6">
                  <c:v>160026</c:v>
                </c:pt>
                <c:pt idx="7">
                  <c:v>158772</c:v>
                </c:pt>
                <c:pt idx="8">
                  <c:v>150734</c:v>
                </c:pt>
                <c:pt idx="9">
                  <c:v>153485</c:v>
                </c:pt>
                <c:pt idx="10">
                  <c:v>154695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2</c:v>
              </c:pt>
              <c:pt idx="1">
                <c:v>9</c:v>
              </c:pt>
              <c:pt idx="2">
                <c:v>16</c:v>
              </c:pt>
              <c:pt idx="3">
                <c:v>23</c:v>
              </c:pt>
              <c:pt idx="4">
                <c:v>30</c:v>
              </c:pt>
              <c:pt idx="5">
                <c:v>37</c:v>
              </c:pt>
              <c:pt idx="6">
                <c:v>44</c:v>
              </c:pt>
              <c:pt idx="7">
                <c:v>51</c:v>
              </c:pt>
              <c:pt idx="8">
                <c:v>58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Table'!$BL$39:$BL$96</c15:sqref>
                  </c15:fullRef>
                </c:ext>
              </c:extLst>
              <c:f>('Main Table'!$BL$40,'Main Table'!$BL$47,'Main Table'!$BL$54,'Main Table'!$BL$61,'Main Table'!$BL$68,'Main Table'!$BL$75,'Main Table'!$BL$82,'Main Table'!$BL$89,'Main Table'!$BL$96)</c:f>
              <c:numCache>
                <c:formatCode>0.0%</c:formatCode>
                <c:ptCount val="9"/>
                <c:pt idx="0">
                  <c:v>0.19885047085809551</c:v>
                </c:pt>
                <c:pt idx="1">
                  <c:v>0.13490457855138402</c:v>
                </c:pt>
                <c:pt idx="2">
                  <c:v>0.11641359782560842</c:v>
                </c:pt>
                <c:pt idx="3">
                  <c:v>7.9863510077698707E-2</c:v>
                </c:pt>
                <c:pt idx="4">
                  <c:v>6.5825742321749203E-2</c:v>
                </c:pt>
                <c:pt idx="5">
                  <c:v>5.5240875993676102E-2</c:v>
                </c:pt>
                <c:pt idx="6">
                  <c:v>5.1571586394056956E-2</c:v>
                </c:pt>
                <c:pt idx="7">
                  <c:v>4.2409597939824982E-2</c:v>
                </c:pt>
                <c:pt idx="8">
                  <c:v>4.4207994046731106E-2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106</xdr:row>
      <xdr:rowOff>0</xdr:rowOff>
    </xdr:from>
    <xdr:to>
      <xdr:col>53</xdr:col>
      <xdr:colOff>160020</xdr:colOff>
      <xdr:row>106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107</xdr:row>
      <xdr:rowOff>0</xdr:rowOff>
    </xdr:from>
    <xdr:to>
      <xdr:col>53</xdr:col>
      <xdr:colOff>160020</xdr:colOff>
      <xdr:row>107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116</xdr:row>
      <xdr:rowOff>99060</xdr:rowOff>
    </xdr:from>
    <xdr:to>
      <xdr:col>21</xdr:col>
      <xdr:colOff>274320</xdr:colOff>
      <xdr:row>117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116</xdr:row>
      <xdr:rowOff>129540</xdr:rowOff>
    </xdr:from>
    <xdr:to>
      <xdr:col>22</xdr:col>
      <xdr:colOff>38100</xdr:colOff>
      <xdr:row>117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21</xdr:col>
      <xdr:colOff>289560</xdr:colOff>
      <xdr:row>9</xdr:row>
      <xdr:rowOff>160020</xdr:rowOff>
    </xdr:from>
    <xdr:to>
      <xdr:col>33</xdr:col>
      <xdr:colOff>419100</xdr:colOff>
      <xdr:row>27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579120</xdr:colOff>
      <xdr:row>10</xdr:row>
      <xdr:rowOff>15240</xdr:rowOff>
    </xdr:from>
    <xdr:to>
      <xdr:col>17</xdr:col>
      <xdr:colOff>426720</xdr:colOff>
      <xdr:row>27</xdr:row>
      <xdr:rowOff>144780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152400</xdr:colOff>
      <xdr:row>9</xdr:row>
      <xdr:rowOff>175260</xdr:rowOff>
    </xdr:from>
    <xdr:to>
      <xdr:col>66</xdr:col>
      <xdr:colOff>106680</xdr:colOff>
      <xdr:row>27</xdr:row>
      <xdr:rowOff>137160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72"/>
  <sheetViews>
    <sheetView tabSelected="1" zoomScaleNormal="100" workbookViewId="0">
      <selection activeCell="P99" sqref="P99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3" t="s">
        <v>5</v>
      </c>
      <c r="C1" s="483"/>
      <c r="D1" s="483"/>
    </row>
    <row r="2" spans="2:89" ht="15.6" x14ac:dyDescent="0.3">
      <c r="B2" s="483" t="s">
        <v>6</v>
      </c>
      <c r="C2" s="483"/>
      <c r="D2" s="48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8" t="s">
        <v>13</v>
      </c>
      <c r="C3" s="48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4" t="s">
        <v>11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11"/>
      <c r="AD4" s="328"/>
      <c r="AE4" s="450"/>
      <c r="AF4" s="450"/>
      <c r="AG4" s="450"/>
      <c r="AH4" s="450"/>
      <c r="AI4" s="12"/>
      <c r="AK4" s="499" t="s">
        <v>14</v>
      </c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89" t="s">
        <v>12</v>
      </c>
      <c r="G6" s="489"/>
      <c r="H6" s="489"/>
      <c r="I6" s="489"/>
      <c r="J6" s="489"/>
      <c r="K6" s="489"/>
      <c r="L6" s="489"/>
      <c r="M6" s="338"/>
      <c r="N6" s="338"/>
      <c r="O6" s="339"/>
      <c r="P6" s="495" t="s">
        <v>125</v>
      </c>
      <c r="Q6" s="489"/>
      <c r="R6" s="489"/>
      <c r="S6" s="489"/>
      <c r="T6" s="496"/>
      <c r="U6" s="3"/>
      <c r="V6" s="8" t="s">
        <v>7</v>
      </c>
      <c r="W6" s="30"/>
      <c r="X6" s="490">
        <v>1.2500000000000001E-2</v>
      </c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1"/>
      <c r="AJ6" s="3"/>
      <c r="AK6" s="506" t="s">
        <v>27</v>
      </c>
      <c r="AL6" s="507"/>
      <c r="AM6" s="507"/>
      <c r="AN6" s="507"/>
      <c r="AO6" s="507"/>
      <c r="AP6" s="507"/>
      <c r="AQ6" s="507"/>
      <c r="AR6" s="507"/>
      <c r="AS6" s="507"/>
      <c r="AT6" s="507"/>
      <c r="AU6" s="507"/>
      <c r="AV6" s="507"/>
      <c r="AW6" s="507"/>
      <c r="AX6" s="508"/>
      <c r="AY6" s="3"/>
      <c r="AZ6" s="509" t="s">
        <v>7</v>
      </c>
      <c r="BA6" s="503"/>
      <c r="BB6" s="503"/>
      <c r="BC6" s="97"/>
      <c r="BD6" s="502" t="s">
        <v>26</v>
      </c>
      <c r="BE6" s="502"/>
      <c r="BF6" s="502"/>
      <c r="BG6" s="502"/>
      <c r="BH6" s="502"/>
      <c r="BI6" s="502"/>
      <c r="BJ6" s="502"/>
      <c r="BK6" s="502"/>
      <c r="BL6" s="502"/>
      <c r="BM6" s="502"/>
      <c r="BN6" s="502"/>
      <c r="BO6" s="502"/>
      <c r="BP6" s="502"/>
      <c r="BQ6" s="503"/>
      <c r="BR6" s="503"/>
      <c r="BS6" s="503"/>
      <c r="BT6" s="504"/>
      <c r="BU6" s="3"/>
    </row>
    <row r="7" spans="2:89" ht="16.2" x14ac:dyDescent="0.3">
      <c r="D7" s="486" t="s">
        <v>20</v>
      </c>
      <c r="E7" s="487"/>
      <c r="F7" s="487"/>
      <c r="G7" s="487"/>
      <c r="H7" s="487"/>
      <c r="I7" s="487"/>
      <c r="J7" s="487"/>
      <c r="K7" s="468"/>
      <c r="L7" s="468"/>
      <c r="M7" s="468"/>
      <c r="N7" s="468"/>
      <c r="O7" s="469"/>
      <c r="P7" s="451"/>
      <c r="Q7" s="452"/>
      <c r="R7" s="452"/>
      <c r="S7" s="452"/>
      <c r="T7" s="340"/>
      <c r="U7" s="3"/>
      <c r="V7" s="492" t="s">
        <v>35</v>
      </c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4"/>
      <c r="AJ7" s="3"/>
      <c r="AK7" s="486" t="s">
        <v>77</v>
      </c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505"/>
      <c r="AZ7" s="486" t="s">
        <v>25</v>
      </c>
      <c r="BA7" s="487"/>
      <c r="BB7" s="487"/>
      <c r="BC7" s="487"/>
      <c r="BD7" s="487"/>
      <c r="BE7" s="487"/>
      <c r="BF7" s="487"/>
      <c r="BG7" s="487"/>
      <c r="BH7" s="487"/>
      <c r="BI7" s="487"/>
      <c r="BJ7" s="487"/>
      <c r="BK7" s="487"/>
      <c r="BL7" s="487"/>
      <c r="BM7" s="487"/>
      <c r="BN7" s="487"/>
      <c r="BO7" s="487"/>
      <c r="BP7" s="487"/>
      <c r="BQ7" s="487"/>
      <c r="BR7" s="487"/>
      <c r="BS7" s="487"/>
      <c r="BT7" s="50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116</v>
      </c>
      <c r="O8" s="341"/>
      <c r="P8" s="455" t="s">
        <v>1</v>
      </c>
      <c r="Q8" s="331"/>
      <c r="R8" s="53" t="s">
        <v>80</v>
      </c>
      <c r="S8" s="331"/>
      <c r="T8" s="341"/>
      <c r="V8" s="458" t="s">
        <v>1</v>
      </c>
      <c r="W8" s="459"/>
      <c r="X8" s="460" t="s">
        <v>15</v>
      </c>
      <c r="Y8" s="459"/>
      <c r="Z8" s="461" t="s">
        <v>2</v>
      </c>
      <c r="AA8" s="459"/>
      <c r="AB8" s="462" t="s">
        <v>3</v>
      </c>
      <c r="AC8" s="459"/>
      <c r="AD8" s="463" t="s">
        <v>116</v>
      </c>
      <c r="AE8" s="464"/>
      <c r="AF8" s="458" t="s">
        <v>1</v>
      </c>
      <c r="AG8" s="457"/>
      <c r="AH8" s="463" t="s">
        <v>126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116</v>
      </c>
      <c r="AX8" s="350"/>
      <c r="AZ8" s="497" t="s">
        <v>1</v>
      </c>
      <c r="BA8" s="498"/>
      <c r="BB8" s="498"/>
      <c r="BC8" s="64"/>
      <c r="BD8" s="498" t="s">
        <v>24</v>
      </c>
      <c r="BE8" s="498"/>
      <c r="BF8" s="498"/>
      <c r="BG8" s="498"/>
      <c r="BH8" s="510"/>
      <c r="BI8" s="511" t="s">
        <v>125</v>
      </c>
      <c r="BJ8" s="512"/>
      <c r="BK8" s="512"/>
      <c r="BL8" s="513"/>
      <c r="BM8" s="497" t="s">
        <v>24</v>
      </c>
      <c r="BN8" s="498"/>
      <c r="BO8" s="498"/>
      <c r="BP8" s="64"/>
      <c r="BQ8" s="105"/>
      <c r="BR8" s="467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3" t="s">
        <v>36</v>
      </c>
      <c r="BA9" s="64"/>
      <c r="BB9" s="98" t="s">
        <v>2</v>
      </c>
      <c r="BC9" s="65"/>
      <c r="BD9" s="454" t="s">
        <v>36</v>
      </c>
      <c r="BE9" s="64"/>
      <c r="BF9" s="63" t="s">
        <v>10</v>
      </c>
      <c r="BG9" s="156"/>
      <c r="BH9" s="465" t="s">
        <v>15</v>
      </c>
      <c r="BI9" s="64"/>
      <c r="BJ9" s="454" t="s">
        <v>127</v>
      </c>
      <c r="BK9" s="64"/>
      <c r="BL9" s="63" t="s">
        <v>10</v>
      </c>
      <c r="BM9" s="466" t="s">
        <v>116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79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6"/>
      <c r="Q11" s="60"/>
      <c r="R11" s="60"/>
      <c r="S11" s="60"/>
      <c r="T11" s="42"/>
      <c r="U11" s="480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6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6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6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6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6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6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79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6"/>
      <c r="Q18" s="60"/>
      <c r="R18" s="60"/>
      <c r="S18" s="60"/>
      <c r="T18" s="42"/>
      <c r="U18" s="480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6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6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6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6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6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6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79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0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79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0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3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3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6.0713548411313177E-2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7.2716495107041854E-2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8.2235934249004369E-2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8.2723830095560988E-2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8.9765386370240632E-2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9.0253079279531218E-2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8.8836882235200698E-2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9.860540003186842E-2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9.6479668674698801E-2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9.5144551683815609E-2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0.11725233374954344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79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80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0.12088864335077677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0.11831318964813128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0.13416248843888429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0.13486274878652882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0.13636691619148408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0.13700456100239519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0.14075589985921186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79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80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0.14718300769042636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0.14794641286197543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0.15291360239551929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0.1599343764124975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0.16119248120535734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0.16591353251103352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0.16686351720742668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79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80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0.17453080889053099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0.1851560784495013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0.18695263462585945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0.19800270795479258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0.21439430270146262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4">
        <f t="shared" si="25"/>
        <v>0.21558858020316241</v>
      </c>
      <c r="AV65" s="344"/>
      <c r="AW65" s="24">
        <f t="shared" si="26"/>
        <v>5676.0892857142853</v>
      </c>
      <c r="AX65" s="354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4">
        <f t="shared" si="25"/>
        <v>0.21733832796275213</v>
      </c>
      <c r="AV66" s="344"/>
      <c r="AW66" s="24">
        <f t="shared" si="26"/>
        <v>5723.5438596491231</v>
      </c>
      <c r="AX66" s="354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79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80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3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4">
        <f t="shared" si="25"/>
        <v>0.22251039147508769</v>
      </c>
      <c r="AV67" s="344"/>
      <c r="AW67" s="24">
        <f t="shared" si="26"/>
        <v>5848.8275862068967</v>
      </c>
      <c r="AX67" s="354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4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4">
        <f t="shared" si="25"/>
        <v>0.22427867899288942</v>
      </c>
      <c r="AV68" s="344"/>
      <c r="AW68" s="24">
        <f t="shared" si="26"/>
        <v>5871</v>
      </c>
      <c r="AX68" s="354"/>
      <c r="AY68" s="394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3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4">
        <f t="shared" ref="AU69:AU96" si="45">+AO69/H69</f>
        <v>0.22741734988717927</v>
      </c>
      <c r="AV69" s="344"/>
      <c r="AW69" s="24">
        <f t="shared" ref="AW69:AW96" si="46">+AO69/BV69</f>
        <v>5939.7166666666662</v>
      </c>
      <c r="AX69" s="354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5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3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4">
        <f t="shared" si="45"/>
        <v>0.2275325899266526</v>
      </c>
      <c r="AV70" s="344"/>
      <c r="AW70" s="24">
        <f t="shared" si="46"/>
        <v>5920.9836065573772</v>
      </c>
      <c r="AX70" s="354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5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3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4">
        <f t="shared" si="45"/>
        <v>0.22992984851977333</v>
      </c>
      <c r="AV71" s="344"/>
      <c r="AW71" s="24">
        <f t="shared" si="46"/>
        <v>5968.9677419354839</v>
      </c>
      <c r="AX71" s="354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5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3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4">
        <f t="shared" si="45"/>
        <v>0.2333582871504532</v>
      </c>
      <c r="AV72" s="344"/>
      <c r="AW72" s="24">
        <f t="shared" si="46"/>
        <v>6066.1746031746034</v>
      </c>
      <c r="AX72" s="354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5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3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4">
        <f t="shared" si="45"/>
        <v>0.26093673083010471</v>
      </c>
      <c r="AV73" s="344"/>
      <c r="AW73" s="24">
        <f t="shared" si="46"/>
        <v>6774.953125</v>
      </c>
      <c r="AX73" s="354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5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8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80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3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4">
        <f t="shared" si="45"/>
        <v>0.26544794496626917</v>
      </c>
      <c r="AV74" s="344"/>
      <c r="AW74" s="24">
        <f t="shared" si="46"/>
        <v>6875.6</v>
      </c>
      <c r="AX74" s="354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5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3">
        <f>+(AF75-AF68)/AF68</f>
        <v>-0.1833971151015602</v>
      </c>
      <c r="AI75" s="50"/>
      <c r="AJ75" s="394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4">
        <f t="shared" si="45"/>
        <v>0.26520317279521849</v>
      </c>
      <c r="AV75" s="344"/>
      <c r="AW75" s="24">
        <f t="shared" si="46"/>
        <v>6843.969696969697</v>
      </c>
      <c r="AX75" s="354"/>
      <c r="AY75" s="394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5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3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4">
        <f t="shared" si="45"/>
        <v>0.2696834627572518</v>
      </c>
      <c r="AV76" s="344"/>
      <c r="AW76" s="24">
        <f t="shared" si="46"/>
        <v>6935.373134328358</v>
      </c>
      <c r="AX76" s="354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5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101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3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4">
        <f t="shared" si="45"/>
        <v>0.27551948823541905</v>
      </c>
      <c r="AV77" s="344"/>
      <c r="AW77" s="24">
        <f t="shared" si="46"/>
        <v>7058.3676470588234</v>
      </c>
      <c r="AX77" s="354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5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5"/>
      <c r="BU77" s="1"/>
      <c r="BV77">
        <f t="shared" ref="BV77:BV101" si="52">+BV76+1</f>
        <v>68</v>
      </c>
    </row>
    <row r="78" spans="2:74" x14ac:dyDescent="0.3">
      <c r="B78" s="173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3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4">
        <f t="shared" si="45"/>
        <v>0.27807263940651211</v>
      </c>
      <c r="AV78" s="344"/>
      <c r="AW78" s="24">
        <f t="shared" si="46"/>
        <v>7103.333333333333</v>
      </c>
      <c r="AX78" s="354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5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5"/>
      <c r="BU78" s="1"/>
      <c r="BV78">
        <f t="shared" si="52"/>
        <v>69</v>
      </c>
    </row>
    <row r="79" spans="2:74" x14ac:dyDescent="0.3">
      <c r="B79" s="173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3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4">
        <f t="shared" si="45"/>
        <v>0.27935785083923587</v>
      </c>
      <c r="AV79" s="344"/>
      <c r="AW79" s="24">
        <f t="shared" si="46"/>
        <v>7124.6428571428569</v>
      </c>
      <c r="AX79" s="354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5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5"/>
      <c r="BU79" s="1"/>
      <c r="BV79">
        <f t="shared" si="52"/>
        <v>70</v>
      </c>
    </row>
    <row r="80" spans="2:74" x14ac:dyDescent="0.3">
      <c r="B80" s="173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3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4">
        <f t="shared" si="45"/>
        <v>0.28700332095249248</v>
      </c>
      <c r="AV80" s="344"/>
      <c r="AW80" s="24">
        <f t="shared" si="46"/>
        <v>7317.8732394366198</v>
      </c>
      <c r="AX80" s="354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5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5"/>
      <c r="BU80" s="1"/>
      <c r="BV80">
        <f t="shared" si="52"/>
        <v>71</v>
      </c>
    </row>
    <row r="81" spans="2:74" x14ac:dyDescent="0.3">
      <c r="B81" s="478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80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3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4">
        <f t="shared" si="45"/>
        <v>0.29190331225656002</v>
      </c>
      <c r="AV81" s="344"/>
      <c r="AW81" s="24">
        <f t="shared" si="46"/>
        <v>7433.8611111111113</v>
      </c>
      <c r="AX81" s="354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5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5"/>
      <c r="BU81" s="1"/>
      <c r="BV81">
        <f t="shared" si="52"/>
        <v>72</v>
      </c>
    </row>
    <row r="82" spans="2:74" x14ac:dyDescent="0.3">
      <c r="B82" s="393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3">
        <f>+(AF82-AF75)/AF75</f>
        <v>-0.17147320355683729</v>
      </c>
      <c r="AI82" s="50"/>
      <c r="AJ82" s="394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4">
        <f t="shared" si="45"/>
        <v>0.32355914138570113</v>
      </c>
      <c r="AV82" s="344"/>
      <c r="AW82" s="24">
        <f t="shared" si="46"/>
        <v>8217.3561643835619</v>
      </c>
      <c r="AX82" s="354"/>
      <c r="AY82" s="394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5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5"/>
      <c r="BU82" s="1"/>
      <c r="BV82">
        <f t="shared" si="52"/>
        <v>73</v>
      </c>
    </row>
    <row r="83" spans="2:74" x14ac:dyDescent="0.3">
      <c r="B83" s="173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3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4">
        <f t="shared" si="45"/>
        <v>0.32797954498573384</v>
      </c>
      <c r="AV83" s="344"/>
      <c r="AW83" s="24">
        <f t="shared" si="46"/>
        <v>8315.2432432432433</v>
      </c>
      <c r="AX83" s="354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5"/>
      <c r="BI83" s="67"/>
      <c r="BJ83" s="67"/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5"/>
      <c r="BU83" s="1"/>
      <c r="BV83">
        <f t="shared" si="52"/>
        <v>74</v>
      </c>
    </row>
    <row r="84" spans="2:74" x14ac:dyDescent="0.3">
      <c r="B84" s="173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3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4">
        <f t="shared" si="45"/>
        <v>0.34018774509364863</v>
      </c>
      <c r="AV84" s="344"/>
      <c r="AW84" s="24">
        <f t="shared" si="46"/>
        <v>8609.0133333333342</v>
      </c>
      <c r="AX84" s="354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5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5"/>
      <c r="BU84" s="1"/>
      <c r="BV84">
        <f t="shared" si="52"/>
        <v>75</v>
      </c>
    </row>
    <row r="85" spans="2:74" x14ac:dyDescent="0.3">
      <c r="B85" s="173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3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4">
        <f t="shared" si="45"/>
        <v>0.35894832472191629</v>
      </c>
      <c r="AV85" s="344"/>
      <c r="AW85" s="24">
        <f t="shared" si="46"/>
        <v>9061.4473684210534</v>
      </c>
      <c r="AX85" s="354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5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5"/>
      <c r="BU85" s="1"/>
      <c r="BV85">
        <f t="shared" si="52"/>
        <v>76</v>
      </c>
    </row>
    <row r="86" spans="2:74" x14ac:dyDescent="0.3">
      <c r="B86" s="173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3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4">
        <f t="shared" si="45"/>
        <v>0.36698036164660236</v>
      </c>
      <c r="AV86" s="344"/>
      <c r="AW86" s="24">
        <f t="shared" si="46"/>
        <v>9250.0259740259735</v>
      </c>
      <c r="AX86" s="354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5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5"/>
      <c r="BU86" s="1"/>
      <c r="BV86">
        <f t="shared" si="52"/>
        <v>77</v>
      </c>
    </row>
    <row r="87" spans="2:74" x14ac:dyDescent="0.3">
      <c r="B87" s="173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3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4">
        <f t="shared" si="45"/>
        <v>0.37566459401150826</v>
      </c>
      <c r="AV87" s="344"/>
      <c r="AW87" s="24">
        <f t="shared" si="46"/>
        <v>9469.8205128205136</v>
      </c>
      <c r="AX87" s="354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5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5"/>
      <c r="BU87" s="1"/>
      <c r="BV87">
        <f t="shared" si="52"/>
        <v>78</v>
      </c>
    </row>
    <row r="88" spans="2:74" x14ac:dyDescent="0.3">
      <c r="B88" s="478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80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3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4">
        <f t="shared" si="45"/>
        <v>0.37791203343867547</v>
      </c>
      <c r="AV88" s="344"/>
      <c r="AW88" s="24">
        <f t="shared" si="46"/>
        <v>9515.1265822784808</v>
      </c>
      <c r="AX88" s="354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5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5"/>
      <c r="BU88" s="1"/>
      <c r="BV88">
        <f t="shared" si="52"/>
        <v>79</v>
      </c>
    </row>
    <row r="89" spans="2:74" x14ac:dyDescent="0.3">
      <c r="B89" s="393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4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3">
        <f>+(AF89-AF82)/AF82</f>
        <v>-0.10065264684554025</v>
      </c>
      <c r="AI89" s="50"/>
      <c r="AJ89" s="394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4">
        <f t="shared" si="45"/>
        <v>0.37944077284155164</v>
      </c>
      <c r="AV89" s="344"/>
      <c r="AW89" s="24">
        <f t="shared" si="46"/>
        <v>9521.35</v>
      </c>
      <c r="AX89" s="354"/>
      <c r="AY89" s="394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5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5"/>
      <c r="BU89" s="1"/>
      <c r="BV89">
        <f t="shared" si="52"/>
        <v>80</v>
      </c>
    </row>
    <row r="90" spans="2:74" x14ac:dyDescent="0.3">
      <c r="B90" s="173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3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4">
        <f t="shared" si="45"/>
        <v>0.3816840225946993</v>
      </c>
      <c r="AV90" s="344"/>
      <c r="AW90" s="24">
        <f t="shared" si="46"/>
        <v>9549.1358024691363</v>
      </c>
      <c r="AX90" s="354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5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5"/>
      <c r="BU90" s="1"/>
      <c r="BV90">
        <f t="shared" si="52"/>
        <v>81</v>
      </c>
    </row>
    <row r="91" spans="2:74" x14ac:dyDescent="0.3">
      <c r="B91" s="173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/>
      <c r="AG91" s="33"/>
      <c r="AH91" s="233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4">
        <f t="shared" si="45"/>
        <v>0.38564805829633025</v>
      </c>
      <c r="AV91" s="344"/>
      <c r="AW91" s="24">
        <f t="shared" si="46"/>
        <v>9620.2682926829275</v>
      </c>
      <c r="AX91" s="354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5"/>
      <c r="BI91" s="67"/>
      <c r="BJ91" s="67"/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5"/>
      <c r="BU91" s="1"/>
      <c r="BV91">
        <f t="shared" si="52"/>
        <v>82</v>
      </c>
    </row>
    <row r="92" spans="2:74" x14ac:dyDescent="0.3">
      <c r="B92" s="173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3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4">
        <f t="shared" si="45"/>
        <v>0.39125706965879326</v>
      </c>
      <c r="AV92" s="344"/>
      <c r="AW92" s="24">
        <f t="shared" si="46"/>
        <v>9740.8915662650597</v>
      </c>
      <c r="AX92" s="354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5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5"/>
      <c r="BU92" s="1"/>
      <c r="BV92">
        <f t="shared" si="52"/>
        <v>83</v>
      </c>
    </row>
    <row r="93" spans="2:74" x14ac:dyDescent="0.3">
      <c r="B93" s="173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3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4">
        <f t="shared" si="45"/>
        <v>0.38944566710739958</v>
      </c>
      <c r="AV93" s="344"/>
      <c r="AW93" s="24">
        <f t="shared" si="46"/>
        <v>9688.3928571428569</v>
      </c>
      <c r="AX93" s="354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5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5"/>
      <c r="BU93" s="1"/>
      <c r="BV93">
        <f t="shared" si="52"/>
        <v>84</v>
      </c>
    </row>
    <row r="94" spans="2:74" x14ac:dyDescent="0.3">
      <c r="B94" s="173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3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4">
        <f t="shared" si="45"/>
        <v>0.39771611802418794</v>
      </c>
      <c r="AV94" s="344"/>
      <c r="AW94" s="24">
        <f t="shared" si="46"/>
        <v>9905.105882352942</v>
      </c>
      <c r="AX94" s="354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5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5"/>
      <c r="BU94" s="1"/>
      <c r="BV94">
        <f t="shared" si="52"/>
        <v>85</v>
      </c>
    </row>
    <row r="95" spans="2:74" x14ac:dyDescent="0.3">
      <c r="B95" s="478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3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4">
        <f t="shared" si="45"/>
        <v>0.40141087019844796</v>
      </c>
      <c r="AV95" s="344"/>
      <c r="AW95" s="24">
        <f t="shared" si="46"/>
        <v>9998.9767441860458</v>
      </c>
      <c r="AX95" s="354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5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5"/>
      <c r="BU95" s="1"/>
      <c r="BV95">
        <f t="shared" si="52"/>
        <v>86</v>
      </c>
    </row>
    <row r="96" spans="2:74" x14ac:dyDescent="0.3">
      <c r="B96" s="393">
        <f t="shared" si="51"/>
        <v>43996</v>
      </c>
      <c r="C96" s="61"/>
      <c r="D96" s="17">
        <v>19920</v>
      </c>
      <c r="E96" s="16"/>
      <c r="F96" s="16"/>
      <c r="G96" s="16"/>
      <c r="H96" s="16">
        <f t="shared" si="35"/>
        <v>2162144</v>
      </c>
      <c r="I96" s="16"/>
      <c r="J96" s="38">
        <f t="shared" si="36"/>
        <v>9.2987474699191119E-3</v>
      </c>
      <c r="K96" s="16"/>
      <c r="L96" s="16"/>
      <c r="M96" s="16"/>
      <c r="N96" s="16">
        <f t="shared" si="42"/>
        <v>24852.22988505747</v>
      </c>
      <c r="O96" s="41"/>
      <c r="P96" s="17">
        <f>SUM(D90:D96)</f>
        <v>154695</v>
      </c>
      <c r="Q96" s="16"/>
      <c r="R96" s="60">
        <f>+(P96-P89)/P89</f>
        <v>7.8835065315828907E-3</v>
      </c>
      <c r="S96" s="16"/>
      <c r="T96" s="41"/>
      <c r="U96" s="394"/>
      <c r="V96" s="34">
        <v>326</v>
      </c>
      <c r="W96" s="33"/>
      <c r="X96" s="33"/>
      <c r="Y96" s="33"/>
      <c r="Z96" s="33">
        <f t="shared" si="37"/>
        <v>117853</v>
      </c>
      <c r="AA96" s="33"/>
      <c r="AB96" s="46">
        <f t="shared" si="43"/>
        <v>5.4507470362751047E-2</v>
      </c>
      <c r="AC96" s="33"/>
      <c r="AD96" s="33">
        <f t="shared" si="44"/>
        <v>1354.632183908046</v>
      </c>
      <c r="AE96" s="50"/>
      <c r="AF96" s="33">
        <f>SUM(V90:V96)</f>
        <v>5384</v>
      </c>
      <c r="AG96" s="33"/>
      <c r="AH96" s="233">
        <f>+(AF96-AF89)/AF89</f>
        <v>-0.13175294307369778</v>
      </c>
      <c r="AI96" s="50"/>
      <c r="AJ96" s="394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4">
        <f t="shared" si="45"/>
        <v>0.40138353412168665</v>
      </c>
      <c r="AV96" s="344"/>
      <c r="AW96" s="24">
        <f t="shared" si="46"/>
        <v>9975.2758620689656</v>
      </c>
      <c r="AX96" s="354"/>
      <c r="AY96" s="394"/>
      <c r="AZ96" s="66">
        <f t="shared" si="40"/>
        <v>497760</v>
      </c>
      <c r="BA96" s="67"/>
      <c r="BB96" s="67">
        <v>24790931</v>
      </c>
      <c r="BC96" s="67"/>
      <c r="BD96" s="67">
        <f t="shared" si="47"/>
        <v>19920</v>
      </c>
      <c r="BE96" s="67"/>
      <c r="BF96" s="157">
        <f t="shared" si="41"/>
        <v>4.0019286403085823E-2</v>
      </c>
      <c r="BG96" s="67"/>
      <c r="BH96" s="185"/>
      <c r="BI96" s="67"/>
      <c r="BJ96" s="67">
        <f>SUM(AZ90:AZ96)</f>
        <v>3499254</v>
      </c>
      <c r="BK96" s="67"/>
      <c r="BL96" s="157">
        <f>+P96/BJ96</f>
        <v>4.4207994046731106E-2</v>
      </c>
      <c r="BM96" s="66">
        <f t="shared" si="48"/>
        <v>284953.22988505749</v>
      </c>
      <c r="BN96" s="67"/>
      <c r="BO96" s="67">
        <f t="shared" si="49"/>
        <v>1893028</v>
      </c>
      <c r="BP96" s="67"/>
      <c r="BQ96" s="74">
        <f t="shared" si="50"/>
        <v>7.6359697826596351E-2</v>
      </c>
      <c r="BR96" s="67"/>
      <c r="BS96" s="86"/>
      <c r="BT96" s="185"/>
      <c r="BU96" s="1"/>
      <c r="BV96">
        <f t="shared" si="52"/>
        <v>87</v>
      </c>
    </row>
    <row r="97" spans="2:84" x14ac:dyDescent="0.3">
      <c r="B97" s="173">
        <f t="shared" si="51"/>
        <v>43997</v>
      </c>
      <c r="C97" s="61"/>
      <c r="D97" s="17"/>
      <c r="E97" s="16"/>
      <c r="F97" s="16"/>
      <c r="G97" s="16"/>
      <c r="H97" s="16"/>
      <c r="I97" s="16"/>
      <c r="J97" s="38"/>
      <c r="K97" s="16"/>
      <c r="L97" s="16"/>
      <c r="M97" s="16"/>
      <c r="N97" s="16"/>
      <c r="O97" s="41"/>
      <c r="P97" s="17"/>
      <c r="Q97" s="16"/>
      <c r="R97" s="60"/>
      <c r="S97" s="16"/>
      <c r="T97" s="41"/>
      <c r="U97" s="10"/>
      <c r="V97" s="34"/>
      <c r="W97" s="33"/>
      <c r="X97" s="33"/>
      <c r="Y97" s="33"/>
      <c r="Z97" s="33"/>
      <c r="AA97" s="33"/>
      <c r="AB97" s="46"/>
      <c r="AC97" s="33"/>
      <c r="AD97" s="33"/>
      <c r="AE97" s="50"/>
      <c r="AF97" s="33"/>
      <c r="AG97" s="33"/>
      <c r="AH97" s="233"/>
      <c r="AI97" s="50"/>
      <c r="AJ97" s="10"/>
      <c r="AK97" s="23"/>
      <c r="AL97" s="24"/>
      <c r="AM97" s="24"/>
      <c r="AN97" s="24"/>
      <c r="AO97" s="24"/>
      <c r="AP97" s="24"/>
      <c r="AQ97" s="25"/>
      <c r="AR97" s="25"/>
      <c r="AS97" s="25"/>
      <c r="AT97" s="24"/>
      <c r="AU97" s="344"/>
      <c r="AV97" s="344"/>
      <c r="AW97" s="24"/>
      <c r="AX97" s="354"/>
      <c r="AY97" s="10"/>
      <c r="AZ97" s="66"/>
      <c r="BA97" s="67"/>
      <c r="BB97" s="67"/>
      <c r="BC97" s="67"/>
      <c r="BD97" s="67"/>
      <c r="BE97" s="67"/>
      <c r="BF97" s="157"/>
      <c r="BG97" s="67"/>
      <c r="BH97" s="185"/>
      <c r="BI97" s="67"/>
      <c r="BJ97" s="67"/>
      <c r="BK97" s="67"/>
      <c r="BL97" s="157"/>
      <c r="BM97" s="66"/>
      <c r="BN97" s="67"/>
      <c r="BO97" s="67"/>
      <c r="BP97" s="67"/>
      <c r="BQ97" s="74"/>
      <c r="BR97" s="67"/>
      <c r="BS97" s="86"/>
      <c r="BT97" s="185"/>
      <c r="BU97" s="1"/>
      <c r="BV97">
        <f t="shared" si="52"/>
        <v>88</v>
      </c>
    </row>
    <row r="98" spans="2:84" x14ac:dyDescent="0.3">
      <c r="B98" s="173">
        <f t="shared" si="51"/>
        <v>43998</v>
      </c>
      <c r="C98" s="61"/>
      <c r="D98" s="17"/>
      <c r="E98" s="16"/>
      <c r="F98" s="16"/>
      <c r="G98" s="16"/>
      <c r="H98" s="16"/>
      <c r="I98" s="16"/>
      <c r="J98" s="38"/>
      <c r="K98" s="16"/>
      <c r="L98" s="16"/>
      <c r="M98" s="16"/>
      <c r="N98" s="16"/>
      <c r="O98" s="41"/>
      <c r="P98" s="17">
        <f>+P96-P89</f>
        <v>1210</v>
      </c>
      <c r="Q98" s="16"/>
      <c r="R98" s="60"/>
      <c r="S98" s="16"/>
      <c r="T98" s="41"/>
      <c r="U98" s="10"/>
      <c r="V98" s="34"/>
      <c r="W98" s="33"/>
      <c r="X98" s="33"/>
      <c r="Y98" s="33"/>
      <c r="Z98" s="33"/>
      <c r="AA98" s="33"/>
      <c r="AB98" s="46"/>
      <c r="AC98" s="33"/>
      <c r="AD98" s="33"/>
      <c r="AE98" s="50"/>
      <c r="AF98" s="33"/>
      <c r="AG98" s="33"/>
      <c r="AH98" s="233"/>
      <c r="AI98" s="50"/>
      <c r="AJ98" s="10"/>
      <c r="AK98" s="23"/>
      <c r="AL98" s="24"/>
      <c r="AM98" s="24"/>
      <c r="AN98" s="24"/>
      <c r="AO98" s="24"/>
      <c r="AP98" s="24"/>
      <c r="AQ98" s="25"/>
      <c r="AR98" s="25"/>
      <c r="AS98" s="25"/>
      <c r="AT98" s="24"/>
      <c r="AU98" s="344"/>
      <c r="AV98" s="344"/>
      <c r="AW98" s="24"/>
      <c r="AX98" s="354"/>
      <c r="AY98" s="10"/>
      <c r="AZ98" s="66"/>
      <c r="BA98" s="67"/>
      <c r="BB98" s="67"/>
      <c r="BC98" s="67"/>
      <c r="BD98" s="67"/>
      <c r="BE98" s="67"/>
      <c r="BF98" s="157"/>
      <c r="BG98" s="67"/>
      <c r="BH98" s="185"/>
      <c r="BI98" s="67"/>
      <c r="BJ98" s="67"/>
      <c r="BK98" s="67"/>
      <c r="BL98" s="157"/>
      <c r="BM98" s="66"/>
      <c r="BN98" s="67"/>
      <c r="BO98" s="67"/>
      <c r="BP98" s="67"/>
      <c r="BQ98" s="74"/>
      <c r="BR98" s="67"/>
      <c r="BS98" s="86"/>
      <c r="BT98" s="185"/>
      <c r="BU98" s="1"/>
      <c r="BV98">
        <f t="shared" si="52"/>
        <v>89</v>
      </c>
    </row>
    <row r="99" spans="2:84" x14ac:dyDescent="0.3">
      <c r="B99" s="173">
        <f t="shared" si="51"/>
        <v>43999</v>
      </c>
      <c r="C99" s="61"/>
      <c r="D99" s="17"/>
      <c r="E99" s="16"/>
      <c r="F99" s="16"/>
      <c r="G99" s="16"/>
      <c r="H99" s="16"/>
      <c r="I99" s="16"/>
      <c r="J99" s="481"/>
      <c r="K99" s="16"/>
      <c r="L99" s="16"/>
      <c r="M99" s="16"/>
      <c r="N99" s="16"/>
      <c r="O99" s="41"/>
      <c r="P99" s="17"/>
      <c r="Q99" s="16"/>
      <c r="R99" s="60"/>
      <c r="S99" s="16"/>
      <c r="T99" s="41"/>
      <c r="U99" s="10"/>
      <c r="V99" s="34"/>
      <c r="W99" s="33"/>
      <c r="X99" s="33"/>
      <c r="Y99" s="33"/>
      <c r="Z99" s="33"/>
      <c r="AA99" s="33"/>
      <c r="AB99" s="46"/>
      <c r="AC99" s="33"/>
      <c r="AD99" s="33"/>
      <c r="AE99" s="50"/>
      <c r="AF99" s="33"/>
      <c r="AG99" s="33"/>
      <c r="AH99" s="233"/>
      <c r="AI99" s="50"/>
      <c r="AJ99" s="10"/>
      <c r="AK99" s="23"/>
      <c r="AL99" s="24"/>
      <c r="AM99" s="24"/>
      <c r="AN99" s="24"/>
      <c r="AO99" s="24"/>
      <c r="AP99" s="24"/>
      <c r="AQ99" s="25"/>
      <c r="AR99" s="25"/>
      <c r="AS99" s="25"/>
      <c r="AT99" s="24"/>
      <c r="AU99" s="344"/>
      <c r="AV99" s="344"/>
      <c r="AW99" s="24"/>
      <c r="AX99" s="354"/>
      <c r="AY99" s="10"/>
      <c r="AZ99" s="66"/>
      <c r="BA99" s="67"/>
      <c r="BB99" s="67"/>
      <c r="BC99" s="67"/>
      <c r="BD99" s="67"/>
      <c r="BE99" s="67"/>
      <c r="BF99" s="157"/>
      <c r="BG99" s="67"/>
      <c r="BH99" s="185"/>
      <c r="BI99" s="67"/>
      <c r="BJ99" s="67"/>
      <c r="BK99" s="67"/>
      <c r="BL99" s="157"/>
      <c r="BM99" s="66"/>
      <c r="BN99" s="67"/>
      <c r="BO99" s="67"/>
      <c r="BP99" s="67"/>
      <c r="BQ99" s="74"/>
      <c r="BR99" s="67"/>
      <c r="BS99" s="86"/>
      <c r="BT99" s="185"/>
      <c r="BU99" s="1"/>
      <c r="BV99">
        <f t="shared" si="52"/>
        <v>90</v>
      </c>
    </row>
    <row r="100" spans="2:84" x14ac:dyDescent="0.3">
      <c r="B100" s="173">
        <f t="shared" si="51"/>
        <v>44000</v>
      </c>
      <c r="C100" s="61"/>
      <c r="D100" s="17"/>
      <c r="E100" s="16"/>
      <c r="F100" s="16"/>
      <c r="G100" s="16"/>
      <c r="H100" s="16"/>
      <c r="I100" s="16"/>
      <c r="J100" s="38"/>
      <c r="K100" s="16"/>
      <c r="L100" s="16"/>
      <c r="M100" s="16"/>
      <c r="N100" s="16"/>
      <c r="O100" s="41"/>
      <c r="P100" s="456"/>
      <c r="Q100" s="16"/>
      <c r="R100" s="60"/>
      <c r="S100" s="16"/>
      <c r="T100" s="41"/>
      <c r="U100" s="10"/>
      <c r="V100" s="34"/>
      <c r="W100" s="33"/>
      <c r="X100" s="33"/>
      <c r="Y100" s="33"/>
      <c r="Z100" s="33"/>
      <c r="AA100" s="33"/>
      <c r="AB100" s="46"/>
      <c r="AC100" s="33"/>
      <c r="AD100" s="33"/>
      <c r="AE100" s="50"/>
      <c r="AF100" s="33"/>
      <c r="AG100" s="33"/>
      <c r="AH100" s="233"/>
      <c r="AI100" s="50"/>
      <c r="AJ100" s="10"/>
      <c r="AK100" s="23"/>
      <c r="AL100" s="24"/>
      <c r="AM100" s="24"/>
      <c r="AN100" s="24"/>
      <c r="AO100" s="24"/>
      <c r="AP100" s="24"/>
      <c r="AQ100" s="25"/>
      <c r="AR100" s="25"/>
      <c r="AS100" s="25"/>
      <c r="AT100" s="24"/>
      <c r="AU100" s="344"/>
      <c r="AV100" s="344"/>
      <c r="AW100" s="24"/>
      <c r="AX100" s="354"/>
      <c r="AY100" s="10"/>
      <c r="AZ100" s="66"/>
      <c r="BA100" s="67"/>
      <c r="BB100" s="67"/>
      <c r="BC100" s="67"/>
      <c r="BD100" s="67"/>
      <c r="BE100" s="67"/>
      <c r="BF100" s="157"/>
      <c r="BG100" s="67"/>
      <c r="BH100" s="185"/>
      <c r="BI100" s="67"/>
      <c r="BJ100" s="157"/>
      <c r="BK100" s="67"/>
      <c r="BL100" s="157"/>
      <c r="BM100" s="66"/>
      <c r="BN100" s="67"/>
      <c r="BO100" s="67"/>
      <c r="BP100" s="67"/>
      <c r="BQ100" s="74"/>
      <c r="BR100" s="67"/>
      <c r="BS100" s="86"/>
      <c r="BT100" s="185"/>
      <c r="BU100" s="1"/>
      <c r="BV100">
        <f t="shared" si="52"/>
        <v>91</v>
      </c>
    </row>
    <row r="101" spans="2:84" x14ac:dyDescent="0.3">
      <c r="B101" s="173">
        <f t="shared" si="51"/>
        <v>44001</v>
      </c>
      <c r="D101" s="18"/>
      <c r="E101" s="19"/>
      <c r="F101" s="19"/>
      <c r="G101" s="19"/>
      <c r="H101" s="19"/>
      <c r="I101" s="19"/>
      <c r="J101" s="39"/>
      <c r="K101" s="19"/>
      <c r="L101" s="19"/>
      <c r="M101" s="19"/>
      <c r="N101" s="19"/>
      <c r="O101" s="43"/>
      <c r="P101" s="18"/>
      <c r="Q101" s="19"/>
      <c r="R101" s="19"/>
      <c r="S101" s="19"/>
      <c r="T101" s="43"/>
      <c r="U101" s="1"/>
      <c r="V101" s="35"/>
      <c r="W101" s="36"/>
      <c r="X101" s="36"/>
      <c r="Y101" s="36"/>
      <c r="Z101" s="36"/>
      <c r="AA101" s="36"/>
      <c r="AB101" s="47"/>
      <c r="AC101" s="36"/>
      <c r="AD101" s="36"/>
      <c r="AE101" s="51"/>
      <c r="AF101" s="36"/>
      <c r="AG101" s="36"/>
      <c r="AH101" s="36"/>
      <c r="AI101" s="51"/>
      <c r="AJ101" s="1"/>
      <c r="AK101" s="26"/>
      <c r="AL101" s="27"/>
      <c r="AM101" s="27"/>
      <c r="AN101" s="27"/>
      <c r="AO101" s="27"/>
      <c r="AP101" s="27"/>
      <c r="AQ101" s="27"/>
      <c r="AR101" s="27"/>
      <c r="AS101" s="27"/>
      <c r="AT101" s="27"/>
      <c r="AU101" s="346"/>
      <c r="AV101" s="346"/>
      <c r="AW101" s="27"/>
      <c r="AX101" s="353"/>
      <c r="AY101" s="1"/>
      <c r="AZ101" s="68"/>
      <c r="BA101" s="69"/>
      <c r="BB101" s="69"/>
      <c r="BC101" s="69"/>
      <c r="BD101" s="69"/>
      <c r="BE101" s="69"/>
      <c r="BF101" s="69"/>
      <c r="BG101" s="69"/>
      <c r="BH101" s="186"/>
      <c r="BI101" s="69"/>
      <c r="BJ101" s="69"/>
      <c r="BK101" s="69"/>
      <c r="BL101" s="69"/>
      <c r="BM101" s="68"/>
      <c r="BN101" s="69"/>
      <c r="BO101" s="69"/>
      <c r="BP101" s="69"/>
      <c r="BQ101" s="71"/>
      <c r="BR101" s="69"/>
      <c r="BS101" s="69"/>
      <c r="BT101" s="186"/>
      <c r="BU101" s="1"/>
      <c r="BV101">
        <f t="shared" si="52"/>
        <v>92</v>
      </c>
    </row>
    <row r="102" spans="2:84" x14ac:dyDescent="0.3">
      <c r="B102" s="56"/>
      <c r="D102" s="1"/>
      <c r="E102" s="1"/>
      <c r="F102" s="1"/>
      <c r="G102" s="1"/>
      <c r="H102" s="59"/>
      <c r="I102" s="1"/>
      <c r="J102" s="5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59"/>
      <c r="W102" s="1"/>
      <c r="X102" s="1"/>
      <c r="Y102" s="1"/>
      <c r="Z102" s="1"/>
      <c r="AA102" s="1"/>
      <c r="AB102" s="5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59"/>
      <c r="BC102" s="1"/>
      <c r="BD102" s="59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84" x14ac:dyDescent="0.3">
      <c r="B103" s="181" t="s">
        <v>83</v>
      </c>
      <c r="D103" s="56">
        <f>+D96</f>
        <v>19920</v>
      </c>
      <c r="E103" s="56"/>
      <c r="F103" s="56"/>
      <c r="G103" s="56"/>
      <c r="H103" s="56">
        <f t="shared" ref="H103:BO103" si="53">+H96</f>
        <v>2162144</v>
      </c>
      <c r="I103" s="56">
        <f t="shared" si="53"/>
        <v>0</v>
      </c>
      <c r="J103" s="56">
        <f t="shared" si="53"/>
        <v>9.2987474699191119E-3</v>
      </c>
      <c r="K103" s="56">
        <f t="shared" si="53"/>
        <v>0</v>
      </c>
      <c r="L103" s="56">
        <f t="shared" si="53"/>
        <v>0</v>
      </c>
      <c r="M103" s="56">
        <f t="shared" si="53"/>
        <v>0</v>
      </c>
      <c r="N103" s="56">
        <f t="shared" si="53"/>
        <v>24852.22988505747</v>
      </c>
      <c r="O103" s="56">
        <f t="shared" si="53"/>
        <v>0</v>
      </c>
      <c r="P103" s="56">
        <f t="shared" si="53"/>
        <v>154695</v>
      </c>
      <c r="Q103" s="56">
        <f t="shared" si="53"/>
        <v>0</v>
      </c>
      <c r="R103" s="56">
        <f t="shared" si="53"/>
        <v>7.8835065315828907E-3</v>
      </c>
      <c r="S103" s="56">
        <f t="shared" si="53"/>
        <v>0</v>
      </c>
      <c r="T103" s="56">
        <f t="shared" si="53"/>
        <v>0</v>
      </c>
      <c r="U103" s="56">
        <f t="shared" si="53"/>
        <v>0</v>
      </c>
      <c r="V103" s="56">
        <f t="shared" si="53"/>
        <v>326</v>
      </c>
      <c r="W103" s="56">
        <f t="shared" si="53"/>
        <v>0</v>
      </c>
      <c r="X103" s="56">
        <f t="shared" si="53"/>
        <v>0</v>
      </c>
      <c r="Y103" s="56">
        <f t="shared" si="53"/>
        <v>0</v>
      </c>
      <c r="Z103" s="56">
        <f t="shared" si="53"/>
        <v>117853</v>
      </c>
      <c r="AA103" s="56">
        <f t="shared" si="53"/>
        <v>0</v>
      </c>
      <c r="AB103" s="56">
        <f t="shared" si="53"/>
        <v>5.4507470362751047E-2</v>
      </c>
      <c r="AC103" s="56">
        <f t="shared" si="53"/>
        <v>0</v>
      </c>
      <c r="AD103" s="56">
        <f t="shared" si="53"/>
        <v>1354.632183908046</v>
      </c>
      <c r="AE103" s="56">
        <f t="shared" si="53"/>
        <v>0</v>
      </c>
      <c r="AF103" s="56">
        <f t="shared" si="53"/>
        <v>5384</v>
      </c>
      <c r="AG103" s="56">
        <f t="shared" si="53"/>
        <v>0</v>
      </c>
      <c r="AH103" s="56">
        <f t="shared" si="53"/>
        <v>-0.13175294307369778</v>
      </c>
      <c r="AI103" s="56">
        <f t="shared" si="53"/>
        <v>0</v>
      </c>
      <c r="AJ103" s="56">
        <f t="shared" si="53"/>
        <v>0</v>
      </c>
      <c r="AK103" s="56">
        <f t="shared" si="53"/>
        <v>7937</v>
      </c>
      <c r="AL103" s="56">
        <f t="shared" si="53"/>
        <v>0</v>
      </c>
      <c r="AM103" s="56">
        <f t="shared" si="53"/>
        <v>0</v>
      </c>
      <c r="AN103" s="56">
        <f t="shared" si="53"/>
        <v>178263</v>
      </c>
      <c r="AO103" s="56">
        <f t="shared" si="53"/>
        <v>867849</v>
      </c>
      <c r="AP103" s="56">
        <f t="shared" si="53"/>
        <v>0</v>
      </c>
      <c r="AQ103" s="56">
        <f t="shared" si="53"/>
        <v>9.2300142340146427E-3</v>
      </c>
      <c r="AR103" s="56">
        <f t="shared" si="53"/>
        <v>0</v>
      </c>
      <c r="AS103" s="56">
        <f t="shared" si="53"/>
        <v>0</v>
      </c>
      <c r="AT103" s="56">
        <f t="shared" si="53"/>
        <v>0</v>
      </c>
      <c r="AU103" s="56">
        <f t="shared" si="53"/>
        <v>0.40138353412168665</v>
      </c>
      <c r="AV103" s="56">
        <f t="shared" si="53"/>
        <v>0</v>
      </c>
      <c r="AW103" s="56">
        <f t="shared" si="53"/>
        <v>9975.2758620689656</v>
      </c>
      <c r="AX103" s="56">
        <f t="shared" si="53"/>
        <v>0</v>
      </c>
      <c r="AY103" s="56">
        <f t="shared" si="53"/>
        <v>0</v>
      </c>
      <c r="AZ103" s="56">
        <f t="shared" si="53"/>
        <v>497760</v>
      </c>
      <c r="BA103" s="56">
        <f t="shared" si="53"/>
        <v>0</v>
      </c>
      <c r="BB103" s="56">
        <f t="shared" si="53"/>
        <v>24790931</v>
      </c>
      <c r="BC103" s="56">
        <f t="shared" si="53"/>
        <v>0</v>
      </c>
      <c r="BD103" s="56">
        <f t="shared" si="53"/>
        <v>19920</v>
      </c>
      <c r="BE103" s="56">
        <f t="shared" si="53"/>
        <v>0</v>
      </c>
      <c r="BF103" s="56">
        <f t="shared" si="53"/>
        <v>4.0019286403085823E-2</v>
      </c>
      <c r="BG103" s="56">
        <f t="shared" si="53"/>
        <v>0</v>
      </c>
      <c r="BH103" s="56">
        <f t="shared" si="53"/>
        <v>0</v>
      </c>
      <c r="BI103" s="56">
        <f t="shared" si="53"/>
        <v>0</v>
      </c>
      <c r="BJ103" s="56">
        <f t="shared" si="53"/>
        <v>3499254</v>
      </c>
      <c r="BK103" s="56">
        <f t="shared" si="53"/>
        <v>0</v>
      </c>
      <c r="BL103" s="56">
        <f t="shared" si="53"/>
        <v>4.4207994046731106E-2</v>
      </c>
      <c r="BM103" s="56">
        <f t="shared" si="53"/>
        <v>284953.22988505749</v>
      </c>
      <c r="BN103" s="56">
        <f t="shared" si="53"/>
        <v>0</v>
      </c>
      <c r="BO103" s="56">
        <f t="shared" si="53"/>
        <v>1893028</v>
      </c>
      <c r="BP103" s="10"/>
      <c r="BQ103" s="62"/>
      <c r="BR103" s="10"/>
      <c r="BS103" s="10"/>
      <c r="BT103" s="10"/>
      <c r="BU103" s="10"/>
      <c r="BV103" s="161"/>
      <c r="BW103" s="10"/>
      <c r="BX103" s="62"/>
      <c r="BY103" s="10"/>
      <c r="BZ103" s="161"/>
      <c r="CA103" s="61"/>
      <c r="CB103" s="61"/>
      <c r="CC103" s="61"/>
      <c r="CD103" s="61"/>
      <c r="CE103" s="61"/>
      <c r="CF103" s="158"/>
    </row>
    <row r="104" spans="2:84" x14ac:dyDescent="0.3">
      <c r="B104" t="s">
        <v>119</v>
      </c>
      <c r="D104" s="56">
        <f>+D95-D103</f>
        <v>5382</v>
      </c>
      <c r="H104" s="56">
        <f t="shared" ref="H104:BO104" si="54">+H95-H103</f>
        <v>-19920</v>
      </c>
      <c r="I104" s="56">
        <f t="shared" si="54"/>
        <v>0</v>
      </c>
      <c r="J104" s="56">
        <f t="shared" si="54"/>
        <v>2.6535115174219429E-3</v>
      </c>
      <c r="K104" s="56">
        <f t="shared" si="54"/>
        <v>0</v>
      </c>
      <c r="L104" s="56">
        <f t="shared" si="54"/>
        <v>0</v>
      </c>
      <c r="M104" s="56">
        <f t="shared" si="54"/>
        <v>0</v>
      </c>
      <c r="N104" s="56">
        <f t="shared" si="54"/>
        <v>57.351510291366139</v>
      </c>
      <c r="O104" s="56">
        <f t="shared" si="54"/>
        <v>0</v>
      </c>
      <c r="P104" s="56">
        <f t="shared" si="54"/>
        <v>-154695</v>
      </c>
      <c r="Q104" s="56">
        <f t="shared" si="54"/>
        <v>0</v>
      </c>
      <c r="R104" s="56">
        <f t="shared" si="54"/>
        <v>-7.8835065315828907E-3</v>
      </c>
      <c r="S104" s="56">
        <f t="shared" si="54"/>
        <v>0</v>
      </c>
      <c r="T104" s="56">
        <f t="shared" si="54"/>
        <v>0</v>
      </c>
      <c r="U104" s="56">
        <f t="shared" si="54"/>
        <v>0</v>
      </c>
      <c r="V104" s="56">
        <f t="shared" si="54"/>
        <v>376</v>
      </c>
      <c r="W104" s="56">
        <f t="shared" si="54"/>
        <v>0</v>
      </c>
      <c r="X104" s="56">
        <f t="shared" si="54"/>
        <v>0</v>
      </c>
      <c r="Y104" s="56">
        <f t="shared" si="54"/>
        <v>0</v>
      </c>
      <c r="Z104" s="56">
        <f t="shared" si="54"/>
        <v>-326</v>
      </c>
      <c r="AA104" s="56">
        <f t="shared" si="54"/>
        <v>0</v>
      </c>
      <c r="AB104" s="56">
        <f t="shared" si="54"/>
        <v>3.5467290517984806E-4</v>
      </c>
      <c r="AC104" s="56">
        <f t="shared" si="54"/>
        <v>0</v>
      </c>
      <c r="AD104" s="56">
        <f t="shared" si="54"/>
        <v>11.960839347767887</v>
      </c>
      <c r="AE104" s="56">
        <f t="shared" si="54"/>
        <v>0</v>
      </c>
      <c r="AF104" s="56">
        <f t="shared" si="54"/>
        <v>-5384</v>
      </c>
      <c r="AG104" s="56">
        <f t="shared" si="54"/>
        <v>0</v>
      </c>
      <c r="AH104" s="56">
        <f t="shared" si="54"/>
        <v>0.13175294307369778</v>
      </c>
      <c r="AI104" s="56">
        <f t="shared" si="54"/>
        <v>0</v>
      </c>
      <c r="AJ104" s="56">
        <f t="shared" si="54"/>
        <v>0</v>
      </c>
      <c r="AK104" s="56">
        <f t="shared" si="54"/>
        <v>10041</v>
      </c>
      <c r="AL104" s="56">
        <f t="shared" si="54"/>
        <v>0</v>
      </c>
      <c r="AM104" s="56">
        <f t="shared" si="54"/>
        <v>0</v>
      </c>
      <c r="AN104" s="56">
        <f t="shared" si="54"/>
        <v>0</v>
      </c>
      <c r="AO104" s="56">
        <f t="shared" si="54"/>
        <v>-7937</v>
      </c>
      <c r="AP104" s="56">
        <f t="shared" si="54"/>
        <v>0</v>
      </c>
      <c r="AQ104" s="56">
        <f t="shared" si="54"/>
        <v>1.212320347663726E-2</v>
      </c>
      <c r="AR104" s="56">
        <f t="shared" si="54"/>
        <v>0</v>
      </c>
      <c r="AS104" s="56">
        <f t="shared" si="54"/>
        <v>0</v>
      </c>
      <c r="AT104" s="56">
        <f t="shared" si="54"/>
        <v>0</v>
      </c>
      <c r="AU104" s="56">
        <f t="shared" si="54"/>
        <v>2.7336076761308448E-5</v>
      </c>
      <c r="AV104" s="56">
        <f t="shared" si="54"/>
        <v>0</v>
      </c>
      <c r="AW104" s="56">
        <f t="shared" si="54"/>
        <v>23.700882117080255</v>
      </c>
      <c r="AX104" s="56">
        <f t="shared" si="54"/>
        <v>0</v>
      </c>
      <c r="AY104" s="56">
        <f t="shared" si="54"/>
        <v>0</v>
      </c>
      <c r="AZ104" s="56">
        <f t="shared" si="54"/>
        <v>3220</v>
      </c>
      <c r="BA104" s="56">
        <f t="shared" si="54"/>
        <v>0</v>
      </c>
      <c r="BB104" s="56">
        <f t="shared" si="54"/>
        <v>-497760</v>
      </c>
      <c r="BC104" s="56">
        <f t="shared" si="54"/>
        <v>0</v>
      </c>
      <c r="BD104" s="56">
        <f t="shared" si="54"/>
        <v>5382</v>
      </c>
      <c r="BE104" s="56">
        <f t="shared" si="54"/>
        <v>0</v>
      </c>
      <c r="BF104" s="56">
        <f t="shared" si="54"/>
        <v>1.0485723776961282E-2</v>
      </c>
      <c r="BG104" s="56">
        <f t="shared" si="54"/>
        <v>0</v>
      </c>
      <c r="BH104" s="56">
        <f t="shared" si="54"/>
        <v>0</v>
      </c>
      <c r="BI104" s="56">
        <f t="shared" si="54"/>
        <v>0</v>
      </c>
      <c r="BJ104" s="56">
        <f t="shared" si="54"/>
        <v>-3499254</v>
      </c>
      <c r="BK104" s="56">
        <f t="shared" si="54"/>
        <v>0</v>
      </c>
      <c r="BL104" s="56">
        <f t="shared" si="54"/>
        <v>-4.4207994046731106E-2</v>
      </c>
      <c r="BM104" s="56">
        <f t="shared" si="54"/>
        <v>-2474.4973269179463</v>
      </c>
      <c r="BN104" s="56">
        <f t="shared" si="54"/>
        <v>0</v>
      </c>
      <c r="BO104" s="56">
        <f t="shared" si="54"/>
        <v>-19920</v>
      </c>
      <c r="BP104" s="10"/>
      <c r="BQ104" s="10"/>
      <c r="BR104" s="10"/>
      <c r="BS104" s="10"/>
      <c r="BT104" s="10"/>
      <c r="BU104" s="10"/>
      <c r="BV104" s="62"/>
      <c r="BW104" s="10"/>
      <c r="BX104" s="10"/>
      <c r="BY104" s="10"/>
      <c r="BZ104" s="62"/>
      <c r="CA104" s="61"/>
      <c r="CB104" s="61"/>
      <c r="CC104" s="61"/>
      <c r="CD104" s="61"/>
      <c r="CE104" s="61"/>
      <c r="CF104" s="117"/>
    </row>
    <row r="105" spans="2:84" x14ac:dyDescent="0.3">
      <c r="N105" s="59"/>
      <c r="Z105" s="56"/>
      <c r="AB105" s="59"/>
      <c r="AD105" s="275"/>
      <c r="AZ105" s="59"/>
      <c r="BF105" s="59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61"/>
      <c r="CB105" s="117"/>
      <c r="CC105" s="117"/>
      <c r="CD105" s="117"/>
      <c r="CE105" s="117"/>
    </row>
    <row r="106" spans="2:84" x14ac:dyDescent="0.3">
      <c r="D106" s="56"/>
      <c r="H106" s="1"/>
      <c r="N106" s="59"/>
      <c r="V106" s="56"/>
      <c r="Z106" s="55"/>
      <c r="AZ106" s="59"/>
      <c r="BB106" s="56"/>
      <c r="BD106" s="59"/>
      <c r="BI106" s="61"/>
      <c r="BJ106" s="62">
        <f>+BJ104/BJ82</f>
        <v>-1.1972221262339577</v>
      </c>
      <c r="BK106" s="61"/>
      <c r="BL106" s="61"/>
      <c r="BM106" s="61"/>
      <c r="BN106" s="61"/>
      <c r="BO106" s="61"/>
      <c r="BP106" s="61"/>
      <c r="BQ106" s="61"/>
      <c r="BR106" s="10"/>
      <c r="BS106" s="10"/>
    </row>
    <row r="107" spans="2:84" x14ac:dyDescent="0.3">
      <c r="H107" s="56"/>
      <c r="V107" s="56"/>
      <c r="Z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90"/>
      <c r="BR107" s="1"/>
      <c r="BS107" s="1"/>
    </row>
    <row r="108" spans="2:84" x14ac:dyDescent="0.3">
      <c r="D108" s="1"/>
      <c r="E108" s="123" t="s">
        <v>28</v>
      </c>
      <c r="F108" s="124"/>
      <c r="G108" s="124" t="s">
        <v>67</v>
      </c>
      <c r="H108" s="116"/>
      <c r="I108" s="116"/>
      <c r="J108" s="116"/>
      <c r="K108" s="61"/>
      <c r="L108" s="10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90"/>
      <c r="BR108" s="1"/>
      <c r="BS108" s="1"/>
    </row>
    <row r="109" spans="2:84" x14ac:dyDescent="0.3">
      <c r="D109" s="1"/>
      <c r="E109" s="123" t="s">
        <v>40</v>
      </c>
      <c r="F109" s="124"/>
      <c r="G109" s="124" t="s">
        <v>42</v>
      </c>
      <c r="H109" s="10"/>
      <c r="I109" s="10"/>
      <c r="J109" s="10"/>
      <c r="K109" s="61"/>
      <c r="L109" s="10"/>
      <c r="AC109" s="1"/>
      <c r="AD109" s="1"/>
      <c r="AE109" s="1"/>
      <c r="AF109" s="1"/>
      <c r="AG109" s="1"/>
      <c r="AH109" s="1"/>
      <c r="AI109" s="1"/>
      <c r="AJ109" s="1"/>
      <c r="AK109" s="1" t="s">
        <v>17</v>
      </c>
      <c r="AL109" s="1"/>
      <c r="AM109" s="1"/>
      <c r="AN109" s="1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90"/>
      <c r="BR109" s="1"/>
      <c r="BS109" s="1"/>
    </row>
    <row r="110" spans="2:84" x14ac:dyDescent="0.3">
      <c r="D110" s="1"/>
      <c r="E110" s="123" t="s">
        <v>47</v>
      </c>
      <c r="F110" s="124"/>
      <c r="G110" s="124" t="s">
        <v>57</v>
      </c>
      <c r="H110" s="10"/>
      <c r="I110" s="10"/>
      <c r="J110" s="10"/>
      <c r="K110" s="61"/>
      <c r="L110" s="10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90"/>
      <c r="BR110" s="1"/>
      <c r="BS110" s="1"/>
    </row>
    <row r="111" spans="2:84" x14ac:dyDescent="0.3">
      <c r="D111" s="1"/>
      <c r="E111" s="123" t="s">
        <v>68</v>
      </c>
      <c r="F111" s="61"/>
      <c r="G111" s="93" t="s">
        <v>69</v>
      </c>
      <c r="H111" s="61"/>
      <c r="I111" s="61"/>
      <c r="J111" s="61"/>
      <c r="K111" s="61"/>
      <c r="L111" s="6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90"/>
      <c r="BR111" s="1"/>
      <c r="BS111" s="1"/>
    </row>
    <row r="112" spans="2:84" x14ac:dyDescent="0.3">
      <c r="AC112" s="1"/>
      <c r="AD112" s="1"/>
      <c r="AE112" s="1"/>
      <c r="AF112" s="1"/>
      <c r="AG112" s="1"/>
      <c r="AH112" s="1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1"/>
      <c r="BS112" s="1"/>
    </row>
    <row r="113" spans="2:86" x14ac:dyDescent="0.3">
      <c r="AC113" s="1"/>
      <c r="AD113" s="1"/>
      <c r="AE113" s="1"/>
      <c r="AF113" s="1"/>
      <c r="AG113" s="1"/>
      <c r="AH113" s="1"/>
    </row>
    <row r="114" spans="2:86" x14ac:dyDescent="0.3">
      <c r="D114" s="56"/>
      <c r="AC114" s="1"/>
      <c r="AD114" s="1"/>
      <c r="AE114" s="1"/>
      <c r="AF114" s="1"/>
      <c r="AG114" s="1"/>
      <c r="AH114" s="1"/>
    </row>
    <row r="115" spans="2:86" x14ac:dyDescent="0.3">
      <c r="D115" s="1">
        <v>4900</v>
      </c>
      <c r="Z115" s="56"/>
      <c r="AC115" s="1"/>
      <c r="AD115" s="1"/>
      <c r="AE115" s="1"/>
      <c r="AF115" s="1"/>
      <c r="AG115" s="1"/>
      <c r="AH115" s="1"/>
    </row>
    <row r="116" spans="2:86" x14ac:dyDescent="0.3">
      <c r="D116" s="1">
        <v>1000000</v>
      </c>
      <c r="AC116" s="1"/>
      <c r="AD116" s="1"/>
      <c r="AE116" s="1"/>
      <c r="AF116" s="1"/>
      <c r="AG116" s="1"/>
      <c r="AH116" s="1"/>
    </row>
    <row r="117" spans="2:86" x14ac:dyDescent="0.3">
      <c r="AC117" s="1"/>
      <c r="AD117" s="1"/>
      <c r="AE117" s="1"/>
      <c r="AF117" s="1"/>
      <c r="AG117" s="1"/>
      <c r="AH117" s="1"/>
    </row>
    <row r="118" spans="2:86" x14ac:dyDescent="0.3">
      <c r="D118" s="279">
        <f>+D115/D116</f>
        <v>4.8999999999999998E-3</v>
      </c>
      <c r="AC118" s="1"/>
      <c r="AD118" s="1"/>
      <c r="AE118" s="1"/>
      <c r="AF118" s="1"/>
      <c r="AG118" s="1"/>
      <c r="AH118" s="1"/>
    </row>
    <row r="119" spans="2:86" x14ac:dyDescent="0.3">
      <c r="AC119" s="1"/>
      <c r="AD119" s="1"/>
      <c r="AE119" s="1"/>
      <c r="AF119" s="1"/>
      <c r="AG119" s="1"/>
      <c r="AH119" s="1"/>
    </row>
    <row r="120" spans="2:86" x14ac:dyDescent="0.3">
      <c r="D120" s="474">
        <v>32000</v>
      </c>
      <c r="AC120" s="1"/>
      <c r="AD120" s="1"/>
      <c r="AE120" s="1"/>
      <c r="AF120" s="1"/>
      <c r="AG120" s="1"/>
      <c r="AH120" s="1"/>
    </row>
    <row r="121" spans="2:86" x14ac:dyDescent="0.3">
      <c r="B121" s="473"/>
      <c r="D121" s="279">
        <f>+D120/D128</f>
        <v>9.6969696969696976E-5</v>
      </c>
      <c r="AC121" s="1"/>
      <c r="AD121" s="1"/>
      <c r="AE121" s="1"/>
      <c r="AF121" s="1"/>
      <c r="AG121" s="1"/>
      <c r="AH121" s="1"/>
    </row>
    <row r="122" spans="2:86" x14ac:dyDescent="0.3">
      <c r="D122" s="473"/>
      <c r="AC122" s="1"/>
      <c r="AD122" s="1"/>
      <c r="AE122" s="1"/>
      <c r="AF122" s="1"/>
      <c r="AG122" s="1"/>
      <c r="AH122" s="1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1"/>
      <c r="BS122" s="1"/>
      <c r="BT122" s="1"/>
      <c r="BU122" s="1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</row>
    <row r="123" spans="2:86" x14ac:dyDescent="0.3"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121"/>
      <c r="CA123" s="1"/>
      <c r="CB123" s="1"/>
      <c r="CC123" s="1"/>
      <c r="CD123" s="1"/>
      <c r="CE123" s="1"/>
      <c r="CF123" s="1"/>
      <c r="CG123" s="1"/>
      <c r="CH123" s="1"/>
    </row>
    <row r="124" spans="2:86" x14ac:dyDescent="0.3">
      <c r="D124">
        <v>10</v>
      </c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89"/>
      <c r="BY124" s="89"/>
      <c r="BZ124" s="89"/>
      <c r="CA124" s="1"/>
      <c r="CB124" s="1"/>
      <c r="CC124" s="1"/>
      <c r="CD124" s="1"/>
      <c r="CE124" s="1"/>
      <c r="CF124" s="1"/>
      <c r="CG124" s="1"/>
      <c r="CH124" s="1"/>
    </row>
    <row r="125" spans="2:86" x14ac:dyDescent="0.3">
      <c r="D125" s="1">
        <v>1000000</v>
      </c>
      <c r="AC125" s="10"/>
      <c r="AD125" s="10"/>
      <c r="AE125" s="10"/>
      <c r="AF125" s="10"/>
      <c r="AG125" s="10"/>
      <c r="AH125" s="1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  <c r="CA125" s="1"/>
      <c r="CB125" s="1"/>
      <c r="CC125" s="1"/>
      <c r="CD125" s="1"/>
      <c r="CE125" s="1"/>
      <c r="CF125" s="1"/>
    </row>
    <row r="126" spans="2:86" x14ac:dyDescent="0.3">
      <c r="D126" s="57">
        <f>+D124/D125</f>
        <v>1.0000000000000001E-5</v>
      </c>
      <c r="AC126" s="10"/>
      <c r="AD126" s="10"/>
      <c r="AE126" s="10"/>
      <c r="AF126" s="10"/>
      <c r="AG126" s="10"/>
      <c r="AH126" s="1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  <c r="CA126" s="1"/>
      <c r="CB126" s="1"/>
      <c r="CC126" s="1"/>
      <c r="CD126" s="1"/>
      <c r="CE126" s="1"/>
      <c r="CF126" s="1"/>
    </row>
    <row r="127" spans="2:86" x14ac:dyDescent="0.3">
      <c r="AC127" s="10"/>
      <c r="AD127" s="10"/>
      <c r="AE127" s="10"/>
      <c r="AF127" s="10"/>
      <c r="AG127" s="10"/>
      <c r="AH127" s="1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122"/>
      <c r="BY127" s="89"/>
      <c r="BZ127" s="89"/>
    </row>
    <row r="128" spans="2:86" x14ac:dyDescent="0.3">
      <c r="D128" s="1">
        <v>330000000</v>
      </c>
      <c r="AC128" s="10"/>
      <c r="AD128" s="10"/>
      <c r="AE128" s="10"/>
      <c r="AF128" s="10"/>
      <c r="AG128" s="10"/>
      <c r="AH128" s="10"/>
      <c r="AI128" s="90"/>
      <c r="AJ128" s="90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9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90"/>
      <c r="AS129" s="90"/>
      <c r="AT129" s="90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89"/>
      <c r="BW129" s="89"/>
      <c r="BX129" s="89"/>
      <c r="BY129" s="89"/>
      <c r="BZ129" s="89"/>
    </row>
    <row r="130" spans="2:78" x14ac:dyDescent="0.3">
      <c r="D130" s="471">
        <f>+H72/D128</f>
        <v>4.9627030303030307E-3</v>
      </c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10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89"/>
      <c r="BW130" s="89"/>
      <c r="BX130" s="89"/>
      <c r="BY130" s="89"/>
      <c r="BZ130" s="89"/>
    </row>
    <row r="131" spans="2:78" x14ac:dyDescent="0.3">
      <c r="D131">
        <v>150000</v>
      </c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90"/>
      <c r="AS131" s="90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89"/>
      <c r="BW131" s="89"/>
      <c r="BX131" s="89"/>
      <c r="BY131" s="89"/>
      <c r="BZ131" s="89"/>
    </row>
    <row r="132" spans="2:78" x14ac:dyDescent="0.3">
      <c r="D132" s="279">
        <f>+D131/D128</f>
        <v>4.5454545454545455E-4</v>
      </c>
      <c r="AC132" s="10"/>
      <c r="AD132" s="10"/>
      <c r="AE132" s="10"/>
      <c r="AF132" s="10"/>
      <c r="AG132" s="10"/>
      <c r="AH132" s="10"/>
      <c r="AI132" s="90"/>
      <c r="AJ132" s="90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v>28.59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D135">
        <f>+D128/100000</f>
        <v>3300</v>
      </c>
      <c r="AC135" s="10"/>
      <c r="AD135" s="10"/>
      <c r="AE135" s="10"/>
      <c r="AF135" s="10"/>
      <c r="AG135" s="10"/>
      <c r="AH135" s="10"/>
      <c r="AI135" s="90"/>
      <c r="AJ135" s="90"/>
      <c r="AK135" s="90"/>
      <c r="AL135" s="90"/>
      <c r="AM135" s="152"/>
      <c r="AN135" s="152"/>
      <c r="AO135" s="152"/>
      <c r="AP135" s="152"/>
      <c r="AQ135" s="152"/>
      <c r="AR135" s="152"/>
      <c r="AS135" s="152"/>
      <c r="AT135" s="90"/>
      <c r="AU135" s="110"/>
      <c r="AV135" s="110"/>
      <c r="AW135" s="110"/>
      <c r="AX135" s="110"/>
      <c r="AY135" s="90"/>
      <c r="AZ135" s="9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D136">
        <f>+D135*D133</f>
        <v>94347</v>
      </c>
      <c r="AC136" s="10"/>
      <c r="AD136" s="10"/>
      <c r="AE136" s="10"/>
      <c r="AF136" s="10"/>
      <c r="AG136" s="10"/>
      <c r="AH136" s="10"/>
      <c r="AI136" s="90"/>
      <c r="AJ136" s="90"/>
      <c r="AK136" s="90"/>
      <c r="AL136" s="90"/>
      <c r="AM136" s="152"/>
      <c r="AN136" s="152"/>
      <c r="AO136" s="152"/>
      <c r="AP136" s="152"/>
      <c r="AQ136" s="152"/>
      <c r="AR136" s="152"/>
      <c r="AS136" s="152"/>
      <c r="AT136" s="90"/>
      <c r="AU136" s="110"/>
      <c r="AV136" s="110"/>
      <c r="AW136" s="110"/>
      <c r="AX136" s="110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C137" s="10"/>
      <c r="AD137" s="10"/>
      <c r="AE137" s="10"/>
      <c r="AF137" s="10"/>
      <c r="AG137" s="10"/>
      <c r="AH137" s="10"/>
      <c r="AI137" s="90"/>
      <c r="AJ137" s="90"/>
      <c r="AK137" s="90"/>
      <c r="AL137" s="90"/>
      <c r="AM137" s="152"/>
      <c r="AN137" s="152"/>
      <c r="AO137" s="152"/>
      <c r="AP137" s="152"/>
      <c r="AQ137" s="152"/>
      <c r="AR137" s="152"/>
      <c r="AS137" s="152"/>
      <c r="AT137" s="90"/>
      <c r="AU137" s="110"/>
      <c r="AV137" s="110"/>
      <c r="AW137" s="110"/>
      <c r="AX137" s="110"/>
      <c r="AY137" s="90"/>
      <c r="AZ137" s="90"/>
      <c r="BA137" s="11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</row>
    <row r="138" spans="2:78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90"/>
      <c r="AV138" s="90"/>
      <c r="AW138" s="90"/>
      <c r="AX138" s="90"/>
      <c r="AY138" s="90"/>
      <c r="AZ138" s="11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</row>
    <row r="139" spans="2:78" x14ac:dyDescent="0.3"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</row>
    <row r="140" spans="2:78" x14ac:dyDescent="0.3"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90"/>
      <c r="AT140" s="110"/>
      <c r="AU140" s="153"/>
      <c r="AV140" s="153"/>
      <c r="AW140" s="153"/>
      <c r="AX140" s="153"/>
      <c r="AY140" s="110"/>
      <c r="AZ140" s="110"/>
      <c r="BA140" s="110"/>
      <c r="BB140" s="110"/>
    </row>
    <row r="141" spans="2:78" x14ac:dyDescent="0.3">
      <c r="B141" s="125"/>
      <c r="D141" s="55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90"/>
      <c r="AV141" s="90"/>
      <c r="AW141" s="90"/>
      <c r="AX141" s="90"/>
      <c r="AY141" s="110"/>
      <c r="AZ141" s="154"/>
      <c r="BA141" s="110"/>
      <c r="BB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</row>
    <row r="143" spans="2:78" x14ac:dyDescent="0.3">
      <c r="B143" s="1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</row>
    <row r="144" spans="2:78" x14ac:dyDescent="0.3">
      <c r="B144" s="1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55"/>
      <c r="D146" s="55"/>
      <c r="W146" s="61"/>
      <c r="X146" s="61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</row>
    <row r="147" spans="2:43" x14ac:dyDescent="0.3">
      <c r="B147" s="57"/>
      <c r="D147" s="55"/>
      <c r="W147" s="61"/>
      <c r="X147" s="61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</row>
    <row r="148" spans="2:43" x14ac:dyDescent="0.3">
      <c r="B148" s="1"/>
      <c r="D148" s="55"/>
      <c r="W148" s="61"/>
      <c r="X148" s="61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</row>
    <row r="149" spans="2:43" x14ac:dyDescent="0.3">
      <c r="B149" s="1"/>
      <c r="D149" s="55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57" t="e">
        <f>+B151/B150</f>
        <v>#DIV/0!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>
        <f>+B151*50</f>
        <v>0</v>
      </c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/>
      <c r="D164" s="55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  <row r="170" spans="2:4" x14ac:dyDescent="0.3">
      <c r="B170" s="1"/>
    </row>
    <row r="171" spans="2:4" x14ac:dyDescent="0.3">
      <c r="B171" s="1"/>
    </row>
    <row r="172" spans="2:4" x14ac:dyDescent="0.3">
      <c r="B172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20"/>
  <sheetViews>
    <sheetView topLeftCell="A71" workbookViewId="0">
      <selection activeCell="Q100" sqref="Q10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4" t="s">
        <v>7</v>
      </c>
      <c r="F7" s="515"/>
      <c r="G7" s="519">
        <v>0.7</v>
      </c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20"/>
    </row>
    <row r="8" spans="3:40" x14ac:dyDescent="0.3">
      <c r="E8" s="516" t="s">
        <v>124</v>
      </c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8"/>
    </row>
    <row r="9" spans="3:40" x14ac:dyDescent="0.3">
      <c r="E9" s="534" t="s">
        <v>37</v>
      </c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6"/>
      <c r="Q9" s="532" t="s">
        <v>117</v>
      </c>
      <c r="R9" s="5"/>
      <c r="S9" s="529" t="s">
        <v>4</v>
      </c>
      <c r="T9" s="530"/>
      <c r="U9" s="53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80</v>
      </c>
      <c r="N10" s="119"/>
      <c r="O10" s="120" t="s">
        <v>15</v>
      </c>
      <c r="P10" s="374"/>
      <c r="Q10" s="533"/>
      <c r="R10" s="6"/>
      <c r="S10" s="4" t="s">
        <v>4</v>
      </c>
      <c r="T10" s="6"/>
      <c r="U10" s="285" t="s">
        <v>81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60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6" t="s">
        <v>48</v>
      </c>
      <c r="AE14" s="527"/>
      <c r="AF14" s="528"/>
      <c r="AG14" s="208"/>
      <c r="AH14" s="52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+K108</f>
        <v>595293</v>
      </c>
      <c r="AG16" s="202"/>
      <c r="AH16" s="216">
        <f>+AJ31</f>
        <v>1836.9883620394467</v>
      </c>
      <c r="AI16" s="216"/>
      <c r="AJ16" s="217">
        <f>+S108</f>
        <v>47685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58</v>
      </c>
      <c r="AE17" s="170"/>
      <c r="AF17" s="163">
        <v>105603</v>
      </c>
      <c r="AG17" s="203"/>
      <c r="AH17" s="164">
        <v>1532</v>
      </c>
      <c r="AI17" s="216"/>
      <c r="AJ17" s="163">
        <v>7642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91</v>
      </c>
      <c r="AE18" s="170"/>
      <c r="AF18" s="163">
        <v>83203</v>
      </c>
      <c r="AG18" s="203"/>
      <c r="AH18" s="164">
        <v>650</v>
      </c>
      <c r="AI18" s="216"/>
      <c r="AJ18" s="163">
        <v>6215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784099</v>
      </c>
      <c r="AG19" s="203"/>
      <c r="AH19" s="203"/>
      <c r="AI19" s="203"/>
      <c r="AJ19" s="221">
        <f>SUM(AJ16:AJ18)</f>
        <v>61542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Table'!H103</f>
        <v>0.36264883375020351</v>
      </c>
      <c r="AG21" s="203"/>
      <c r="AH21" s="203"/>
      <c r="AI21" s="203"/>
      <c r="AJ21" s="223">
        <f>+AJ19/'Main Table'!Z103</f>
        <v>0.52219290132622842</v>
      </c>
      <c r="AK21" s="220"/>
      <c r="AL21" s="110"/>
      <c r="AM21" s="96">
        <f>1-AJ21</f>
        <v>0.47780709867377158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106268</v>
      </c>
      <c r="AN23" s="90">
        <f>+AM23*AJ21</f>
        <v>55492.395238135643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21325.75399998303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6" t="s">
        <v>134</v>
      </c>
      <c r="AB25" s="527"/>
      <c r="AC25" s="527"/>
      <c r="AD25" s="527"/>
      <c r="AE25" s="527"/>
      <c r="AF25" s="527"/>
      <c r="AG25" s="527"/>
      <c r="AH25" s="527"/>
      <c r="AI25" s="527"/>
      <c r="AJ25" s="527"/>
      <c r="AK25" s="528"/>
      <c r="AL25" s="155"/>
      <c r="AM25" s="155"/>
      <c r="AN25" s="90">
        <f>+AN23+AN24</f>
        <v>76818.149238118669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0.72287188276921244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+E108</f>
        <v>383324</v>
      </c>
      <c r="AE27" s="170"/>
      <c r="AF27" s="201">
        <v>1970</v>
      </c>
      <c r="AG27" s="170"/>
      <c r="AH27" s="192">
        <f>+AD27/AD$31</f>
        <v>0.54690567502168652</v>
      </c>
      <c r="AI27" s="192"/>
      <c r="AJ27" s="170">
        <f>+AF27*AH27</f>
        <v>1077.4041797927225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+G108</f>
        <v>166881</v>
      </c>
      <c r="AE28" s="170"/>
      <c r="AF28" s="201">
        <v>1879</v>
      </c>
      <c r="AG28" s="170"/>
      <c r="AH28" s="192">
        <f>+AD28/AD$31</f>
        <v>0.23809666484043282</v>
      </c>
      <c r="AI28" s="192"/>
      <c r="AJ28" s="170">
        <f>+AF28*AH28</f>
        <v>447.38363323517325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+I108</f>
        <v>45088</v>
      </c>
      <c r="AE29" s="170"/>
      <c r="AF29" s="201">
        <v>1265</v>
      </c>
      <c r="AG29" s="170"/>
      <c r="AH29" s="192">
        <f>+AD29/AD$31</f>
        <v>6.4329087339633842E-2</v>
      </c>
      <c r="AI29" s="192"/>
      <c r="AJ29" s="170">
        <f>+AF29*AH29</f>
        <v>81.376295484636813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106</v>
      </c>
      <c r="AC30" s="282"/>
      <c r="AD30" s="170">
        <f>+AF17</f>
        <v>105603</v>
      </c>
      <c r="AE30" s="282"/>
      <c r="AF30" s="170">
        <f>+AH17</f>
        <v>1532</v>
      </c>
      <c r="AG30" s="282"/>
      <c r="AH30" s="192">
        <f>+AD30/AD$31</f>
        <v>0.1506685727982468</v>
      </c>
      <c r="AI30" s="282"/>
      <c r="AJ30" s="170">
        <f>+AF30*AH30</f>
        <v>230.82425352691411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700896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1836.9883620394467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1" t="s">
        <v>31</v>
      </c>
      <c r="AB36" s="522"/>
      <c r="AC36" s="522"/>
      <c r="AD36" s="522"/>
      <c r="AE36" s="522"/>
      <c r="AF36" s="522"/>
      <c r="AG36" s="522"/>
      <c r="AH36" s="522"/>
      <c r="AI36" s="52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7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6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  <c r="AD49" s="1">
        <f>+'Main Table'!Z93</f>
        <v>116034</v>
      </c>
      <c r="AJ49" s="56">
        <f>+AJ19</f>
        <v>61542</v>
      </c>
    </row>
    <row r="50" spans="3:36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D50" s="56">
        <f>+AJ19</f>
        <v>61542</v>
      </c>
      <c r="AF50" s="275"/>
    </row>
    <row r="51" spans="3:36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  <c r="AD51" s="56">
        <f>+AD49-AD50</f>
        <v>54492</v>
      </c>
    </row>
    <row r="52" spans="3:36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  <c r="AD53" s="1">
        <f>+AD51*AD52</f>
        <v>22886.639999999999</v>
      </c>
    </row>
    <row r="54" spans="3:36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6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  <c r="AD55" s="56">
        <f>+AD51-AD53</f>
        <v>31605.360000000001</v>
      </c>
    </row>
    <row r="56" spans="3:36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6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  <c r="AD57" s="275">
        <f>+AD55/AD49</f>
        <v>0.27238016443456231</v>
      </c>
    </row>
    <row r="58" spans="3:36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6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6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6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6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 t="shared" ref="Q62:Q97" si="11"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6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 t="shared" si="11"/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6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 t="shared" si="11"/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 t="shared" si="11"/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8">
        <f t="shared" si="11"/>
        <v>4103</v>
      </c>
      <c r="R66" s="6"/>
      <c r="S66" s="7">
        <f>27607+9946+3219</f>
        <v>40772</v>
      </c>
      <c r="T66" s="6"/>
      <c r="U66" s="288">
        <f t="shared" ref="U66:U97" si="14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8">
        <f t="shared" si="11"/>
        <v>5383</v>
      </c>
      <c r="R67" s="6"/>
      <c r="S67" s="7">
        <f>27607+9946+3219</f>
        <v>40772</v>
      </c>
      <c r="T67" s="6"/>
      <c r="U67" s="288">
        <f t="shared" si="14"/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8">
        <f t="shared" si="11"/>
        <v>3422</v>
      </c>
      <c r="R68" s="6"/>
      <c r="S68" s="7">
        <f>28049+10261+3339</f>
        <v>41649</v>
      </c>
      <c r="T68" s="6"/>
      <c r="U68" s="288">
        <f t="shared" si="14"/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8">
        <f t="shared" si="11"/>
        <v>4020</v>
      </c>
      <c r="R69" s="6"/>
      <c r="S69" s="7">
        <f>28232+10363+3408</f>
        <v>42003</v>
      </c>
      <c r="T69" s="6"/>
      <c r="U69" s="288">
        <f t="shared" si="14"/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8">
        <f t="shared" si="11"/>
        <v>3683</v>
      </c>
      <c r="R70" s="6"/>
      <c r="S70" s="7">
        <f>28339+10439+5862</f>
        <v>44640</v>
      </c>
      <c r="T70" s="6"/>
      <c r="U70" s="288">
        <f t="shared" si="14"/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8">
        <f t="shared" si="11"/>
        <v>2904</v>
      </c>
      <c r="R71" s="6"/>
      <c r="S71" s="7">
        <f>28558+10587+3472</f>
        <v>42617</v>
      </c>
      <c r="T71" s="6"/>
      <c r="U71" s="288">
        <f t="shared" si="14"/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8">
        <f t="shared" si="11"/>
        <v>3532</v>
      </c>
      <c r="R72" s="6"/>
      <c r="S72" s="7">
        <f>28636+10749+3529</f>
        <v>42914</v>
      </c>
      <c r="T72" s="6"/>
      <c r="U72" s="288">
        <f t="shared" si="14"/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8">
        <f t="shared" si="11"/>
        <v>3089</v>
      </c>
      <c r="R73" s="6"/>
      <c r="S73" s="7">
        <f>28743+10846+3583</f>
        <v>43172</v>
      </c>
      <c r="T73" s="6"/>
      <c r="U73" s="288">
        <f t="shared" si="14"/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8">
        <f t="shared" si="11"/>
        <v>3121</v>
      </c>
      <c r="R74" s="6"/>
      <c r="S74" s="7">
        <f>28853+10985+3637</f>
        <v>43475</v>
      </c>
      <c r="T74" s="6"/>
      <c r="U74" s="288">
        <f t="shared" si="14"/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8">
        <f t="shared" si="11"/>
        <v>2333</v>
      </c>
      <c r="R75" s="6"/>
      <c r="S75" s="7">
        <f>28926+11082+3637</f>
        <v>43645</v>
      </c>
      <c r="T75" s="6"/>
      <c r="U75" s="288">
        <f t="shared" si="14"/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8">
        <f t="shared" si="11"/>
        <v>3431</v>
      </c>
      <c r="R76" s="6"/>
      <c r="S76" s="7">
        <f>29141+11138+3696</f>
        <v>43975</v>
      </c>
      <c r="T76" s="6"/>
      <c r="U76" s="288">
        <f t="shared" si="14"/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8">
        <f t="shared" si="11"/>
        <v>2592</v>
      </c>
      <c r="R77" s="6"/>
      <c r="S77" s="7">
        <f>29229+11147+3742</f>
        <v>44118</v>
      </c>
      <c r="T77" s="6"/>
      <c r="U77" s="288">
        <f t="shared" si="14"/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8">
        <f t="shared" si="11"/>
        <v>2174</v>
      </c>
      <c r="R78" s="6"/>
      <c r="S78" s="7">
        <f>29302+11194+3769</f>
        <v>44265</v>
      </c>
      <c r="T78" s="6"/>
      <c r="U78" s="288">
        <f t="shared" si="14"/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8">
        <f t="shared" si="11"/>
        <v>1978</v>
      </c>
      <c r="R79" s="6"/>
      <c r="S79" s="7">
        <f>29484+11339+3803</f>
        <v>44626</v>
      </c>
      <c r="T79" s="6"/>
      <c r="U79" s="288">
        <f t="shared" si="14"/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8">
        <f t="shared" si="11"/>
        <v>2596</v>
      </c>
      <c r="R80" s="6"/>
      <c r="S80" s="7">
        <f>29484+11339+3803</f>
        <v>44626</v>
      </c>
      <c r="T80" s="6"/>
      <c r="U80" s="288">
        <f t="shared" si="14"/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8">
        <f t="shared" si="11"/>
        <v>3413</v>
      </c>
      <c r="R81" s="6"/>
      <c r="S81" s="7">
        <f>29646+11531+3868</f>
        <v>45045</v>
      </c>
      <c r="T81" s="6"/>
      <c r="U81" s="288">
        <f t="shared" si="14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8">
        <f t="shared" si="11"/>
        <v>2400</v>
      </c>
      <c r="R82" s="6"/>
      <c r="S82" s="7">
        <f>29646+11531+3868</f>
        <v>45045</v>
      </c>
      <c r="T82" s="6"/>
      <c r="U82" s="288">
        <f t="shared" si="14"/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8">
        <f t="shared" si="11"/>
        <v>2126</v>
      </c>
      <c r="R83" s="6"/>
      <c r="S83" s="7">
        <f>29784+11698+3944</f>
        <v>45426</v>
      </c>
      <c r="T83" s="6"/>
      <c r="U83" s="288">
        <f t="shared" si="14"/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8">
        <f t="shared" si="11"/>
        <v>1414</v>
      </c>
      <c r="R84" s="6"/>
      <c r="S84" s="7">
        <f>29833+11723+3971</f>
        <v>45527</v>
      </c>
      <c r="T84" s="6"/>
      <c r="U84" s="288">
        <f t="shared" si="14"/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8">
        <f t="shared" si="11"/>
        <v>2734</v>
      </c>
      <c r="R85" s="6"/>
      <c r="S85" s="7">
        <f>29968+11771+3972</f>
        <v>45711</v>
      </c>
      <c r="T85" s="6"/>
      <c r="U85" s="288">
        <f t="shared" si="14"/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8">
        <f t="shared" si="11"/>
        <v>1680</v>
      </c>
      <c r="R86" s="6"/>
      <c r="S86" s="7">
        <f>30019+11880+3989</f>
        <v>45888</v>
      </c>
      <c r="T86" s="6"/>
      <c r="U86" s="288">
        <f t="shared" si="14"/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8">
        <f t="shared" si="11"/>
        <v>1658</v>
      </c>
      <c r="R87" s="6"/>
      <c r="S87" s="7">
        <f>30090+11970+4007</f>
        <v>46067</v>
      </c>
      <c r="T87" s="6"/>
      <c r="U87" s="288">
        <f t="shared" si="14"/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8">
        <f t="shared" si="11"/>
        <v>2102</v>
      </c>
      <c r="R88" s="6"/>
      <c r="S88" s="7">
        <f>30236+12049+4038</f>
        <v>46323</v>
      </c>
      <c r="T88" s="6"/>
      <c r="U88" s="288">
        <f t="shared" si="14"/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8">
        <f t="shared" si="11"/>
        <v>2023</v>
      </c>
      <c r="R89" s="6"/>
      <c r="S89" s="7">
        <f>30280+12106+4055</f>
        <v>46441</v>
      </c>
      <c r="T89" s="6"/>
      <c r="U89" s="288">
        <f t="shared" si="14"/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8">
        <f t="shared" si="11"/>
        <v>1202</v>
      </c>
      <c r="R90" s="6"/>
      <c r="S90" s="7">
        <f>30374+12176+4071</f>
        <v>46621</v>
      </c>
      <c r="T90" s="6"/>
      <c r="U90" s="288">
        <f t="shared" si="14"/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8">
        <f t="shared" si="11"/>
        <v>1160</v>
      </c>
      <c r="R91" s="6"/>
      <c r="S91" s="7">
        <f>30417+12214+4084</f>
        <v>46715</v>
      </c>
      <c r="T91" s="6"/>
      <c r="U91" s="288">
        <f t="shared" si="14"/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>
        <v>379482</v>
      </c>
      <c r="F92" s="7"/>
      <c r="G92" s="7">
        <v>164796</v>
      </c>
      <c r="H92" s="7"/>
      <c r="I92" s="7">
        <v>44179</v>
      </c>
      <c r="J92" s="289"/>
      <c r="K92" s="7">
        <f t="shared" si="12"/>
        <v>588457</v>
      </c>
      <c r="L92" s="6"/>
      <c r="M92" s="477">
        <f t="shared" si="13"/>
        <v>1.8182158671680947E-3</v>
      </c>
      <c r="N92" s="29"/>
      <c r="O92" s="29"/>
      <c r="P92" s="29"/>
      <c r="Q92" s="378">
        <f t="shared" si="11"/>
        <v>1068</v>
      </c>
      <c r="R92" s="6"/>
      <c r="S92" s="7">
        <f>30458+12303+4097</f>
        <v>46858</v>
      </c>
      <c r="T92" s="6"/>
      <c r="U92" s="288">
        <f t="shared" si="14"/>
        <v>7.9628587985188376E-2</v>
      </c>
      <c r="W92">
        <f t="shared" si="0"/>
        <v>82</v>
      </c>
    </row>
    <row r="93" spans="3:25" x14ac:dyDescent="0.3">
      <c r="C93" s="172">
        <f t="shared" si="1"/>
        <v>43992</v>
      </c>
      <c r="E93" s="286">
        <v>380156</v>
      </c>
      <c r="F93" s="7"/>
      <c r="G93" s="7">
        <v>165346</v>
      </c>
      <c r="H93" s="7"/>
      <c r="I93" s="7">
        <v>44347</v>
      </c>
      <c r="J93" s="289"/>
      <c r="K93" s="7">
        <f t="shared" si="12"/>
        <v>589849</v>
      </c>
      <c r="L93" s="6"/>
      <c r="M93" s="477">
        <f t="shared" si="13"/>
        <v>2.3655084398690133E-3</v>
      </c>
      <c r="N93" s="29"/>
      <c r="O93" s="29"/>
      <c r="P93" s="29"/>
      <c r="Q93" s="378">
        <f t="shared" si="11"/>
        <v>1392</v>
      </c>
      <c r="R93" s="6"/>
      <c r="S93" s="7">
        <f>30458+12303+4097</f>
        <v>46858</v>
      </c>
      <c r="T93" s="6"/>
      <c r="U93" s="288">
        <f t="shared" si="14"/>
        <v>7.9440670408867348E-2</v>
      </c>
      <c r="W93">
        <f t="shared" si="0"/>
        <v>83</v>
      </c>
    </row>
    <row r="94" spans="3:25" x14ac:dyDescent="0.3">
      <c r="C94" s="172">
        <f t="shared" si="1"/>
        <v>43993</v>
      </c>
      <c r="E94" s="286">
        <v>380892</v>
      </c>
      <c r="F94" s="7"/>
      <c r="G94" s="7">
        <v>165816</v>
      </c>
      <c r="H94" s="7"/>
      <c r="I94" s="7">
        <v>44461</v>
      </c>
      <c r="J94" s="289"/>
      <c r="K94" s="7">
        <f t="shared" si="12"/>
        <v>591169</v>
      </c>
      <c r="L94" s="6"/>
      <c r="M94" s="477">
        <f t="shared" si="13"/>
        <v>2.237860876258161E-3</v>
      </c>
      <c r="N94" s="29"/>
      <c r="O94" s="29"/>
      <c r="P94" s="29"/>
      <c r="Q94" s="378">
        <f t="shared" si="11"/>
        <v>1320</v>
      </c>
      <c r="R94" s="6"/>
      <c r="S94" s="7">
        <f>30575+12443+4148</f>
        <v>47166</v>
      </c>
      <c r="T94" s="6"/>
      <c r="U94" s="288">
        <f t="shared" si="14"/>
        <v>7.9784291801498389E-2</v>
      </c>
      <c r="W94">
        <f t="shared" si="0"/>
        <v>84</v>
      </c>
    </row>
    <row r="95" spans="3:25" x14ac:dyDescent="0.3">
      <c r="C95" s="172">
        <f t="shared" si="1"/>
        <v>43994</v>
      </c>
      <c r="E95" s="286">
        <v>381714</v>
      </c>
      <c r="F95" s="7"/>
      <c r="G95" s="7">
        <v>166164</v>
      </c>
      <c r="H95" s="7"/>
      <c r="I95" s="7">
        <v>44689</v>
      </c>
      <c r="J95" s="289"/>
      <c r="K95" s="7">
        <f t="shared" si="12"/>
        <v>592567</v>
      </c>
      <c r="L95" s="6"/>
      <c r="M95" s="477">
        <f t="shared" si="13"/>
        <v>2.3648060030211325E-3</v>
      </c>
      <c r="N95" s="29"/>
      <c r="O95" s="29"/>
      <c r="P95" s="29"/>
      <c r="Q95" s="378">
        <f t="shared" si="11"/>
        <v>1398</v>
      </c>
      <c r="R95" s="6"/>
      <c r="S95" s="7">
        <f>30758+12489+4159</f>
        <v>47406</v>
      </c>
      <c r="T95" s="6"/>
      <c r="U95" s="288">
        <f t="shared" si="14"/>
        <v>8.000108004664451E-2</v>
      </c>
      <c r="W95">
        <f t="shared" si="0"/>
        <v>85</v>
      </c>
    </row>
    <row r="96" spans="3:25" x14ac:dyDescent="0.3">
      <c r="C96" s="172">
        <f t="shared" si="1"/>
        <v>43995</v>
      </c>
      <c r="E96" s="286">
        <v>382630</v>
      </c>
      <c r="F96" s="7"/>
      <c r="G96" s="7">
        <v>166605</v>
      </c>
      <c r="H96" s="7"/>
      <c r="I96" s="7">
        <v>44994</v>
      </c>
      <c r="J96" s="289"/>
      <c r="K96" s="7">
        <f t="shared" si="12"/>
        <v>594229</v>
      </c>
      <c r="L96" s="6"/>
      <c r="M96" s="477">
        <f t="shared" si="13"/>
        <v>2.804746129973488E-3</v>
      </c>
      <c r="N96" s="29"/>
      <c r="O96" s="29"/>
      <c r="P96" s="29"/>
      <c r="Q96" s="378">
        <f t="shared" si="11"/>
        <v>1662</v>
      </c>
      <c r="R96" s="6"/>
      <c r="S96" s="7">
        <f>30795+12621+4186</f>
        <v>47602</v>
      </c>
      <c r="T96" s="6"/>
      <c r="U96" s="288">
        <f t="shared" si="14"/>
        <v>8.010716407310986E-2</v>
      </c>
      <c r="W96">
        <f t="shared" si="0"/>
        <v>86</v>
      </c>
      <c r="Y96" s="56">
        <f>+Q89-Y90</f>
        <v>60.571428571428669</v>
      </c>
    </row>
    <row r="97" spans="3:25" x14ac:dyDescent="0.3">
      <c r="C97" s="172">
        <f t="shared" si="1"/>
        <v>43996</v>
      </c>
      <c r="E97" s="286">
        <v>383324</v>
      </c>
      <c r="F97" s="7"/>
      <c r="G97" s="7">
        <v>166881</v>
      </c>
      <c r="H97" s="7"/>
      <c r="I97" s="7">
        <v>45088</v>
      </c>
      <c r="J97" s="289"/>
      <c r="K97" s="7">
        <f t="shared" si="12"/>
        <v>595293</v>
      </c>
      <c r="L97" s="6"/>
      <c r="M97" s="477">
        <f t="shared" si="13"/>
        <v>1.7905554929160308E-3</v>
      </c>
      <c r="N97" s="29"/>
      <c r="O97" s="29"/>
      <c r="P97" s="29"/>
      <c r="Q97" s="378">
        <f t="shared" si="11"/>
        <v>1064</v>
      </c>
      <c r="R97" s="6"/>
      <c r="S97" s="7">
        <f>30825+12659+4201</f>
        <v>47685</v>
      </c>
      <c r="T97" s="6"/>
      <c r="U97" s="288">
        <f t="shared" si="14"/>
        <v>8.010341126134525E-2</v>
      </c>
      <c r="W97">
        <f t="shared" si="0"/>
        <v>87</v>
      </c>
      <c r="Y97" s="56"/>
    </row>
    <row r="98" spans="3:25" x14ac:dyDescent="0.3">
      <c r="C98" s="172">
        <f t="shared" ref="C98:C106" si="15">+C97+1</f>
        <v>43997</v>
      </c>
      <c r="E98" s="286"/>
      <c r="F98" s="7"/>
      <c r="G98" s="7"/>
      <c r="H98" s="7"/>
      <c r="I98" s="7"/>
      <c r="J98" s="289"/>
      <c r="K98" s="7"/>
      <c r="L98" s="6"/>
      <c r="M98" s="477"/>
      <c r="N98" s="29"/>
      <c r="O98" s="29"/>
      <c r="P98" s="29"/>
      <c r="Q98" s="378"/>
      <c r="R98" s="6"/>
      <c r="S98" s="7"/>
      <c r="T98" s="6"/>
      <c r="U98" s="288"/>
      <c r="W98">
        <f t="shared" ref="W98:W106" si="16">+W97+1</f>
        <v>88</v>
      </c>
      <c r="Y98" s="56"/>
    </row>
    <row r="99" spans="3:25" x14ac:dyDescent="0.3">
      <c r="C99" s="172">
        <f t="shared" si="15"/>
        <v>43998</v>
      </c>
      <c r="E99" s="286"/>
      <c r="F99" s="7"/>
      <c r="G99" s="7"/>
      <c r="H99" s="7"/>
      <c r="I99" s="7"/>
      <c r="J99" s="289"/>
      <c r="K99" s="7"/>
      <c r="L99" s="6"/>
      <c r="M99" s="477"/>
      <c r="N99" s="29"/>
      <c r="O99" s="29"/>
      <c r="P99" s="29"/>
      <c r="Q99" s="378"/>
      <c r="R99" s="6"/>
      <c r="S99" s="7"/>
      <c r="T99" s="6"/>
      <c r="U99" s="288"/>
      <c r="W99">
        <f t="shared" si="16"/>
        <v>89</v>
      </c>
      <c r="Y99" s="56"/>
    </row>
    <row r="100" spans="3:25" x14ac:dyDescent="0.3">
      <c r="C100" s="172">
        <f t="shared" si="15"/>
        <v>43999</v>
      </c>
      <c r="E100" s="286"/>
      <c r="F100" s="7"/>
      <c r="G100" s="7"/>
      <c r="H100" s="7"/>
      <c r="I100" s="7"/>
      <c r="J100" s="289"/>
      <c r="K100" s="7"/>
      <c r="L100" s="6"/>
      <c r="M100" s="477"/>
      <c r="N100" s="29"/>
      <c r="O100" s="29"/>
      <c r="P100" s="29"/>
      <c r="Q100" s="378"/>
      <c r="R100" s="6"/>
      <c r="S100" s="7"/>
      <c r="T100" s="6"/>
      <c r="U100" s="288"/>
      <c r="W100">
        <f t="shared" si="16"/>
        <v>90</v>
      </c>
      <c r="Y100" s="56"/>
    </row>
    <row r="101" spans="3:25" x14ac:dyDescent="0.3">
      <c r="C101" s="172">
        <f t="shared" si="15"/>
        <v>44000</v>
      </c>
      <c r="E101" s="286"/>
      <c r="F101" s="7"/>
      <c r="G101" s="7"/>
      <c r="H101" s="7"/>
      <c r="I101" s="7"/>
      <c r="J101" s="289"/>
      <c r="K101" s="7"/>
      <c r="L101" s="6"/>
      <c r="M101" s="477"/>
      <c r="N101" s="29"/>
      <c r="O101" s="29"/>
      <c r="P101" s="29"/>
      <c r="Q101" s="378"/>
      <c r="R101" s="6"/>
      <c r="S101" s="7"/>
      <c r="T101" s="6"/>
      <c r="U101" s="288"/>
      <c r="W101">
        <f t="shared" si="16"/>
        <v>91</v>
      </c>
      <c r="Y101" s="56"/>
    </row>
    <row r="102" spans="3:25" x14ac:dyDescent="0.3">
      <c r="C102" s="172">
        <f t="shared" si="15"/>
        <v>44001</v>
      </c>
      <c r="E102" s="286"/>
      <c r="F102" s="7"/>
      <c r="G102" s="7"/>
      <c r="H102" s="7"/>
      <c r="I102" s="7"/>
      <c r="J102" s="289"/>
      <c r="K102" s="7"/>
      <c r="L102" s="6"/>
      <c r="M102" s="477"/>
      <c r="N102" s="29"/>
      <c r="O102" s="29"/>
      <c r="P102" s="29"/>
      <c r="Q102" s="378"/>
      <c r="R102" s="6"/>
      <c r="S102" s="7"/>
      <c r="T102" s="6"/>
      <c r="U102" s="288"/>
      <c r="W102">
        <f t="shared" si="16"/>
        <v>92</v>
      </c>
      <c r="Y102" s="56"/>
    </row>
    <row r="103" spans="3:25" x14ac:dyDescent="0.3">
      <c r="C103" s="172">
        <f t="shared" si="15"/>
        <v>44002</v>
      </c>
      <c r="E103" s="286"/>
      <c r="F103" s="7"/>
      <c r="G103" s="7"/>
      <c r="H103" s="7"/>
      <c r="I103" s="7"/>
      <c r="J103" s="289"/>
      <c r="K103" s="7"/>
      <c r="L103" s="6"/>
      <c r="M103" s="477"/>
      <c r="N103" s="29"/>
      <c r="O103" s="29"/>
      <c r="P103" s="29"/>
      <c r="Q103" s="378"/>
      <c r="R103" s="6"/>
      <c r="S103" s="7"/>
      <c r="T103" s="6"/>
      <c r="U103" s="288"/>
      <c r="W103">
        <f t="shared" si="16"/>
        <v>93</v>
      </c>
      <c r="Y103" s="56"/>
    </row>
    <row r="104" spans="3:25" x14ac:dyDescent="0.3">
      <c r="C104" s="172">
        <f t="shared" si="15"/>
        <v>44003</v>
      </c>
      <c r="E104" s="286"/>
      <c r="F104" s="7"/>
      <c r="G104" s="7"/>
      <c r="H104" s="7"/>
      <c r="I104" s="7"/>
      <c r="J104" s="289"/>
      <c r="K104" s="7"/>
      <c r="L104" s="6"/>
      <c r="M104" s="477"/>
      <c r="N104" s="29"/>
      <c r="O104" s="29"/>
      <c r="P104" s="29"/>
      <c r="Q104" s="378"/>
      <c r="R104" s="6"/>
      <c r="S104" s="7"/>
      <c r="T104" s="6"/>
      <c r="U104" s="288"/>
      <c r="W104">
        <f t="shared" si="16"/>
        <v>94</v>
      </c>
      <c r="Y104" s="56"/>
    </row>
    <row r="105" spans="3:25" x14ac:dyDescent="0.3">
      <c r="C105" s="172">
        <f t="shared" si="15"/>
        <v>44004</v>
      </c>
      <c r="E105" s="286"/>
      <c r="F105" s="7"/>
      <c r="G105" s="7"/>
      <c r="H105" s="7"/>
      <c r="I105" s="7"/>
      <c r="J105" s="289"/>
      <c r="K105" s="7"/>
      <c r="L105" s="6"/>
      <c r="M105" s="477"/>
      <c r="N105" s="29"/>
      <c r="O105" s="29"/>
      <c r="P105" s="29"/>
      <c r="Q105" s="378"/>
      <c r="R105" s="6"/>
      <c r="S105" s="7"/>
      <c r="T105" s="6"/>
      <c r="U105" s="288"/>
      <c r="W105">
        <f t="shared" si="16"/>
        <v>95</v>
      </c>
      <c r="Y105" s="56"/>
    </row>
    <row r="106" spans="3:25" ht="15" thickBot="1" x14ac:dyDescent="0.35">
      <c r="C106" s="172">
        <f t="shared" si="15"/>
        <v>44005</v>
      </c>
      <c r="E106" s="290"/>
      <c r="F106" s="291"/>
      <c r="G106" s="291"/>
      <c r="H106" s="291"/>
      <c r="I106" s="291"/>
      <c r="J106" s="291"/>
      <c r="K106" s="291"/>
      <c r="L106" s="292"/>
      <c r="M106" s="293"/>
      <c r="N106" s="293"/>
      <c r="O106" s="293"/>
      <c r="P106" s="293"/>
      <c r="Q106" s="377"/>
      <c r="R106" s="292"/>
      <c r="S106" s="292"/>
      <c r="T106" s="292"/>
      <c r="U106" s="294"/>
      <c r="W106">
        <f t="shared" si="16"/>
        <v>96</v>
      </c>
      <c r="Y106" s="59">
        <f>+Y96/Y90</f>
        <v>3.0865545606755529E-2</v>
      </c>
    </row>
    <row r="107" spans="3:25" x14ac:dyDescent="0.3">
      <c r="E107" s="56"/>
      <c r="F107" s="1"/>
      <c r="G107" s="56"/>
      <c r="H107" s="56"/>
      <c r="I107" s="56"/>
      <c r="J107" s="1"/>
      <c r="K107" s="56"/>
      <c r="S107" s="56"/>
    </row>
    <row r="108" spans="3:25" x14ac:dyDescent="0.3">
      <c r="C108" s="181" t="s">
        <v>82</v>
      </c>
      <c r="E108" s="56">
        <f>+E97</f>
        <v>383324</v>
      </c>
      <c r="F108" s="56">
        <f>+F52</f>
        <v>0</v>
      </c>
      <c r="G108" s="56">
        <f t="shared" ref="G108:S108" si="17">+G97</f>
        <v>166881</v>
      </c>
      <c r="H108" s="56">
        <f t="shared" si="17"/>
        <v>0</v>
      </c>
      <c r="I108" s="56">
        <f t="shared" si="17"/>
        <v>45088</v>
      </c>
      <c r="J108" s="56">
        <f t="shared" si="17"/>
        <v>0</v>
      </c>
      <c r="K108" s="56">
        <f t="shared" si="17"/>
        <v>595293</v>
      </c>
      <c r="L108" s="56">
        <f t="shared" si="17"/>
        <v>0</v>
      </c>
      <c r="M108" s="56">
        <f t="shared" si="17"/>
        <v>1.7905554929160308E-3</v>
      </c>
      <c r="N108" s="56">
        <f t="shared" si="17"/>
        <v>0</v>
      </c>
      <c r="O108" s="56">
        <f t="shared" si="17"/>
        <v>0</v>
      </c>
      <c r="P108" s="56">
        <f t="shared" si="17"/>
        <v>0</v>
      </c>
      <c r="Q108" s="56">
        <f t="shared" si="17"/>
        <v>1064</v>
      </c>
      <c r="R108" s="56">
        <f t="shared" si="17"/>
        <v>0</v>
      </c>
      <c r="S108" s="56">
        <f t="shared" si="17"/>
        <v>47685</v>
      </c>
      <c r="T108" s="56">
        <f>+T60</f>
        <v>0</v>
      </c>
    </row>
    <row r="109" spans="3:25" x14ac:dyDescent="0.3">
      <c r="E109" s="56"/>
      <c r="G109" s="56"/>
      <c r="H109" s="56"/>
      <c r="I109" s="56"/>
      <c r="J109" s="56"/>
      <c r="K109" s="56"/>
      <c r="L109" s="56"/>
      <c r="M109" s="59"/>
      <c r="N109" s="56"/>
      <c r="O109" s="56"/>
      <c r="P109" s="56"/>
      <c r="Q109" s="56"/>
      <c r="R109" s="56"/>
      <c r="S109" s="56"/>
    </row>
    <row r="110" spans="3:25" x14ac:dyDescent="0.3">
      <c r="E110" s="59"/>
      <c r="K110" s="1"/>
    </row>
    <row r="111" spans="3:25" x14ac:dyDescent="0.3">
      <c r="C111" s="123"/>
      <c r="D111" s="124"/>
      <c r="E111" s="395"/>
      <c r="F111" s="10"/>
      <c r="G111" s="10"/>
      <c r="H111" s="10"/>
      <c r="I111" s="61"/>
      <c r="J111" s="10"/>
      <c r="K111" s="10"/>
      <c r="L111" s="10"/>
      <c r="M111" s="10"/>
      <c r="N111" s="10"/>
      <c r="O111" s="10"/>
      <c r="P111" s="10"/>
      <c r="Q111" s="395"/>
      <c r="R111" s="10"/>
      <c r="S111" s="10"/>
    </row>
    <row r="112" spans="3:25" x14ac:dyDescent="0.3">
      <c r="E112" s="56"/>
      <c r="K112" s="56"/>
      <c r="Q112" s="56"/>
    </row>
    <row r="113" spans="3:41" x14ac:dyDescent="0.3">
      <c r="Q113" s="56"/>
      <c r="S113" s="59"/>
    </row>
    <row r="116" spans="3:41" x14ac:dyDescent="0.3">
      <c r="AO116" s="1">
        <v>3797000</v>
      </c>
    </row>
    <row r="117" spans="3:41" x14ac:dyDescent="0.3">
      <c r="C117" s="1"/>
    </row>
    <row r="118" spans="3:41" x14ac:dyDescent="0.3">
      <c r="C118" s="1"/>
      <c r="AO118" s="1">
        <v>30000</v>
      </c>
    </row>
    <row r="119" spans="3:41" x14ac:dyDescent="0.3">
      <c r="C119" s="59"/>
    </row>
    <row r="120" spans="3:41" x14ac:dyDescent="0.3">
      <c r="AO120" s="279">
        <f>+AO118/AO116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28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42" t="s">
        <v>115</v>
      </c>
      <c r="T3" s="543"/>
      <c r="U3" s="543"/>
      <c r="V3" s="543"/>
      <c r="W3" s="543"/>
      <c r="X3" s="543"/>
      <c r="Y3" s="543"/>
      <c r="Z3" s="543"/>
      <c r="AA3" s="543"/>
      <c r="AB3" s="543"/>
      <c r="AC3" s="544"/>
    </row>
    <row r="4" spans="2:29" ht="15.6" x14ac:dyDescent="0.3">
      <c r="B4" s="258"/>
      <c r="C4" s="258"/>
      <c r="D4" s="168"/>
      <c r="S4" s="295"/>
      <c r="T4" s="482" t="s">
        <v>79</v>
      </c>
      <c r="U4" s="6"/>
      <c r="V4" s="482" t="s">
        <v>107</v>
      </c>
      <c r="W4" s="5"/>
      <c r="X4" s="482" t="s">
        <v>108</v>
      </c>
      <c r="Y4" s="5"/>
      <c r="Z4" s="482" t="s">
        <v>74</v>
      </c>
      <c r="AA4" s="6"/>
      <c r="AB4" s="296" t="s">
        <v>15</v>
      </c>
      <c r="AC4" s="297"/>
    </row>
    <row r="5" spans="2:29" ht="15.6" x14ac:dyDescent="0.3">
      <c r="B5" s="258"/>
      <c r="C5" t="s">
        <v>93</v>
      </c>
      <c r="D5" s="168"/>
      <c r="E5" t="s">
        <v>94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95</v>
      </c>
      <c r="F6" t="s">
        <v>112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96</v>
      </c>
      <c r="F7" t="s">
        <v>98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97</v>
      </c>
      <c r="F8" t="s">
        <v>113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5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99</v>
      </c>
      <c r="D10" s="171"/>
      <c r="E10" t="s">
        <v>102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95</v>
      </c>
      <c r="F11" t="s">
        <v>100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96</v>
      </c>
      <c r="F12" t="s">
        <v>101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0.14001426361981439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103</v>
      </c>
      <c r="D14" s="171"/>
      <c r="E14" t="s">
        <v>104</v>
      </c>
      <c r="S14" s="295"/>
      <c r="T14" s="298">
        <f t="shared" si="1"/>
        <v>43959</v>
      </c>
      <c r="U14" s="6"/>
      <c r="V14" s="299">
        <v>452043</v>
      </c>
      <c r="W14" s="6"/>
      <c r="X14" s="44">
        <f>+L38</f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5" t="s">
        <v>105</v>
      </c>
      <c r="F15" s="545"/>
      <c r="G15" s="545"/>
      <c r="H15" s="545"/>
      <c r="I15" s="545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5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51" t="s">
        <v>46</v>
      </c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3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4" t="s">
        <v>76</v>
      </c>
      <c r="F19" s="554"/>
      <c r="G19" s="554"/>
      <c r="H19" s="554"/>
      <c r="I19" s="147" t="s">
        <v>75</v>
      </c>
      <c r="J19" s="148"/>
      <c r="K19" s="559" t="s">
        <v>73</v>
      </c>
      <c r="L19" s="559"/>
      <c r="M19" s="141"/>
      <c r="N19" s="145" t="s">
        <v>74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Table'!H83</f>
        <v>1876117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:Z51" si="2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Table'!Z103</f>
        <v>117853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si="2"/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16704</v>
      </c>
      <c r="J22" s="129"/>
      <c r="K22" s="140"/>
      <c r="L22" s="283">
        <v>16827</v>
      </c>
      <c r="M22" s="140"/>
      <c r="N22" s="160">
        <f>+(I22-L22)/I22</f>
        <v>-7.3635057471264365E-3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si="2"/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1741560</v>
      </c>
      <c r="J23" s="129"/>
      <c r="K23" s="140"/>
      <c r="L23" s="140"/>
      <c r="M23" s="140"/>
      <c r="N23" s="140"/>
      <c r="O23" s="136"/>
      <c r="P23" s="113"/>
      <c r="Q23" s="113"/>
      <c r="R23" s="476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si="2"/>
        <v>9746</v>
      </c>
      <c r="AA23" s="6"/>
      <c r="AB23" s="304"/>
      <c r="AC23" s="297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Table'!AO103</f>
        <v>867849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si="2"/>
        <v>4718</v>
      </c>
      <c r="AA24" s="6"/>
      <c r="AB24" s="304"/>
      <c r="AC24" s="297"/>
    </row>
    <row r="25" spans="3:29" x14ac:dyDescent="0.3">
      <c r="C25" s="1"/>
      <c r="D25" s="555" t="s">
        <v>49</v>
      </c>
      <c r="E25" s="556"/>
      <c r="F25" s="556"/>
      <c r="G25" s="556"/>
      <c r="H25" s="556"/>
      <c r="I25" s="132">
        <f>+I23-I24</f>
        <v>873711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si="2"/>
        <v>3530</v>
      </c>
      <c r="AA25" s="6"/>
      <c r="AB25" s="304"/>
      <c r="AC25" s="297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867849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si="2"/>
        <v>2829</v>
      </c>
      <c r="AA26" s="6"/>
      <c r="AB26" s="304"/>
      <c r="AC26" s="297"/>
    </row>
    <row r="27" spans="3:29" ht="15" thickBot="1" x14ac:dyDescent="0.35">
      <c r="C27" s="1"/>
      <c r="D27" s="555" t="s">
        <v>46</v>
      </c>
      <c r="E27" s="556"/>
      <c r="F27" s="556"/>
      <c r="G27" s="556"/>
      <c r="H27" s="556"/>
      <c r="I27" s="149">
        <f>+I25+I26</f>
        <v>1741560</v>
      </c>
      <c r="J27" s="129"/>
      <c r="K27" s="560">
        <v>1719610</v>
      </c>
      <c r="L27" s="560"/>
      <c r="M27" s="140"/>
      <c r="N27" s="150">
        <f>+I27-K27</f>
        <v>21950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si="2"/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7" t="s">
        <v>70</v>
      </c>
      <c r="F28" s="557"/>
      <c r="G28" s="557"/>
      <c r="H28" s="137"/>
      <c r="I28" s="276">
        <f>+I27/I32</f>
        <v>0.80547826601743455</v>
      </c>
      <c r="J28" s="140"/>
      <c r="K28" s="140"/>
      <c r="L28" s="140"/>
      <c r="M28" s="110"/>
      <c r="N28" s="162">
        <f>+N27/K27</f>
        <v>1.2764522188170573E-2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si="2"/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si="2"/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2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si="2"/>
        <v>710</v>
      </c>
      <c r="AA30" s="6"/>
      <c r="AB30" s="304"/>
      <c r="AC30" s="297"/>
    </row>
    <row r="31" spans="3:29" ht="16.2" thickBot="1" x14ac:dyDescent="0.35">
      <c r="C31" s="90"/>
      <c r="D31" s="274"/>
      <c r="E31" s="566" t="s">
        <v>115</v>
      </c>
      <c r="F31" s="567"/>
      <c r="G31" s="567"/>
      <c r="H31" s="567"/>
      <c r="I31" s="567"/>
      <c r="J31" s="568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si="2"/>
        <v>-1594</v>
      </c>
      <c r="AA31" s="6"/>
      <c r="AB31" s="304"/>
      <c r="AC31" s="297"/>
    </row>
    <row r="32" spans="3:29" x14ac:dyDescent="0.3">
      <c r="C32" s="10"/>
      <c r="D32" s="261"/>
      <c r="E32" s="262" t="s">
        <v>89</v>
      </c>
      <c r="F32" s="24"/>
      <c r="G32" s="24"/>
      <c r="H32" s="24"/>
      <c r="I32" s="561">
        <f>+'Main Table'!H103</f>
        <v>2162144</v>
      </c>
      <c r="J32" s="561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si="2"/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si="2"/>
        <v>1152</v>
      </c>
      <c r="AA33" s="6"/>
      <c r="AB33" s="304"/>
      <c r="AC33" s="297"/>
    </row>
    <row r="34" spans="3:29" x14ac:dyDescent="0.3">
      <c r="D34" s="264"/>
      <c r="E34" s="22"/>
      <c r="F34" s="265" t="s">
        <v>114</v>
      </c>
      <c r="G34" s="265"/>
      <c r="H34" s="22"/>
      <c r="I34" s="562">
        <f>+I27</f>
        <v>1741560</v>
      </c>
      <c r="J34" s="563"/>
      <c r="K34" s="22"/>
      <c r="L34" s="25">
        <f>+I34/$I$32</f>
        <v>0.80547826601743455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si="2"/>
        <v>4551</v>
      </c>
      <c r="AA34" s="6"/>
      <c r="AB34" s="304"/>
      <c r="AC34" s="297"/>
    </row>
    <row r="35" spans="3:29" x14ac:dyDescent="0.3">
      <c r="D35" s="264"/>
      <c r="E35" s="22"/>
      <c r="F35" s="22" t="s">
        <v>90</v>
      </c>
      <c r="G35" s="22"/>
      <c r="H35" s="22"/>
      <c r="I35" s="569">
        <f>+I21</f>
        <v>117853</v>
      </c>
      <c r="J35" s="570"/>
      <c r="K35" s="22"/>
      <c r="L35" s="25">
        <f>+I35/$I$32</f>
        <v>5.4507470362751047E-2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si="2"/>
        <v>1662</v>
      </c>
      <c r="AA35" s="6"/>
      <c r="AB35" s="304"/>
      <c r="AC35" s="297"/>
    </row>
    <row r="36" spans="3:29" ht="15" thickBot="1" x14ac:dyDescent="0.35">
      <c r="D36" s="264"/>
      <c r="E36" s="558" t="s">
        <v>115</v>
      </c>
      <c r="F36" s="558"/>
      <c r="G36" s="558"/>
      <c r="H36" s="277"/>
      <c r="I36" s="564">
        <f>+I32-I34-I35</f>
        <v>302731</v>
      </c>
      <c r="J36" s="565"/>
      <c r="K36" s="305"/>
      <c r="L36" s="278">
        <f>+I36/$I$32</f>
        <v>0.14001426361981439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si="2"/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5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si="2"/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si="2"/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si="2"/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si="2"/>
        <v>7900</v>
      </c>
      <c r="AA40" s="6"/>
      <c r="AB40" s="304"/>
      <c r="AC40" s="297"/>
    </row>
    <row r="41" spans="3:29" ht="15" thickBot="1" x14ac:dyDescent="0.35">
      <c r="D41" s="546" t="s">
        <v>128</v>
      </c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8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si="2"/>
        <v>1641</v>
      </c>
      <c r="AA41" s="6"/>
      <c r="AB41" s="304"/>
      <c r="AC41" s="297"/>
    </row>
    <row r="42" spans="3:29" ht="15" thickBot="1" x14ac:dyDescent="0.35">
      <c r="D42" s="323"/>
      <c r="E42" s="549" t="s">
        <v>76</v>
      </c>
      <c r="F42" s="549"/>
      <c r="G42" s="549"/>
      <c r="H42" s="549"/>
      <c r="I42" s="306" t="s">
        <v>75</v>
      </c>
      <c r="J42" s="307"/>
      <c r="K42" s="550" t="s">
        <v>37</v>
      </c>
      <c r="L42" s="550"/>
      <c r="M42" s="308"/>
      <c r="N42" s="309" t="s">
        <v>74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si="2"/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si="2"/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si="2"/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v>301795</v>
      </c>
      <c r="W45" s="6"/>
      <c r="X45" s="44">
        <v>0.15</v>
      </c>
      <c r="Y45" s="6"/>
      <c r="Z45" s="300">
        <f t="shared" si="2"/>
        <v>3</v>
      </c>
      <c r="AA45" s="6"/>
      <c r="AB45" s="304"/>
      <c r="AC45" s="297"/>
    </row>
    <row r="46" spans="3:29" x14ac:dyDescent="0.3">
      <c r="D46" s="325"/>
      <c r="E46" s="310"/>
      <c r="F46" s="314" t="s">
        <v>71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>
        <v>300305</v>
      </c>
      <c r="W46" s="6"/>
      <c r="X46" s="44">
        <v>0.14799999999999999</v>
      </c>
      <c r="Y46" s="6"/>
      <c r="Z46" s="300">
        <f t="shared" si="2"/>
        <v>1490</v>
      </c>
      <c r="AA46" s="6"/>
      <c r="AB46" s="304"/>
      <c r="AC46" s="297"/>
    </row>
    <row r="47" spans="3:29" x14ac:dyDescent="0.3">
      <c r="D47" s="325"/>
      <c r="E47" s="310" t="s">
        <v>78</v>
      </c>
      <c r="F47" s="312"/>
      <c r="G47" s="312"/>
      <c r="H47" s="312"/>
      <c r="I47" s="384">
        <f>+'Main Table'!AO120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>
        <v>298430</v>
      </c>
      <c r="W47" s="6"/>
      <c r="X47" s="44">
        <v>0.14599999999999999</v>
      </c>
      <c r="Y47" s="6"/>
      <c r="Z47" s="300">
        <f t="shared" si="2"/>
        <v>1875</v>
      </c>
      <c r="AA47" s="6"/>
      <c r="AB47" s="304"/>
      <c r="AC47" s="297"/>
    </row>
    <row r="48" spans="3:29" x14ac:dyDescent="0.3">
      <c r="D48" s="572" t="s">
        <v>49</v>
      </c>
      <c r="E48" s="573"/>
      <c r="F48" s="573"/>
      <c r="G48" s="573"/>
      <c r="H48" s="573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>
        <v>296204</v>
      </c>
      <c r="W48" s="6"/>
      <c r="X48" s="44">
        <v>0.14199999999999999</v>
      </c>
      <c r="Y48" s="6"/>
      <c r="Z48" s="300">
        <f t="shared" si="2"/>
        <v>2226</v>
      </c>
      <c r="AA48" s="6"/>
      <c r="AB48" s="304"/>
      <c r="AC48" s="297"/>
    </row>
    <row r="49" spans="4:29" x14ac:dyDescent="0.3">
      <c r="D49" s="325"/>
      <c r="E49" s="310" t="s">
        <v>72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>
        <v>300135</v>
      </c>
      <c r="W49" s="6"/>
      <c r="X49" s="44">
        <v>0.14199999999999999</v>
      </c>
      <c r="Y49" s="6"/>
      <c r="Z49" s="300">
        <f t="shared" si="2"/>
        <v>-3931</v>
      </c>
      <c r="AA49" s="6"/>
      <c r="AB49" s="304"/>
      <c r="AC49" s="297"/>
    </row>
    <row r="50" spans="4:29" ht="15" thickBot="1" x14ac:dyDescent="0.35">
      <c r="D50" s="572" t="s">
        <v>46</v>
      </c>
      <c r="E50" s="573"/>
      <c r="F50" s="573"/>
      <c r="G50" s="573"/>
      <c r="H50" s="573"/>
      <c r="I50" s="386">
        <f>+I48+I49</f>
        <v>22172</v>
      </c>
      <c r="J50" s="382"/>
      <c r="K50" s="574">
        <v>30167</v>
      </c>
      <c r="L50" s="574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>
        <v>305087</v>
      </c>
      <c r="W50" s="6"/>
      <c r="X50" s="44">
        <v>0.14199999999999999</v>
      </c>
      <c r="Y50" s="6"/>
      <c r="Z50" s="300">
        <f t="shared" si="2"/>
        <v>-4952</v>
      </c>
      <c r="AA50" s="6"/>
      <c r="AB50" s="304"/>
      <c r="AC50" s="297"/>
    </row>
    <row r="51" spans="4:29" ht="15.6" thickTop="1" thickBot="1" x14ac:dyDescent="0.35">
      <c r="D51" s="316"/>
      <c r="E51" s="575" t="s">
        <v>70</v>
      </c>
      <c r="F51" s="575"/>
      <c r="G51" s="575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295"/>
      <c r="T51" s="298">
        <f>+T50+1</f>
        <v>43996</v>
      </c>
      <c r="U51" s="6"/>
      <c r="V51" s="299">
        <f>+I$36</f>
        <v>302731</v>
      </c>
      <c r="W51" s="6"/>
      <c r="X51" s="44">
        <f>+L$36</f>
        <v>0.14001426361981439</v>
      </c>
      <c r="Y51" s="6"/>
      <c r="Z51" s="300">
        <f t="shared" si="2"/>
        <v>2356</v>
      </c>
      <c r="AA51" s="6"/>
      <c r="AB51" s="304"/>
      <c r="AC51" s="297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  <c r="S52" s="295"/>
      <c r="T52" s="298">
        <f t="shared" ref="T52:T60" si="3">+T51+1</f>
        <v>43997</v>
      </c>
      <c r="U52" s="6"/>
      <c r="V52" s="299"/>
      <c r="W52" s="6"/>
      <c r="X52" s="44"/>
      <c r="Y52" s="6"/>
      <c r="Z52" s="300"/>
      <c r="AA52" s="6"/>
      <c r="AB52" s="304"/>
      <c r="AC52" s="297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S53" s="295"/>
      <c r="T53" s="298">
        <f t="shared" si="3"/>
        <v>43998</v>
      </c>
      <c r="U53" s="6"/>
      <c r="V53" s="299"/>
      <c r="W53" s="6"/>
      <c r="X53" s="44"/>
      <c r="Y53" s="6"/>
      <c r="Z53" s="300"/>
      <c r="AA53" s="6"/>
      <c r="AB53" s="304"/>
      <c r="AC53" s="297"/>
    </row>
    <row r="54" spans="4:29" ht="16.2" thickBot="1" x14ac:dyDescent="0.35">
      <c r="D54" s="363"/>
      <c r="E54" s="538" t="s">
        <v>129</v>
      </c>
      <c r="F54" s="539"/>
      <c r="G54" s="539"/>
      <c r="H54" s="539"/>
      <c r="I54" s="539"/>
      <c r="J54" s="540"/>
      <c r="K54" s="364"/>
      <c r="L54" s="367" t="s">
        <v>10</v>
      </c>
      <c r="M54" s="366"/>
      <c r="N54" s="110"/>
      <c r="O54" s="110"/>
      <c r="P54" s="61"/>
      <c r="Q54" s="61"/>
      <c r="S54" s="295"/>
      <c r="T54" s="298">
        <f t="shared" si="3"/>
        <v>43999</v>
      </c>
      <c r="U54" s="6"/>
      <c r="V54" s="299"/>
      <c r="W54" s="6"/>
      <c r="X54" s="44"/>
      <c r="Y54" s="6"/>
      <c r="Z54" s="300"/>
      <c r="AA54" s="6"/>
      <c r="AB54" s="304"/>
      <c r="AC54" s="297"/>
    </row>
    <row r="55" spans="4:29" x14ac:dyDescent="0.3">
      <c r="D55" s="325"/>
      <c r="E55" s="357" t="s">
        <v>89</v>
      </c>
      <c r="F55" s="312"/>
      <c r="G55" s="312"/>
      <c r="H55" s="312"/>
      <c r="I55" s="576">
        <f>+K50</f>
        <v>30167</v>
      </c>
      <c r="J55" s="576"/>
      <c r="K55" s="312"/>
      <c r="L55" s="358">
        <f>+I55/$I$55</f>
        <v>1</v>
      </c>
      <c r="M55" s="365"/>
      <c r="N55" s="110"/>
      <c r="O55" s="110"/>
      <c r="P55" s="61"/>
      <c r="Q55" s="61"/>
      <c r="S55" s="295"/>
      <c r="T55" s="298">
        <f t="shared" si="3"/>
        <v>44000</v>
      </c>
      <c r="U55" s="6"/>
      <c r="V55" s="299"/>
      <c r="W55" s="6"/>
      <c r="X55" s="44"/>
      <c r="Y55" s="6"/>
      <c r="Z55" s="300"/>
      <c r="AA55" s="6"/>
      <c r="AB55" s="304"/>
      <c r="AC55" s="297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  <c r="S56" s="295"/>
      <c r="T56" s="298">
        <f t="shared" si="3"/>
        <v>44001</v>
      </c>
      <c r="U56" s="6"/>
      <c r="V56" s="299"/>
      <c r="W56" s="6"/>
      <c r="X56" s="44"/>
      <c r="Y56" s="6"/>
      <c r="Z56" s="300"/>
      <c r="AA56" s="6"/>
      <c r="AB56" s="304"/>
      <c r="AC56" s="297"/>
    </row>
    <row r="57" spans="4:29" x14ac:dyDescent="0.3">
      <c r="D57" s="316"/>
      <c r="E57" s="313"/>
      <c r="F57" s="359" t="s">
        <v>114</v>
      </c>
      <c r="G57" s="359"/>
      <c r="H57" s="313"/>
      <c r="I57" s="577">
        <f>+I50</f>
        <v>22172</v>
      </c>
      <c r="J57" s="578"/>
      <c r="K57" s="313"/>
      <c r="L57" s="358">
        <f>+I57/$I$55</f>
        <v>0.73497530414028578</v>
      </c>
      <c r="M57" s="317"/>
      <c r="N57" s="110"/>
      <c r="O57" s="110"/>
      <c r="P57" s="61"/>
      <c r="Q57" s="61"/>
      <c r="S57" s="295"/>
      <c r="T57" s="298">
        <f t="shared" si="3"/>
        <v>44002</v>
      </c>
      <c r="U57" s="6"/>
      <c r="V57" s="299"/>
      <c r="W57" s="6"/>
      <c r="X57" s="44"/>
      <c r="Y57" s="6"/>
      <c r="Z57" s="300"/>
      <c r="AA57" s="6"/>
      <c r="AB57" s="304"/>
      <c r="AC57" s="297"/>
    </row>
    <row r="58" spans="4:29" x14ac:dyDescent="0.3">
      <c r="D58" s="316"/>
      <c r="E58" s="313"/>
      <c r="F58" s="313" t="s">
        <v>90</v>
      </c>
      <c r="G58" s="313"/>
      <c r="H58" s="313"/>
      <c r="I58" s="579">
        <f>+I44</f>
        <v>1836</v>
      </c>
      <c r="J58" s="580"/>
      <c r="K58" s="313"/>
      <c r="L58" s="358">
        <f>+I58/$I$55</f>
        <v>6.0861205953525378E-2</v>
      </c>
      <c r="M58" s="317"/>
      <c r="N58" s="110"/>
      <c r="O58" s="110"/>
      <c r="P58" s="61"/>
      <c r="Q58" s="61"/>
      <c r="S58" s="295"/>
      <c r="T58" s="298">
        <f t="shared" si="3"/>
        <v>44003</v>
      </c>
      <c r="U58" s="6"/>
      <c r="V58" s="299"/>
      <c r="W58" s="6"/>
      <c r="X58" s="44"/>
      <c r="Y58" s="6"/>
      <c r="Z58" s="300"/>
      <c r="AA58" s="6"/>
      <c r="AB58" s="304"/>
      <c r="AC58" s="297"/>
    </row>
    <row r="59" spans="4:29" ht="15" thickBot="1" x14ac:dyDescent="0.35">
      <c r="D59" s="316"/>
      <c r="E59" s="581" t="s">
        <v>115</v>
      </c>
      <c r="F59" s="581"/>
      <c r="G59" s="581"/>
      <c r="H59" s="313"/>
      <c r="I59" s="541">
        <f>+I55-I57-I58</f>
        <v>6159</v>
      </c>
      <c r="J59" s="582"/>
      <c r="K59" s="360"/>
      <c r="L59" s="361">
        <f>+I59/$I$55</f>
        <v>0.20416348990618888</v>
      </c>
      <c r="M59" s="317"/>
      <c r="N59" s="110"/>
      <c r="O59" s="110"/>
      <c r="P59" s="158"/>
      <c r="Q59" s="158"/>
      <c r="S59" s="295"/>
      <c r="T59" s="298">
        <f t="shared" si="3"/>
        <v>44004</v>
      </c>
      <c r="U59" s="6"/>
      <c r="V59" s="299"/>
      <c r="W59" s="6"/>
      <c r="X59" s="44"/>
      <c r="Y59" s="6"/>
      <c r="Z59" s="300"/>
      <c r="AA59" s="6"/>
      <c r="AB59" s="304"/>
      <c r="AC59" s="297"/>
    </row>
    <row r="60" spans="4:29" ht="15" thickTop="1" x14ac:dyDescent="0.3">
      <c r="D60" s="316"/>
      <c r="E60" s="470"/>
      <c r="F60" s="470" t="s">
        <v>130</v>
      </c>
      <c r="G60" s="470"/>
      <c r="H60" s="313"/>
      <c r="I60" s="583">
        <f>+I45</f>
        <v>1397</v>
      </c>
      <c r="J60" s="583"/>
      <c r="K60" s="360"/>
      <c r="L60" s="380"/>
      <c r="M60" s="317"/>
      <c r="N60" s="110"/>
      <c r="O60" s="110"/>
      <c r="P60" s="158"/>
      <c r="Q60" s="158"/>
      <c r="S60" s="295"/>
      <c r="T60" s="298">
        <f t="shared" si="3"/>
        <v>44005</v>
      </c>
      <c r="U60" s="6"/>
      <c r="V60" s="299"/>
      <c r="W60" s="6"/>
      <c r="X60" s="44"/>
      <c r="Y60" s="6"/>
      <c r="Z60" s="300"/>
      <c r="AA60" s="6"/>
      <c r="AB60" s="304"/>
      <c r="AC60" s="297"/>
    </row>
    <row r="61" spans="4:29" ht="15" thickBot="1" x14ac:dyDescent="0.35">
      <c r="D61" s="316"/>
      <c r="E61" s="379"/>
      <c r="F61" s="379" t="s">
        <v>131</v>
      </c>
      <c r="G61" s="379"/>
      <c r="H61" s="313"/>
      <c r="I61" s="541">
        <f>+I59-I60</f>
        <v>4762</v>
      </c>
      <c r="J61" s="541"/>
      <c r="K61" s="360"/>
      <c r="L61" s="361">
        <f>+I61/K50</f>
        <v>0.15785460934133325</v>
      </c>
      <c r="M61" s="317"/>
      <c r="N61" s="110"/>
      <c r="O61" s="110"/>
      <c r="P61" s="61"/>
      <c r="Q61" s="61"/>
      <c r="S61" s="301"/>
      <c r="T61" s="396">
        <f>+T60+1</f>
        <v>44006</v>
      </c>
      <c r="U61" s="292"/>
      <c r="V61" s="397"/>
      <c r="W61" s="292"/>
      <c r="X61" s="302"/>
      <c r="Y61" s="292"/>
      <c r="Z61" s="398"/>
      <c r="AA61" s="292"/>
      <c r="AB61" s="399"/>
      <c r="AC61" s="303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8" t="s">
        <v>118</v>
      </c>
      <c r="F64" s="539"/>
      <c r="G64" s="539"/>
      <c r="H64" s="539"/>
      <c r="I64" s="539"/>
      <c r="J64" s="539"/>
      <c r="K64" s="539"/>
      <c r="L64" s="539"/>
      <c r="M64" s="540"/>
      <c r="P64" s="373"/>
      <c r="Q64" s="373"/>
    </row>
    <row r="65" spans="4:18" x14ac:dyDescent="0.3">
      <c r="E65" s="368"/>
      <c r="F65" s="321" t="s">
        <v>110</v>
      </c>
      <c r="G65" s="321"/>
      <c r="H65" s="321"/>
      <c r="I65" s="571">
        <v>11690000</v>
      </c>
      <c r="J65" s="571"/>
      <c r="K65" s="571"/>
      <c r="L65" s="571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111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7" t="s">
        <v>109</v>
      </c>
      <c r="G67" s="537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600" t="s">
        <v>132</v>
      </c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2"/>
    </row>
    <row r="73" spans="4:18" ht="15" thickBot="1" x14ac:dyDescent="0.35">
      <c r="D73" s="400"/>
      <c r="E73" s="603" t="s">
        <v>76</v>
      </c>
      <c r="F73" s="603"/>
      <c r="G73" s="603"/>
      <c r="H73" s="603"/>
      <c r="I73" s="401" t="s">
        <v>75</v>
      </c>
      <c r="J73" s="402"/>
      <c r="K73" s="604" t="s">
        <v>37</v>
      </c>
      <c r="L73" s="604"/>
      <c r="M73" s="403"/>
      <c r="N73" s="404" t="s">
        <v>74</v>
      </c>
      <c r="O73" s="405"/>
    </row>
    <row r="74" spans="4:18" x14ac:dyDescent="0.3">
      <c r="D74" s="406"/>
      <c r="E74" s="407" t="s">
        <v>43</v>
      </c>
      <c r="F74" s="408"/>
      <c r="G74" s="407"/>
      <c r="H74" s="407"/>
      <c r="I74" s="409">
        <v>38828</v>
      </c>
      <c r="J74" s="409"/>
      <c r="K74" s="410"/>
      <c r="L74" s="410"/>
      <c r="M74" s="410"/>
      <c r="N74" s="410"/>
      <c r="O74" s="411"/>
    </row>
    <row r="75" spans="4:18" x14ac:dyDescent="0.3">
      <c r="D75" s="406"/>
      <c r="E75" s="407" t="s">
        <v>44</v>
      </c>
      <c r="F75" s="407" t="s">
        <v>4</v>
      </c>
      <c r="G75" s="407"/>
      <c r="H75" s="407"/>
      <c r="I75" s="409">
        <v>2144</v>
      </c>
      <c r="J75" s="409"/>
      <c r="K75" s="410"/>
      <c r="L75" s="410"/>
      <c r="M75" s="410"/>
      <c r="N75" s="410"/>
      <c r="O75" s="411"/>
    </row>
    <row r="76" spans="4:18" x14ac:dyDescent="0.3">
      <c r="D76" s="406"/>
      <c r="E76" s="407"/>
      <c r="F76" s="407" t="s">
        <v>45</v>
      </c>
      <c r="G76" s="407"/>
      <c r="H76" s="407"/>
      <c r="I76" s="412"/>
      <c r="J76" s="409"/>
      <c r="K76" s="410"/>
      <c r="L76" s="409"/>
      <c r="M76" s="410"/>
      <c r="N76" s="413"/>
      <c r="O76" s="411"/>
    </row>
    <row r="77" spans="4:18" x14ac:dyDescent="0.3">
      <c r="D77" s="406"/>
      <c r="E77" s="407"/>
      <c r="F77" s="414" t="s">
        <v>71</v>
      </c>
      <c r="G77" s="414"/>
      <c r="H77" s="414"/>
      <c r="I77" s="409">
        <f>+I74-I75-I76</f>
        <v>36684</v>
      </c>
      <c r="J77" s="409"/>
      <c r="K77" s="410"/>
      <c r="L77" s="410"/>
      <c r="M77" s="410"/>
      <c r="N77" s="410"/>
      <c r="O77" s="411"/>
    </row>
    <row r="78" spans="4:18" x14ac:dyDescent="0.3">
      <c r="D78" s="406"/>
      <c r="E78" s="407" t="s">
        <v>78</v>
      </c>
      <c r="F78" s="16"/>
      <c r="G78" s="16"/>
      <c r="H78" s="16"/>
      <c r="I78" s="412">
        <f>+'Main Table'!AO150</f>
        <v>0</v>
      </c>
      <c r="J78" s="409"/>
      <c r="K78" s="410"/>
      <c r="L78" s="410"/>
      <c r="M78" s="410"/>
      <c r="N78" s="410"/>
      <c r="O78" s="411"/>
    </row>
    <row r="79" spans="4:18" x14ac:dyDescent="0.3">
      <c r="D79" s="605" t="s">
        <v>49</v>
      </c>
      <c r="E79" s="606"/>
      <c r="F79" s="606"/>
      <c r="G79" s="606"/>
      <c r="H79" s="606"/>
      <c r="I79" s="415">
        <f>+I77-I78</f>
        <v>36684</v>
      </c>
      <c r="J79" s="409"/>
      <c r="K79" s="410"/>
      <c r="L79" s="410"/>
      <c r="M79" s="410"/>
      <c r="N79" s="410"/>
      <c r="O79" s="411"/>
    </row>
    <row r="80" spans="4:18" x14ac:dyDescent="0.3">
      <c r="D80" s="406"/>
      <c r="E80" s="407" t="s">
        <v>72</v>
      </c>
      <c r="F80" s="16"/>
      <c r="G80" s="16"/>
      <c r="H80" s="16"/>
      <c r="I80" s="412">
        <f>+I78</f>
        <v>0</v>
      </c>
      <c r="J80" s="409"/>
      <c r="K80" s="410"/>
      <c r="L80" s="410"/>
      <c r="M80" s="410"/>
      <c r="N80" s="410"/>
      <c r="O80" s="411"/>
    </row>
    <row r="81" spans="4:18" ht="15" thickBot="1" x14ac:dyDescent="0.35">
      <c r="D81" s="605" t="s">
        <v>46</v>
      </c>
      <c r="E81" s="606"/>
      <c r="F81" s="606"/>
      <c r="G81" s="606"/>
      <c r="H81" s="606"/>
      <c r="I81" s="416">
        <f>+I79+I80</f>
        <v>36684</v>
      </c>
      <c r="J81" s="409"/>
      <c r="K81" s="608">
        <v>48675</v>
      </c>
      <c r="L81" s="608"/>
      <c r="M81" s="410"/>
      <c r="N81" s="417">
        <f>+K81-I81</f>
        <v>11991</v>
      </c>
      <c r="O81" s="411"/>
      <c r="R81" s="57"/>
    </row>
    <row r="82" spans="4:18" ht="15.6" thickTop="1" thickBot="1" x14ac:dyDescent="0.35">
      <c r="D82" s="418"/>
      <c r="E82" s="607" t="s">
        <v>70</v>
      </c>
      <c r="F82" s="607"/>
      <c r="G82" s="607"/>
      <c r="H82" s="414"/>
      <c r="I82" s="419">
        <f>+I81/K81</f>
        <v>0.75365177195685673</v>
      </c>
      <c r="J82" s="410"/>
      <c r="K82" s="410"/>
      <c r="L82" s="410"/>
      <c r="M82" s="410"/>
      <c r="N82" s="420">
        <f>+N81/K81</f>
        <v>0.2463482280431433</v>
      </c>
      <c r="O82" s="411"/>
    </row>
    <row r="83" spans="4:18" ht="15.6" thickTop="1" thickBot="1" x14ac:dyDescent="0.35">
      <c r="D83" s="421"/>
      <c r="E83" s="422"/>
      <c r="F83" s="422"/>
      <c r="G83" s="422"/>
      <c r="H83" s="422"/>
      <c r="I83" s="423"/>
      <c r="J83" s="424"/>
      <c r="K83" s="425"/>
      <c r="L83" s="425"/>
      <c r="M83" s="425"/>
      <c r="N83" s="425"/>
      <c r="O83" s="426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7"/>
      <c r="E85" s="584" t="s">
        <v>133</v>
      </c>
      <c r="F85" s="585"/>
      <c r="G85" s="585"/>
      <c r="H85" s="585"/>
      <c r="I85" s="585"/>
      <c r="J85" s="586"/>
      <c r="K85" s="428"/>
      <c r="L85" s="440" t="s">
        <v>10</v>
      </c>
      <c r="M85" s="429"/>
      <c r="N85" s="110"/>
      <c r="O85" s="110"/>
    </row>
    <row r="86" spans="4:18" x14ac:dyDescent="0.3">
      <c r="D86" s="406"/>
      <c r="E86" s="430" t="s">
        <v>89</v>
      </c>
      <c r="F86" s="16"/>
      <c r="G86" s="16"/>
      <c r="H86" s="16"/>
      <c r="I86" s="587">
        <f>+K81</f>
        <v>48675</v>
      </c>
      <c r="J86" s="587"/>
      <c r="K86" s="16"/>
      <c r="L86" s="60">
        <f>+I86/$I$86</f>
        <v>1</v>
      </c>
      <c r="M86" s="431"/>
      <c r="N86" s="110"/>
      <c r="O86" s="110"/>
    </row>
    <row r="87" spans="4:18" x14ac:dyDescent="0.3">
      <c r="D87" s="406"/>
      <c r="E87" s="430"/>
      <c r="F87" s="16"/>
      <c r="G87" s="16"/>
      <c r="H87" s="16"/>
      <c r="I87" s="16"/>
      <c r="J87" s="16"/>
      <c r="K87" s="16"/>
      <c r="L87" s="16"/>
      <c r="M87" s="431"/>
      <c r="N87" s="110"/>
      <c r="O87" s="110"/>
    </row>
    <row r="88" spans="4:18" x14ac:dyDescent="0.3">
      <c r="D88" s="418"/>
      <c r="E88" s="15"/>
      <c r="F88" s="432" t="s">
        <v>114</v>
      </c>
      <c r="G88" s="432"/>
      <c r="H88" s="15"/>
      <c r="I88" s="588">
        <f>+I81</f>
        <v>36684</v>
      </c>
      <c r="J88" s="589"/>
      <c r="K88" s="15"/>
      <c r="L88" s="60">
        <f>+I88/$I$86</f>
        <v>0.75365177195685673</v>
      </c>
      <c r="M88" s="411"/>
      <c r="N88" s="110"/>
      <c r="O88" s="110"/>
    </row>
    <row r="89" spans="4:18" x14ac:dyDescent="0.3">
      <c r="D89" s="418"/>
      <c r="E89" s="15"/>
      <c r="F89" s="15" t="s">
        <v>90</v>
      </c>
      <c r="G89" s="15"/>
      <c r="H89" s="15"/>
      <c r="I89" s="590">
        <f>+I75</f>
        <v>2144</v>
      </c>
      <c r="J89" s="591"/>
      <c r="K89" s="15"/>
      <c r="L89" s="60">
        <f>+I89/$I$86</f>
        <v>4.4047252182845401E-2</v>
      </c>
      <c r="M89" s="411"/>
      <c r="N89" s="110"/>
      <c r="O89" s="110"/>
    </row>
    <row r="90" spans="4:18" ht="15" thickBot="1" x14ac:dyDescent="0.35">
      <c r="D90" s="418"/>
      <c r="E90" s="593" t="s">
        <v>115</v>
      </c>
      <c r="F90" s="593"/>
      <c r="G90" s="593"/>
      <c r="H90" s="15"/>
      <c r="I90" s="594">
        <f>+I86-I88-I89</f>
        <v>9847</v>
      </c>
      <c r="J90" s="595"/>
      <c r="K90" s="433"/>
      <c r="L90" s="434">
        <f>+I90/$I$86</f>
        <v>0.20230097586029788</v>
      </c>
      <c r="M90" s="411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8"/>
      <c r="E91" s="435"/>
      <c r="F91" s="435"/>
      <c r="G91" s="435"/>
      <c r="H91" s="15"/>
      <c r="I91" s="436"/>
      <c r="J91" s="435"/>
      <c r="K91" s="433"/>
      <c r="L91" s="437"/>
      <c r="M91" s="411"/>
      <c r="N91" s="110"/>
      <c r="O91" s="110"/>
    </row>
    <row r="92" spans="4:18" ht="15" thickBot="1" x14ac:dyDescent="0.35">
      <c r="D92" s="438"/>
      <c r="E92" s="439"/>
      <c r="F92" s="439"/>
      <c r="G92" s="439"/>
      <c r="H92" s="439"/>
      <c r="I92" s="439"/>
      <c r="J92" s="439"/>
      <c r="K92" s="439"/>
      <c r="L92" s="439"/>
      <c r="M92" s="426"/>
      <c r="N92" s="110"/>
      <c r="O92" s="110"/>
    </row>
    <row r="93" spans="4:18" ht="15" thickBot="1" x14ac:dyDescent="0.35"/>
    <row r="94" spans="4:18" ht="15" thickBot="1" x14ac:dyDescent="0.35">
      <c r="E94" s="596" t="s">
        <v>120</v>
      </c>
      <c r="F94" s="597"/>
      <c r="G94" s="597"/>
      <c r="H94" s="597"/>
      <c r="I94" s="597"/>
      <c r="J94" s="597"/>
      <c r="K94" s="597"/>
      <c r="L94" s="597"/>
      <c r="M94" s="598"/>
    </row>
    <row r="95" spans="4:18" x14ac:dyDescent="0.3">
      <c r="E95" s="441"/>
      <c r="F95" s="442" t="s">
        <v>121</v>
      </c>
      <c r="G95" s="442"/>
      <c r="H95" s="442"/>
      <c r="I95" s="599">
        <v>21477737</v>
      </c>
      <c r="J95" s="599"/>
      <c r="K95" s="599"/>
      <c r="L95" s="599"/>
      <c r="M95" s="443"/>
    </row>
    <row r="96" spans="4:18" x14ac:dyDescent="0.3">
      <c r="E96" s="441"/>
      <c r="F96" s="442" t="s">
        <v>111</v>
      </c>
      <c r="G96" s="442"/>
      <c r="H96" s="442"/>
      <c r="I96" s="442"/>
      <c r="J96" s="442"/>
      <c r="K96" s="442"/>
      <c r="L96" s="444">
        <f>+I90/I95</f>
        <v>4.5847474526762295E-4</v>
      </c>
      <c r="M96" s="443"/>
    </row>
    <row r="97" spans="5:13" x14ac:dyDescent="0.3">
      <c r="E97" s="441"/>
      <c r="F97" s="592" t="s">
        <v>109</v>
      </c>
      <c r="G97" s="592"/>
      <c r="H97" s="442"/>
      <c r="I97" s="442"/>
      <c r="J97" s="442"/>
      <c r="K97" s="442"/>
      <c r="L97" s="445">
        <f>+I90/(I95/100000)</f>
        <v>45.847474526762298</v>
      </c>
      <c r="M97" s="443"/>
    </row>
    <row r="98" spans="5:13" x14ac:dyDescent="0.3">
      <c r="E98" s="441"/>
      <c r="F98" s="446"/>
      <c r="G98" s="446"/>
      <c r="H98" s="442"/>
      <c r="I98" s="442"/>
      <c r="J98" s="442"/>
      <c r="K98" s="442"/>
      <c r="L98" s="445"/>
      <c r="M98" s="443"/>
    </row>
    <row r="99" spans="5:13" x14ac:dyDescent="0.3">
      <c r="E99" s="441"/>
      <c r="F99" s="446" t="s">
        <v>122</v>
      </c>
      <c r="G99" s="446"/>
      <c r="H99" s="592" t="s">
        <v>123</v>
      </c>
      <c r="I99" s="592"/>
      <c r="J99" s="442"/>
      <c r="K99" s="442"/>
      <c r="L99" s="445"/>
      <c r="M99" s="443"/>
    </row>
    <row r="100" spans="5:13" ht="15" thickBot="1" x14ac:dyDescent="0.35">
      <c r="E100" s="447"/>
      <c r="F100" s="448"/>
      <c r="G100" s="448"/>
      <c r="H100" s="448"/>
      <c r="I100" s="448"/>
      <c r="J100" s="448"/>
      <c r="K100" s="448"/>
      <c r="L100" s="448"/>
      <c r="M100" s="449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3" t="s">
        <v>5</v>
      </c>
      <c r="C1" s="483"/>
      <c r="D1" s="483"/>
    </row>
    <row r="2" spans="2:31" ht="15.6" x14ac:dyDescent="0.3">
      <c r="B2" s="483" t="s">
        <v>6</v>
      </c>
      <c r="C2" s="483"/>
      <c r="D2" s="48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84</v>
      </c>
      <c r="F5" s="259" t="s">
        <v>85</v>
      </c>
    </row>
    <row r="6" spans="2:31" ht="15.6" x14ac:dyDescent="0.3">
      <c r="B6" s="169"/>
      <c r="C6" s="169"/>
      <c r="D6" s="168"/>
      <c r="F6" t="s">
        <v>88</v>
      </c>
    </row>
    <row r="7" spans="2:31" ht="15.6" x14ac:dyDescent="0.3">
      <c r="B7" s="169"/>
      <c r="C7" s="169"/>
      <c r="D7" s="168"/>
      <c r="F7" s="259" t="s">
        <v>87</v>
      </c>
    </row>
    <row r="8" spans="2:31" ht="15.6" x14ac:dyDescent="0.3">
      <c r="B8" s="169"/>
      <c r="C8" s="169"/>
      <c r="D8" s="168"/>
      <c r="F8" s="259" t="s">
        <v>86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0" t="s">
        <v>23</v>
      </c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Table'!J103</f>
        <v>9.2987474699191119E-3</v>
      </c>
      <c r="U14" s="231"/>
      <c r="V14" s="1"/>
      <c r="X14" s="235"/>
      <c r="Y14" s="609" t="s">
        <v>62</v>
      </c>
      <c r="Z14" s="609"/>
      <c r="AA14" s="609"/>
      <c r="AB14" s="609"/>
      <c r="AC14" s="60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86229.438490092536</v>
      </c>
      <c r="Q15" s="81"/>
      <c r="R15" s="81"/>
      <c r="S15" s="81"/>
      <c r="T15" s="82">
        <f t="shared" ref="T15:T59" si="5">+T14</f>
        <v>9.2987474699191119E-3</v>
      </c>
      <c r="U15" s="231"/>
      <c r="V15" s="1"/>
      <c r="X15" s="237"/>
      <c r="Y15" s="238" t="s">
        <v>63</v>
      </c>
      <c r="Z15" s="239"/>
      <c r="AA15" s="238" t="s">
        <v>64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87031.264263084828</v>
      </c>
      <c r="Q16" s="81"/>
      <c r="R16" s="81"/>
      <c r="S16" s="81"/>
      <c r="T16" s="82">
        <f t="shared" si="5"/>
        <v>9.2987474699191119E-3</v>
      </c>
      <c r="U16" s="231"/>
      <c r="V16" s="1"/>
      <c r="X16" s="237"/>
      <c r="Y16" s="243" t="s">
        <v>59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87840.546011455051</v>
      </c>
      <c r="Q17" s="81"/>
      <c r="R17" s="81"/>
      <c r="S17" s="81"/>
      <c r="T17" s="82">
        <f t="shared" si="5"/>
        <v>9.2987474699191119E-3</v>
      </c>
      <c r="U17" s="231"/>
      <c r="V17" s="1"/>
      <c r="X17" s="237"/>
      <c r="Y17" s="246" t="s">
        <v>61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88657.353066435375</v>
      </c>
      <c r="Q18" s="81"/>
      <c r="R18" s="81"/>
      <c r="S18" s="81"/>
      <c r="T18" s="82">
        <f t="shared" si="5"/>
        <v>9.2987474699191119E-3</v>
      </c>
      <c r="U18" s="231"/>
      <c r="V18" s="1"/>
      <c r="X18" s="237"/>
      <c r="Y18" s="248" t="s">
        <v>65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89481.755403951611</v>
      </c>
      <c r="Q19" s="81"/>
      <c r="R19" s="81"/>
      <c r="S19" s="81"/>
      <c r="T19" s="82">
        <f t="shared" si="5"/>
        <v>9.2987474699191119E-3</v>
      </c>
      <c r="U19" s="231"/>
      <c r="V19" s="1"/>
      <c r="X19" s="249"/>
      <c r="Y19" s="250" t="s">
        <v>66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90313.823650618026</v>
      </c>
      <c r="Q20" s="81"/>
      <c r="R20" s="81"/>
      <c r="S20" s="81"/>
      <c r="T20" s="82">
        <f t="shared" si="5"/>
        <v>9.2987474699191119E-3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91153.629089787923</v>
      </c>
      <c r="Q21" s="81"/>
      <c r="R21" s="81"/>
      <c r="S21" s="81"/>
      <c r="T21" s="82">
        <f t="shared" si="5"/>
        <v>9.2987474699191119E-3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92001.243667660528</v>
      </c>
      <c r="Q22" s="81"/>
      <c r="R22" s="81"/>
      <c r="S22" s="81"/>
      <c r="T22" s="82">
        <f t="shared" si="5"/>
        <v>9.2987474699191119E-3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92856.739999444602</v>
      </c>
      <c r="Q23" s="81"/>
      <c r="R23" s="81"/>
      <c r="S23" s="81"/>
      <c r="T23" s="82">
        <f t="shared" si="5"/>
        <v>9.2987474699191119E-3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93720.191375579379</v>
      </c>
      <c r="Q24" s="81"/>
      <c r="R24" s="81"/>
      <c r="S24" s="81"/>
      <c r="T24" s="82">
        <f t="shared" si="5"/>
        <v>9.2987474699191119E-3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94591.671768013388</v>
      </c>
      <c r="Q25" s="81"/>
      <c r="R25" s="81"/>
      <c r="S25" s="81"/>
      <c r="T25" s="82">
        <f t="shared" si="5"/>
        <v>9.2987474699191119E-3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95471.255836541619</v>
      </c>
      <c r="Q26" s="81"/>
      <c r="R26" s="81"/>
      <c r="S26" s="81"/>
      <c r="T26" s="82">
        <f t="shared" si="5"/>
        <v>9.2987474699191119E-3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96359.01893520166</v>
      </c>
      <c r="Q27" s="81"/>
      <c r="R27" s="81"/>
      <c r="S27" s="81"/>
      <c r="T27" s="82">
        <f t="shared" si="5"/>
        <v>9.2987474699191119E-3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97255.037118729248</v>
      </c>
      <c r="Q28" s="81"/>
      <c r="R28" s="81"/>
      <c r="S28" s="81"/>
      <c r="T28" s="82">
        <f t="shared" si="5"/>
        <v>9.2987474699191119E-3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98159.387149073926</v>
      </c>
      <c r="Q29" s="81"/>
      <c r="R29" s="81"/>
      <c r="S29" s="81"/>
      <c r="T29" s="82">
        <f t="shared" si="5"/>
        <v>9.2987474699191119E-3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99072.146501975192</v>
      </c>
      <c r="Q30" s="81"/>
      <c r="R30" s="81"/>
      <c r="S30" s="81"/>
      <c r="T30" s="82">
        <f t="shared" si="5"/>
        <v>9.2987474699191119E-3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99993.393373599887</v>
      </c>
      <c r="Q31" s="81"/>
      <c r="R31" s="81"/>
      <c r="S31" s="81"/>
      <c r="T31" s="82">
        <f t="shared" si="5"/>
        <v>9.2987474699191119E-3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100923.20668724127</v>
      </c>
      <c r="Q32" s="81"/>
      <c r="R32" s="81"/>
      <c r="S32" s="81"/>
      <c r="T32" s="82">
        <f t="shared" si="5"/>
        <v>9.2987474699191119E-3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101861.66610008037</v>
      </c>
      <c r="Q33" s="81"/>
      <c r="R33" s="81"/>
      <c r="S33" s="81"/>
      <c r="T33" s="82">
        <f t="shared" si="5"/>
        <v>9.2987474699191119E-3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102808.85201001023</v>
      </c>
      <c r="Q34" s="81"/>
      <c r="R34" s="81"/>
      <c r="S34" s="81"/>
      <c r="T34" s="82">
        <f t="shared" si="5"/>
        <v>9.2987474699191119E-3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103764.84556252361</v>
      </c>
      <c r="Q35" s="81"/>
      <c r="R35" s="81"/>
      <c r="S35" s="81"/>
      <c r="T35" s="82">
        <f t="shared" si="5"/>
        <v>9.2987474699191119E-3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104729.72865766467</v>
      </c>
      <c r="Q36" s="81"/>
      <c r="R36" s="81"/>
      <c r="S36" s="81"/>
      <c r="T36" s="82">
        <f t="shared" si="5"/>
        <v>9.2987474699191119E-3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105703.58395704544</v>
      </c>
      <c r="Q37" s="81"/>
      <c r="R37" s="81"/>
      <c r="S37" s="81"/>
      <c r="T37" s="82">
        <f t="shared" si="5"/>
        <v>9.2987474699191119E-3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106686.4948909274</v>
      </c>
      <c r="Q38" s="81"/>
      <c r="R38" s="81"/>
      <c r="S38" s="81"/>
      <c r="T38" s="82">
        <f t="shared" si="5"/>
        <v>9.2987474699191119E-3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107678.54566536895</v>
      </c>
      <c r="Q39" s="81"/>
      <c r="R39" s="81"/>
      <c r="S39" s="81"/>
      <c r="T39" s="82">
        <f t="shared" si="5"/>
        <v>9.2987474699191119E-3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108679.82126943936</v>
      </c>
      <c r="Q40" s="81"/>
      <c r="R40" s="81"/>
      <c r="S40" s="81"/>
      <c r="T40" s="82">
        <f t="shared" si="5"/>
        <v>9.2987474699191119E-3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109690.40748249982</v>
      </c>
      <c r="Q41" s="81"/>
      <c r="R41" s="81"/>
      <c r="S41" s="81"/>
      <c r="T41" s="82">
        <f t="shared" si="5"/>
        <v>9.2987474699191119E-3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110710.39088155211</v>
      </c>
      <c r="Q42" s="81"/>
      <c r="R42" s="81"/>
      <c r="S42" s="81"/>
      <c r="T42" s="82">
        <f t="shared" si="5"/>
        <v>9.2987474699191119E-3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111739.8588486557</v>
      </c>
      <c r="Q43" s="81"/>
      <c r="R43" s="81"/>
      <c r="S43" s="81"/>
      <c r="T43" s="82">
        <f t="shared" si="5"/>
        <v>9.2987474699191119E-3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112778.89957841375</v>
      </c>
      <c r="Q44" s="81"/>
      <c r="R44" s="81"/>
      <c r="S44" s="81"/>
      <c r="T44" s="82">
        <f t="shared" si="5"/>
        <v>9.2987474699191119E-3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113827.60208552879</v>
      </c>
      <c r="Q45" s="81"/>
      <c r="R45" s="81"/>
      <c r="S45" s="81"/>
      <c r="T45" s="82">
        <f t="shared" si="5"/>
        <v>9.2987474699191119E-3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114886.05621242856</v>
      </c>
      <c r="Q46" s="81"/>
      <c r="R46" s="81"/>
      <c r="S46" s="81"/>
      <c r="T46" s="82">
        <f t="shared" si="5"/>
        <v>9.2987474699191119E-3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115954.35263696287</v>
      </c>
      <c r="Q47" s="81"/>
      <c r="R47" s="81"/>
      <c r="S47" s="81"/>
      <c r="T47" s="82">
        <f t="shared" si="5"/>
        <v>9.2987474699191119E-3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117032.58288017193</v>
      </c>
      <c r="Q48" s="81"/>
      <c r="R48" s="81"/>
      <c r="S48" s="81"/>
      <c r="T48" s="82">
        <f t="shared" si="5"/>
        <v>9.2987474699191119E-3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118120.83931412704</v>
      </c>
      <c r="Q49" s="81"/>
      <c r="R49" s="81"/>
      <c r="S49" s="81"/>
      <c r="T49" s="82">
        <f t="shared" si="5"/>
        <v>9.2987474699191119E-3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119219.215169844</v>
      </c>
      <c r="Q50" s="81"/>
      <c r="R50" s="81"/>
      <c r="S50" s="81"/>
      <c r="T50" s="82">
        <f t="shared" si="5"/>
        <v>9.2987474699191119E-3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120327.80454527032</v>
      </c>
      <c r="Q51" s="81"/>
      <c r="R51" s="81"/>
      <c r="S51" s="81"/>
      <c r="T51" s="82">
        <f t="shared" si="5"/>
        <v>9.2987474699191119E-3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121446.70241334657</v>
      </c>
      <c r="Q52" s="81"/>
      <c r="R52" s="81"/>
      <c r="S52" s="81"/>
      <c r="T52" s="82">
        <f t="shared" si="5"/>
        <v>9.2987474699191119E-3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122576.00463014269</v>
      </c>
      <c r="Q53" s="81"/>
      <c r="R53" s="81"/>
      <c r="S53" s="81"/>
      <c r="T53" s="82">
        <f t="shared" si="5"/>
        <v>9.2987474699191119E-3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123715.80794307002</v>
      </c>
      <c r="Q54" s="81"/>
      <c r="R54" s="81"/>
      <c r="S54" s="81"/>
      <c r="T54" s="82">
        <f t="shared" si="5"/>
        <v>9.2987474699191119E-3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124866.20999916963</v>
      </c>
      <c r="Q55" s="81"/>
      <c r="R55" s="81"/>
      <c r="S55" s="81"/>
      <c r="T55" s="82">
        <f t="shared" si="5"/>
        <v>9.2987474699191119E-3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126027.3093534778</v>
      </c>
      <c r="Q56" s="81"/>
      <c r="R56" s="81"/>
      <c r="S56" s="81"/>
      <c r="T56" s="82">
        <f t="shared" si="5"/>
        <v>9.2987474699191119E-3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127199.20547746916</v>
      </c>
      <c r="Q57" s="81"/>
      <c r="R57" s="81"/>
      <c r="S57" s="81"/>
      <c r="T57" s="82">
        <f t="shared" si="5"/>
        <v>9.2987474699191119E-3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128381.99876757849</v>
      </c>
      <c r="Q58" s="81"/>
      <c r="R58" s="81"/>
      <c r="S58" s="81"/>
      <c r="T58" s="82">
        <f t="shared" si="5"/>
        <v>9.2987474699191119E-3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129575.79055380168</v>
      </c>
      <c r="Q59" s="81"/>
      <c r="R59" s="81"/>
      <c r="S59" s="81"/>
      <c r="T59" s="82">
        <f t="shared" si="5"/>
        <v>9.2987474699191119E-3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2020-06-15T10:26:29Z</dcterms:modified>
</cp:coreProperties>
</file>