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COVID 2021\"/>
    </mc:Choice>
  </mc:AlternateContent>
  <xr:revisionPtr revIDLastSave="0" documentId="8_{7E9AE3C0-D6DA-43E3-8BFD-445CE4018E2E}" xr6:coauthVersionLast="47" xr6:coauthVersionMax="47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Table'!$A$1:$CJ$588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587" i="1" l="1"/>
  <c r="BI587" i="1"/>
  <c r="BB587" i="1"/>
  <c r="BA587" i="1"/>
  <c r="AT587" i="1"/>
  <c r="AS587" i="1"/>
  <c r="AL587" i="1"/>
  <c r="AK587" i="1"/>
  <c r="AD587" i="1"/>
  <c r="AC587" i="1"/>
  <c r="V587" i="1"/>
  <c r="U587" i="1"/>
  <c r="N587" i="1"/>
  <c r="M587" i="1"/>
  <c r="BP586" i="1"/>
  <c r="BP587" i="1" s="1"/>
  <c r="BO586" i="1"/>
  <c r="BO587" i="1" s="1"/>
  <c r="BN586" i="1"/>
  <c r="BN587" i="1" s="1"/>
  <c r="BM586" i="1"/>
  <c r="BM587" i="1" s="1"/>
  <c r="BL586" i="1"/>
  <c r="BL587" i="1" s="1"/>
  <c r="BK586" i="1"/>
  <c r="BK587" i="1" s="1"/>
  <c r="BJ586" i="1"/>
  <c r="BI586" i="1"/>
  <c r="BH586" i="1"/>
  <c r="BH587" i="1" s="1"/>
  <c r="BG586" i="1"/>
  <c r="BG587" i="1" s="1"/>
  <c r="BF586" i="1"/>
  <c r="BF587" i="1" s="1"/>
  <c r="BE586" i="1"/>
  <c r="BE587" i="1" s="1"/>
  <c r="BD586" i="1"/>
  <c r="BD587" i="1" s="1"/>
  <c r="BC586" i="1"/>
  <c r="BC587" i="1" s="1"/>
  <c r="BB586" i="1"/>
  <c r="BA586" i="1"/>
  <c r="AZ586" i="1"/>
  <c r="AZ587" i="1" s="1"/>
  <c r="AY586" i="1"/>
  <c r="AY587" i="1" s="1"/>
  <c r="AX586" i="1"/>
  <c r="AX587" i="1" s="1"/>
  <c r="AW586" i="1"/>
  <c r="AW587" i="1" s="1"/>
  <c r="AV586" i="1"/>
  <c r="AV587" i="1" s="1"/>
  <c r="AU586" i="1"/>
  <c r="AU587" i="1" s="1"/>
  <c r="AT586" i="1"/>
  <c r="AS586" i="1"/>
  <c r="AR586" i="1"/>
  <c r="AR587" i="1" s="1"/>
  <c r="AQ586" i="1"/>
  <c r="AQ587" i="1" s="1"/>
  <c r="AP586" i="1"/>
  <c r="AP587" i="1" s="1"/>
  <c r="AO586" i="1"/>
  <c r="AO587" i="1" s="1"/>
  <c r="AN586" i="1"/>
  <c r="AN587" i="1" s="1"/>
  <c r="AM586" i="1"/>
  <c r="AM587" i="1" s="1"/>
  <c r="AL586" i="1"/>
  <c r="AK586" i="1"/>
  <c r="AJ586" i="1"/>
  <c r="AJ587" i="1" s="1"/>
  <c r="AI586" i="1"/>
  <c r="AI587" i="1" s="1"/>
  <c r="AH586" i="1"/>
  <c r="AH587" i="1" s="1"/>
  <c r="AG586" i="1"/>
  <c r="AG587" i="1" s="1"/>
  <c r="AF586" i="1"/>
  <c r="AF587" i="1" s="1"/>
  <c r="AE586" i="1"/>
  <c r="AE587" i="1" s="1"/>
  <c r="AD586" i="1"/>
  <c r="AC586" i="1"/>
  <c r="AB586" i="1"/>
  <c r="AB587" i="1" s="1"/>
  <c r="AA586" i="1"/>
  <c r="AA587" i="1" s="1"/>
  <c r="Z586" i="1"/>
  <c r="Z587" i="1" s="1"/>
  <c r="Y586" i="1"/>
  <c r="Y587" i="1" s="1"/>
  <c r="X586" i="1"/>
  <c r="X587" i="1" s="1"/>
  <c r="W586" i="1"/>
  <c r="W587" i="1" s="1"/>
  <c r="V586" i="1"/>
  <c r="U586" i="1"/>
  <c r="T586" i="1"/>
  <c r="T587" i="1" s="1"/>
  <c r="S586" i="1"/>
  <c r="S587" i="1" s="1"/>
  <c r="R586" i="1"/>
  <c r="R587" i="1" s="1"/>
  <c r="Q586" i="1"/>
  <c r="Q587" i="1" s="1"/>
  <c r="P586" i="1"/>
  <c r="P587" i="1" s="1"/>
  <c r="O586" i="1"/>
  <c r="O587" i="1" s="1"/>
  <c r="N586" i="1"/>
  <c r="M586" i="1"/>
  <c r="L586" i="1"/>
  <c r="L587" i="1" s="1"/>
  <c r="K586" i="1"/>
  <c r="K587" i="1" s="1"/>
  <c r="J586" i="1"/>
  <c r="J587" i="1" s="1"/>
  <c r="I586" i="1"/>
  <c r="I587" i="1" s="1"/>
  <c r="H586" i="1"/>
  <c r="H587" i="1" s="1"/>
  <c r="D587" i="1"/>
  <c r="D586" i="1"/>
  <c r="B580" i="1" l="1"/>
  <c r="B581" i="1" s="1"/>
  <c r="B582" i="1" s="1"/>
  <c r="B583" i="1" s="1"/>
  <c r="BE579" i="1"/>
  <c r="BA579" i="1"/>
  <c r="AL579" i="1"/>
  <c r="AR579" i="1" s="1"/>
  <c r="AG579" i="1"/>
  <c r="Z579" i="1"/>
  <c r="Q579" i="1"/>
  <c r="N579" i="1"/>
  <c r="BE578" i="1"/>
  <c r="BA578" i="1"/>
  <c r="AL578" i="1"/>
  <c r="AR578" i="1" s="1"/>
  <c r="AG578" i="1"/>
  <c r="Z578" i="1"/>
  <c r="Q578" i="1"/>
  <c r="N578" i="1"/>
  <c r="BE577" i="1"/>
  <c r="BA577" i="1"/>
  <c r="AL577" i="1"/>
  <c r="AR577" i="1" s="1"/>
  <c r="AG577" i="1"/>
  <c r="Z577" i="1"/>
  <c r="Q577" i="1"/>
  <c r="N577" i="1"/>
  <c r="U533" i="3"/>
  <c r="U534" i="3" s="1"/>
  <c r="U535" i="3" s="1"/>
  <c r="U536" i="3" s="1"/>
  <c r="U537" i="3" s="1"/>
  <c r="BE576" i="1"/>
  <c r="BA576" i="1"/>
  <c r="AL576" i="1"/>
  <c r="AR576" i="1" s="1"/>
  <c r="AG576" i="1"/>
  <c r="Z576" i="1"/>
  <c r="Q576" i="1"/>
  <c r="N576" i="1"/>
  <c r="U585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E585" i="2"/>
  <c r="S580" i="2"/>
  <c r="W580" i="2"/>
  <c r="K580" i="2"/>
  <c r="Q580" i="2" s="1"/>
  <c r="S579" i="2"/>
  <c r="W579" i="2"/>
  <c r="K579" i="2"/>
  <c r="Q579" i="2" s="1"/>
  <c r="S578" i="2"/>
  <c r="W578" i="2"/>
  <c r="K578" i="2"/>
  <c r="M578" i="2" s="1"/>
  <c r="S577" i="2"/>
  <c r="C578" i="2"/>
  <c r="C579" i="2" s="1"/>
  <c r="C580" i="2" s="1"/>
  <c r="C581" i="2" s="1"/>
  <c r="K577" i="2"/>
  <c r="Q577" i="2" s="1"/>
  <c r="BE575" i="1"/>
  <c r="BA575" i="1"/>
  <c r="AL575" i="1"/>
  <c r="AR575" i="1" s="1"/>
  <c r="AG575" i="1"/>
  <c r="Z575" i="1"/>
  <c r="Q575" i="1"/>
  <c r="N575" i="1"/>
  <c r="BE574" i="1"/>
  <c r="BA574" i="1"/>
  <c r="AL574" i="1"/>
  <c r="AR574" i="1" s="1"/>
  <c r="AG574" i="1"/>
  <c r="Z574" i="1"/>
  <c r="Q574" i="1"/>
  <c r="N574" i="1"/>
  <c r="BE573" i="1"/>
  <c r="BA573" i="1"/>
  <c r="AL573" i="1"/>
  <c r="AR573" i="1" s="1"/>
  <c r="AG573" i="1"/>
  <c r="Z573" i="1"/>
  <c r="Q573" i="1"/>
  <c r="N573" i="1"/>
  <c r="S576" i="2"/>
  <c r="K576" i="2"/>
  <c r="S575" i="2"/>
  <c r="K575" i="2"/>
  <c r="S574" i="2"/>
  <c r="K574" i="2"/>
  <c r="BM579" i="1" l="1"/>
  <c r="BK579" i="1"/>
  <c r="BG574" i="1"/>
  <c r="BG579" i="1"/>
  <c r="BG578" i="1"/>
  <c r="BG577" i="1"/>
  <c r="BG576" i="1"/>
  <c r="M580" i="2"/>
  <c r="M579" i="2"/>
  <c r="Q578" i="2"/>
  <c r="Q575" i="2"/>
  <c r="Q576" i="2"/>
  <c r="M577" i="2"/>
  <c r="BG575" i="1"/>
  <c r="BG573" i="1"/>
  <c r="M576" i="2"/>
  <c r="M575" i="2"/>
  <c r="BA678" i="1" l="1"/>
  <c r="BE572" i="1" l="1"/>
  <c r="BA572" i="1"/>
  <c r="BK578" i="1" s="1"/>
  <c r="AL572" i="1"/>
  <c r="AR572" i="1" s="1"/>
  <c r="AG572" i="1"/>
  <c r="AI579" i="1" s="1"/>
  <c r="Z572" i="1"/>
  <c r="Q572" i="1"/>
  <c r="S579" i="1" s="1"/>
  <c r="N572" i="1"/>
  <c r="S573" i="2"/>
  <c r="K573" i="2"/>
  <c r="BM578" i="1" l="1"/>
  <c r="Q574" i="2"/>
  <c r="M574" i="2"/>
  <c r="BG572" i="1"/>
  <c r="BE571" i="1" l="1"/>
  <c r="BA571" i="1"/>
  <c r="BK577" i="1" s="1"/>
  <c r="BM577" i="1" s="1"/>
  <c r="AL571" i="1"/>
  <c r="AG571" i="1"/>
  <c r="AI578" i="1" s="1"/>
  <c r="Z571" i="1"/>
  <c r="Q571" i="1"/>
  <c r="S578" i="1" s="1"/>
  <c r="N571" i="1"/>
  <c r="S572" i="2"/>
  <c r="K572" i="2"/>
  <c r="BE570" i="1"/>
  <c r="BA570" i="1"/>
  <c r="BK576" i="1" s="1"/>
  <c r="BM576" i="1" s="1"/>
  <c r="AL570" i="1"/>
  <c r="AR570" i="1" s="1"/>
  <c r="AG570" i="1"/>
  <c r="AI577" i="1" s="1"/>
  <c r="Z570" i="1"/>
  <c r="Q570" i="1"/>
  <c r="S577" i="1" s="1"/>
  <c r="N570" i="1"/>
  <c r="BE569" i="1"/>
  <c r="BA569" i="1"/>
  <c r="AL569" i="1"/>
  <c r="AR569" i="1" s="1"/>
  <c r="AG569" i="1"/>
  <c r="AI576" i="1" s="1"/>
  <c r="Z569" i="1"/>
  <c r="Q569" i="1"/>
  <c r="S576" i="1" s="1"/>
  <c r="N569" i="1"/>
  <c r="BE568" i="1"/>
  <c r="BA568" i="1"/>
  <c r="AL568" i="1"/>
  <c r="AR568" i="1" s="1"/>
  <c r="AG568" i="1"/>
  <c r="AI575" i="1" s="1"/>
  <c r="Z568" i="1"/>
  <c r="Q568" i="1"/>
  <c r="S575" i="1" s="1"/>
  <c r="N568" i="1"/>
  <c r="BE567" i="1"/>
  <c r="BA567" i="1"/>
  <c r="BK573" i="1" s="1"/>
  <c r="BM573" i="1" s="1"/>
  <c r="AL567" i="1"/>
  <c r="AR567" i="1" s="1"/>
  <c r="AG567" i="1"/>
  <c r="AI574" i="1" s="1"/>
  <c r="Z567" i="1"/>
  <c r="Q567" i="1"/>
  <c r="S574" i="1" s="1"/>
  <c r="N567" i="1"/>
  <c r="BE566" i="1"/>
  <c r="BA566" i="1"/>
  <c r="AL566" i="1"/>
  <c r="AR566" i="1" s="1"/>
  <c r="AG566" i="1"/>
  <c r="AI573" i="1" s="1"/>
  <c r="Z566" i="1"/>
  <c r="Q566" i="1"/>
  <c r="S573" i="1" s="1"/>
  <c r="N566" i="1"/>
  <c r="S571" i="2"/>
  <c r="K571" i="2"/>
  <c r="S570" i="2"/>
  <c r="K570" i="2"/>
  <c r="S569" i="2"/>
  <c r="K569" i="2"/>
  <c r="S568" i="2"/>
  <c r="K568" i="2"/>
  <c r="Q568" i="2" s="1"/>
  <c r="S567" i="2"/>
  <c r="K567" i="2"/>
  <c r="S566" i="2"/>
  <c r="K566" i="2"/>
  <c r="BK572" i="1" l="1"/>
  <c r="BK575" i="1"/>
  <c r="BM575" i="1" s="1"/>
  <c r="BK574" i="1"/>
  <c r="BM574" i="1" s="1"/>
  <c r="BG571" i="1"/>
  <c r="AR571" i="1"/>
  <c r="BM572" i="1"/>
  <c r="Q572" i="2"/>
  <c r="Q573" i="2"/>
  <c r="M573" i="2"/>
  <c r="M572" i="2"/>
  <c r="Q569" i="2"/>
  <c r="M570" i="2"/>
  <c r="Q571" i="2"/>
  <c r="BG570" i="1"/>
  <c r="BG569" i="1"/>
  <c r="BG568" i="1"/>
  <c r="BG567" i="1"/>
  <c r="BG566" i="1"/>
  <c r="M571" i="2"/>
  <c r="Q570" i="2"/>
  <c r="M569" i="2"/>
  <c r="M568" i="2"/>
  <c r="Q567" i="2"/>
  <c r="M567" i="2"/>
  <c r="BE565" i="1" l="1"/>
  <c r="BA565" i="1"/>
  <c r="BK571" i="1" s="1"/>
  <c r="AL565" i="1"/>
  <c r="AR565" i="1" s="1"/>
  <c r="AG565" i="1"/>
  <c r="AI572" i="1" s="1"/>
  <c r="Z565" i="1"/>
  <c r="Q565" i="1"/>
  <c r="S572" i="1" s="1"/>
  <c r="N565" i="1"/>
  <c r="BM571" i="1" l="1"/>
  <c r="BG565" i="1"/>
  <c r="BE564" i="1" l="1"/>
  <c r="BA564" i="1"/>
  <c r="BK570" i="1" s="1"/>
  <c r="AL564" i="1"/>
  <c r="AR564" i="1" s="1"/>
  <c r="AG564" i="1"/>
  <c r="AI571" i="1" s="1"/>
  <c r="Z564" i="1"/>
  <c r="Q564" i="1"/>
  <c r="S571" i="1" s="1"/>
  <c r="N564" i="1"/>
  <c r="BE563" i="1"/>
  <c r="BA563" i="1"/>
  <c r="AL563" i="1"/>
  <c r="AR563" i="1" s="1"/>
  <c r="AG563" i="1"/>
  <c r="AI570" i="1" s="1"/>
  <c r="Z563" i="1"/>
  <c r="Q563" i="1"/>
  <c r="S570" i="1" s="1"/>
  <c r="N563" i="1"/>
  <c r="BE562" i="1"/>
  <c r="BA562" i="1"/>
  <c r="AL562" i="1"/>
  <c r="AR562" i="1" s="1"/>
  <c r="AG562" i="1"/>
  <c r="AI569" i="1" s="1"/>
  <c r="Z562" i="1"/>
  <c r="Q562" i="1"/>
  <c r="S569" i="1" s="1"/>
  <c r="N562" i="1"/>
  <c r="AA516" i="3"/>
  <c r="BM570" i="1" l="1"/>
  <c r="BK569" i="1"/>
  <c r="BK568" i="1"/>
  <c r="BG564" i="1"/>
  <c r="BG563" i="1"/>
  <c r="BG562" i="1"/>
  <c r="BM568" i="1" l="1"/>
  <c r="BM569" i="1"/>
  <c r="BE561" i="1"/>
  <c r="BA561" i="1"/>
  <c r="BK567" i="1" s="1"/>
  <c r="BM567" i="1" s="1"/>
  <c r="AL561" i="1"/>
  <c r="AR561" i="1" s="1"/>
  <c r="AG561" i="1"/>
  <c r="AI568" i="1" s="1"/>
  <c r="Z561" i="1"/>
  <c r="Q561" i="1"/>
  <c r="S568" i="1" s="1"/>
  <c r="N561" i="1"/>
  <c r="BE560" i="1"/>
  <c r="BA560" i="1"/>
  <c r="AL560" i="1"/>
  <c r="AR560" i="1" s="1"/>
  <c r="AG560" i="1"/>
  <c r="AI567" i="1" s="1"/>
  <c r="Z560" i="1"/>
  <c r="Q560" i="1"/>
  <c r="S567" i="1" s="1"/>
  <c r="N560" i="1"/>
  <c r="BE559" i="1"/>
  <c r="BA559" i="1"/>
  <c r="AL559" i="1"/>
  <c r="AR559" i="1" s="1"/>
  <c r="AG559" i="1"/>
  <c r="AI566" i="1" s="1"/>
  <c r="Z559" i="1"/>
  <c r="Q559" i="1"/>
  <c r="S566" i="1" s="1"/>
  <c r="N559" i="1"/>
  <c r="S565" i="2"/>
  <c r="K565" i="2"/>
  <c r="S564" i="2"/>
  <c r="K564" i="2"/>
  <c r="S563" i="2"/>
  <c r="K563" i="2"/>
  <c r="S562" i="2"/>
  <c r="K562" i="2"/>
  <c r="S561" i="2"/>
  <c r="K561" i="2"/>
  <c r="S560" i="2"/>
  <c r="K560" i="2"/>
  <c r="Q563" i="2" l="1"/>
  <c r="M566" i="2"/>
  <c r="Q566" i="2"/>
  <c r="BK566" i="1"/>
  <c r="BM566" i="1" s="1"/>
  <c r="M561" i="2"/>
  <c r="BK565" i="1"/>
  <c r="BM565" i="1" s="1"/>
  <c r="M565" i="2"/>
  <c r="M564" i="2"/>
  <c r="Q564" i="2"/>
  <c r="Q562" i="2"/>
  <c r="Q561" i="2"/>
  <c r="BG561" i="1"/>
  <c r="BG560" i="1"/>
  <c r="BG559" i="1"/>
  <c r="Q565" i="2"/>
  <c r="M563" i="2"/>
  <c r="M562" i="2"/>
  <c r="BE558" i="1" l="1"/>
  <c r="BA558" i="1"/>
  <c r="AL558" i="1"/>
  <c r="AR558" i="1" s="1"/>
  <c r="AG558" i="1"/>
  <c r="AI565" i="1" s="1"/>
  <c r="Z558" i="1"/>
  <c r="Q558" i="1"/>
  <c r="S565" i="1" s="1"/>
  <c r="N558" i="1"/>
  <c r="BE557" i="1"/>
  <c r="BA557" i="1"/>
  <c r="AL557" i="1"/>
  <c r="AR557" i="1" s="1"/>
  <c r="AG557" i="1"/>
  <c r="AI564" i="1" s="1"/>
  <c r="Z557" i="1"/>
  <c r="Q557" i="1"/>
  <c r="S564" i="1" s="1"/>
  <c r="N557" i="1"/>
  <c r="BE556" i="1"/>
  <c r="BA556" i="1"/>
  <c r="AL556" i="1"/>
  <c r="AR556" i="1" s="1"/>
  <c r="AG556" i="1"/>
  <c r="AI563" i="1" s="1"/>
  <c r="Z556" i="1"/>
  <c r="Q556" i="1"/>
  <c r="S563" i="1" s="1"/>
  <c r="N556" i="1"/>
  <c r="BE555" i="1"/>
  <c r="BA555" i="1"/>
  <c r="AL555" i="1"/>
  <c r="AR555" i="1" s="1"/>
  <c r="AG555" i="1"/>
  <c r="AI562" i="1" s="1"/>
  <c r="Z555" i="1"/>
  <c r="Q555" i="1"/>
  <c r="S562" i="1" s="1"/>
  <c r="N555" i="1"/>
  <c r="BE554" i="1"/>
  <c r="BA554" i="1"/>
  <c r="AL554" i="1"/>
  <c r="AR554" i="1" s="1"/>
  <c r="AG554" i="1"/>
  <c r="AI561" i="1" s="1"/>
  <c r="Z554" i="1"/>
  <c r="Q554" i="1"/>
  <c r="S561" i="1" s="1"/>
  <c r="N554" i="1"/>
  <c r="BE553" i="1"/>
  <c r="BA553" i="1"/>
  <c r="AL553" i="1"/>
  <c r="AR553" i="1" s="1"/>
  <c r="AG553" i="1"/>
  <c r="AI560" i="1" s="1"/>
  <c r="Z553" i="1"/>
  <c r="Q553" i="1"/>
  <c r="S560" i="1" s="1"/>
  <c r="N553" i="1"/>
  <c r="BE552" i="1"/>
  <c r="BA552" i="1"/>
  <c r="AL552" i="1"/>
  <c r="AR552" i="1" s="1"/>
  <c r="AG552" i="1"/>
  <c r="AI559" i="1" s="1"/>
  <c r="Z552" i="1"/>
  <c r="Q552" i="1"/>
  <c r="S559" i="1" s="1"/>
  <c r="N552" i="1"/>
  <c r="S559" i="2"/>
  <c r="K559" i="2"/>
  <c r="S558" i="2"/>
  <c r="K558" i="2"/>
  <c r="S557" i="2"/>
  <c r="K557" i="2"/>
  <c r="S556" i="2"/>
  <c r="K556" i="2"/>
  <c r="S555" i="2"/>
  <c r="K555" i="2"/>
  <c r="S554" i="2"/>
  <c r="K554" i="2"/>
  <c r="S553" i="2"/>
  <c r="K553" i="2"/>
  <c r="BK561" i="1" l="1"/>
  <c r="BM561" i="1" s="1"/>
  <c r="M560" i="2"/>
  <c r="Q560" i="2"/>
  <c r="Q556" i="2"/>
  <c r="BK558" i="1"/>
  <c r="BK564" i="1"/>
  <c r="BK563" i="1"/>
  <c r="BM563" i="1" s="1"/>
  <c r="BK560" i="1"/>
  <c r="BM560" i="1" s="1"/>
  <c r="BK562" i="1"/>
  <c r="BM562" i="1" s="1"/>
  <c r="BK559" i="1"/>
  <c r="BM559" i="1" s="1"/>
  <c r="M557" i="2"/>
  <c r="M554" i="2"/>
  <c r="M558" i="2"/>
  <c r="BM558" i="1"/>
  <c r="BG558" i="1"/>
  <c r="BG557" i="1"/>
  <c r="BG556" i="1"/>
  <c r="BG555" i="1"/>
  <c r="BG554" i="1"/>
  <c r="BG553" i="1"/>
  <c r="BG552" i="1"/>
  <c r="Q559" i="2"/>
  <c r="M559" i="2"/>
  <c r="Q558" i="2"/>
  <c r="Q557" i="2"/>
  <c r="Q554" i="2"/>
  <c r="Q555" i="2"/>
  <c r="M556" i="2"/>
  <c r="M555" i="2"/>
  <c r="BM564" i="1" l="1"/>
  <c r="BE551" i="1"/>
  <c r="BA551" i="1"/>
  <c r="BK557" i="1" s="1"/>
  <c r="AL551" i="1"/>
  <c r="AR551" i="1" s="1"/>
  <c r="AG551" i="1"/>
  <c r="AI558" i="1" s="1"/>
  <c r="Z551" i="1"/>
  <c r="Q551" i="1"/>
  <c r="S558" i="1" s="1"/>
  <c r="N551" i="1"/>
  <c r="BE550" i="1"/>
  <c r="BA550" i="1"/>
  <c r="AL550" i="1"/>
  <c r="AG550" i="1"/>
  <c r="Z550" i="1"/>
  <c r="Q550" i="1"/>
  <c r="S557" i="1" s="1"/>
  <c r="N550" i="1"/>
  <c r="BE549" i="1"/>
  <c r="BA549" i="1"/>
  <c r="AL549" i="1"/>
  <c r="AR549" i="1" s="1"/>
  <c r="AG549" i="1"/>
  <c r="Z549" i="1"/>
  <c r="Q549" i="1"/>
  <c r="S556" i="1" s="1"/>
  <c r="N549" i="1"/>
  <c r="BE548" i="1"/>
  <c r="BA548" i="1"/>
  <c r="AL548" i="1"/>
  <c r="AR548" i="1" s="1"/>
  <c r="AG548" i="1"/>
  <c r="AI555" i="1" s="1"/>
  <c r="Z548" i="1"/>
  <c r="Q548" i="1"/>
  <c r="S555" i="1" s="1"/>
  <c r="N548" i="1"/>
  <c r="BE547" i="1"/>
  <c r="BA547" i="1"/>
  <c r="AL547" i="1"/>
  <c r="AR547" i="1" s="1"/>
  <c r="AG547" i="1"/>
  <c r="AI554" i="1" s="1"/>
  <c r="Z547" i="1"/>
  <c r="Q547" i="1"/>
  <c r="S554" i="1" s="1"/>
  <c r="N547" i="1"/>
  <c r="BE546" i="1"/>
  <c r="BA546" i="1"/>
  <c r="AL546" i="1"/>
  <c r="AR546" i="1" s="1"/>
  <c r="AG546" i="1"/>
  <c r="Z546" i="1"/>
  <c r="Q546" i="1"/>
  <c r="S553" i="1" s="1"/>
  <c r="N546" i="1"/>
  <c r="BE545" i="1"/>
  <c r="BA545" i="1"/>
  <c r="AL545" i="1"/>
  <c r="AR545" i="1" s="1"/>
  <c r="AG545" i="1"/>
  <c r="AI552" i="1" s="1"/>
  <c r="Z545" i="1"/>
  <c r="Q545" i="1"/>
  <c r="S552" i="1" s="1"/>
  <c r="N545" i="1"/>
  <c r="BE544" i="1"/>
  <c r="BA544" i="1"/>
  <c r="AL544" i="1"/>
  <c r="AR544" i="1" s="1"/>
  <c r="AG544" i="1"/>
  <c r="Z544" i="1"/>
  <c r="Q544" i="1"/>
  <c r="N544" i="1"/>
  <c r="BE543" i="1"/>
  <c r="BA543" i="1"/>
  <c r="AL543" i="1"/>
  <c r="AR543" i="1" s="1"/>
  <c r="AG543" i="1"/>
  <c r="Z543" i="1"/>
  <c r="Q543" i="1"/>
  <c r="N543" i="1"/>
  <c r="BE542" i="1"/>
  <c r="BA542" i="1"/>
  <c r="AL542" i="1"/>
  <c r="AR542" i="1" s="1"/>
  <c r="AG542" i="1"/>
  <c r="Z542" i="1"/>
  <c r="Q542" i="1"/>
  <c r="N542" i="1"/>
  <c r="BE541" i="1"/>
  <c r="BA541" i="1"/>
  <c r="AL541" i="1"/>
  <c r="AR541" i="1" s="1"/>
  <c r="AG541" i="1"/>
  <c r="Z541" i="1"/>
  <c r="Q541" i="1"/>
  <c r="N541" i="1"/>
  <c r="BE540" i="1"/>
  <c r="BA540" i="1"/>
  <c r="AL540" i="1"/>
  <c r="AR540" i="1" s="1"/>
  <c r="AG540" i="1"/>
  <c r="Z540" i="1"/>
  <c r="Q540" i="1"/>
  <c r="N540" i="1"/>
  <c r="BE539" i="1"/>
  <c r="BA539" i="1"/>
  <c r="AL539" i="1"/>
  <c r="AR539" i="1" s="1"/>
  <c r="AG539" i="1"/>
  <c r="Z539" i="1"/>
  <c r="Q539" i="1"/>
  <c r="N539" i="1"/>
  <c r="BE538" i="1"/>
  <c r="BA538" i="1"/>
  <c r="AL538" i="1"/>
  <c r="AR538" i="1" s="1"/>
  <c r="AG538" i="1"/>
  <c r="Z538" i="1"/>
  <c r="Q538" i="1"/>
  <c r="N538" i="1"/>
  <c r="BE537" i="1"/>
  <c r="BA537" i="1"/>
  <c r="AL537" i="1"/>
  <c r="AR537" i="1" s="1"/>
  <c r="AG537" i="1"/>
  <c r="Z537" i="1"/>
  <c r="Q537" i="1"/>
  <c r="N537" i="1"/>
  <c r="BE536" i="1"/>
  <c r="BA536" i="1"/>
  <c r="AL536" i="1"/>
  <c r="AR536" i="1" s="1"/>
  <c r="AG536" i="1"/>
  <c r="Z536" i="1"/>
  <c r="Q536" i="1"/>
  <c r="N536" i="1"/>
  <c r="BE535" i="1"/>
  <c r="BA535" i="1"/>
  <c r="AL535" i="1"/>
  <c r="AR535" i="1" s="1"/>
  <c r="AG535" i="1"/>
  <c r="Z535" i="1"/>
  <c r="Q535" i="1"/>
  <c r="N535" i="1"/>
  <c r="BE534" i="1"/>
  <c r="BA534" i="1"/>
  <c r="AL534" i="1"/>
  <c r="AR534" i="1" s="1"/>
  <c r="AG534" i="1"/>
  <c r="Z534" i="1"/>
  <c r="Q534" i="1"/>
  <c r="N534" i="1"/>
  <c r="BE533" i="1"/>
  <c r="BA533" i="1"/>
  <c r="AL533" i="1"/>
  <c r="AR533" i="1" s="1"/>
  <c r="AG533" i="1"/>
  <c r="Z533" i="1"/>
  <c r="Q533" i="1"/>
  <c r="N533" i="1"/>
  <c r="BE532" i="1"/>
  <c r="BA532" i="1"/>
  <c r="AL532" i="1"/>
  <c r="AR532" i="1" s="1"/>
  <c r="AG532" i="1"/>
  <c r="Z532" i="1"/>
  <c r="Q532" i="1"/>
  <c r="N532" i="1"/>
  <c r="BE531" i="1"/>
  <c r="BA531" i="1"/>
  <c r="AL531" i="1"/>
  <c r="AR531" i="1" s="1"/>
  <c r="AG531" i="1"/>
  <c r="Z531" i="1"/>
  <c r="Q531" i="1"/>
  <c r="N531" i="1"/>
  <c r="S552" i="2"/>
  <c r="K552" i="2"/>
  <c r="S551" i="2"/>
  <c r="K551" i="2"/>
  <c r="S550" i="2"/>
  <c r="K550" i="2"/>
  <c r="S549" i="2"/>
  <c r="K549" i="2"/>
  <c r="S548" i="2"/>
  <c r="K548" i="2"/>
  <c r="S547" i="2"/>
  <c r="K547" i="2"/>
  <c r="S546" i="2"/>
  <c r="K546" i="2"/>
  <c r="S545" i="2"/>
  <c r="K545" i="2"/>
  <c r="S544" i="2"/>
  <c r="K544" i="2"/>
  <c r="S543" i="2"/>
  <c r="K543" i="2"/>
  <c r="S542" i="2"/>
  <c r="K542" i="2"/>
  <c r="S541" i="2"/>
  <c r="K541" i="2"/>
  <c r="S540" i="2"/>
  <c r="K540" i="2"/>
  <c r="K539" i="2"/>
  <c r="K538" i="2"/>
  <c r="S539" i="2"/>
  <c r="S538" i="2"/>
  <c r="S537" i="2"/>
  <c r="K537" i="2"/>
  <c r="S536" i="2"/>
  <c r="K536" i="2"/>
  <c r="S535" i="2"/>
  <c r="K535" i="2"/>
  <c r="S534" i="2"/>
  <c r="K534" i="2"/>
  <c r="S533" i="2"/>
  <c r="K533" i="2"/>
  <c r="S532" i="2"/>
  <c r="K532" i="2"/>
  <c r="BQ586" i="1"/>
  <c r="BQ587" i="1" s="1"/>
  <c r="BE530" i="1"/>
  <c r="BA530" i="1"/>
  <c r="AL530" i="1"/>
  <c r="AR530" i="1" s="1"/>
  <c r="AG530" i="1"/>
  <c r="Z530" i="1"/>
  <c r="Q530" i="1"/>
  <c r="N530" i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S531" i="2"/>
  <c r="K531" i="2"/>
  <c r="S530" i="2"/>
  <c r="K530" i="2"/>
  <c r="S529" i="2"/>
  <c r="K529" i="2"/>
  <c r="S528" i="2"/>
  <c r="S527" i="2"/>
  <c r="S526" i="2"/>
  <c r="K528" i="2"/>
  <c r="K527" i="2"/>
  <c r="K526" i="2"/>
  <c r="S525" i="2"/>
  <c r="K525" i="2"/>
  <c r="U530" i="2" l="1"/>
  <c r="BK556" i="1"/>
  <c r="BM556" i="1" s="1"/>
  <c r="BK555" i="1"/>
  <c r="BM555" i="1" s="1"/>
  <c r="BK554" i="1"/>
  <c r="BM554" i="1" s="1"/>
  <c r="BG549" i="1"/>
  <c r="AI549" i="1"/>
  <c r="AI556" i="1"/>
  <c r="AI550" i="1"/>
  <c r="AI557" i="1"/>
  <c r="BK548" i="1"/>
  <c r="BM548" i="1" s="1"/>
  <c r="BM557" i="1"/>
  <c r="M546" i="2"/>
  <c r="Q550" i="2"/>
  <c r="M538" i="2"/>
  <c r="AI551" i="1"/>
  <c r="S543" i="1"/>
  <c r="BK553" i="1"/>
  <c r="BM553" i="1" s="1"/>
  <c r="AI546" i="1"/>
  <c r="AI553" i="1"/>
  <c r="AI536" i="1"/>
  <c r="BK550" i="1"/>
  <c r="BM550" i="1" s="1"/>
  <c r="BK549" i="1"/>
  <c r="BM549" i="1" s="1"/>
  <c r="BK552" i="1"/>
  <c r="BM552" i="1" s="1"/>
  <c r="M551" i="2"/>
  <c r="Q548" i="2"/>
  <c r="Q553" i="2"/>
  <c r="M553" i="2"/>
  <c r="M537" i="2"/>
  <c r="M541" i="2"/>
  <c r="Q536" i="2"/>
  <c r="Q544" i="2"/>
  <c r="Q551" i="2"/>
  <c r="M549" i="2"/>
  <c r="Q552" i="2"/>
  <c r="Q547" i="2"/>
  <c r="BK551" i="1"/>
  <c r="BG551" i="1"/>
  <c r="S551" i="1"/>
  <c r="BG550" i="1"/>
  <c r="AR550" i="1"/>
  <c r="S550" i="1"/>
  <c r="S549" i="1"/>
  <c r="AI540" i="1"/>
  <c r="AI547" i="1"/>
  <c r="BK546" i="1"/>
  <c r="BM546" i="1" s="1"/>
  <c r="AI538" i="1"/>
  <c r="BK547" i="1"/>
  <c r="S542" i="1"/>
  <c r="BK545" i="1"/>
  <c r="BM545" i="1" s="1"/>
  <c r="AI548" i="1"/>
  <c r="BG548" i="1"/>
  <c r="S548" i="1"/>
  <c r="BG547" i="1"/>
  <c r="S547" i="1"/>
  <c r="BG546" i="1"/>
  <c r="S546" i="1"/>
  <c r="AI545" i="1"/>
  <c r="BG545" i="1"/>
  <c r="S545" i="1"/>
  <c r="AI544" i="1"/>
  <c r="BK540" i="1"/>
  <c r="BM540" i="1" s="1"/>
  <c r="BK539" i="1"/>
  <c r="BM539" i="1" s="1"/>
  <c r="AI542" i="1"/>
  <c r="BK544" i="1"/>
  <c r="BM544" i="1" s="1"/>
  <c r="AI541" i="1"/>
  <c r="S544" i="1"/>
  <c r="BK541" i="1"/>
  <c r="BM541" i="1" s="1"/>
  <c r="BG544" i="1"/>
  <c r="BK543" i="1"/>
  <c r="BM543" i="1" s="1"/>
  <c r="AI543" i="1"/>
  <c r="BG543" i="1"/>
  <c r="BK542" i="1"/>
  <c r="BG542" i="1"/>
  <c r="BG541" i="1"/>
  <c r="S541" i="1"/>
  <c r="BG540" i="1"/>
  <c r="S540" i="1"/>
  <c r="S537" i="1"/>
  <c r="BG537" i="1"/>
  <c r="S538" i="1"/>
  <c r="BK538" i="1"/>
  <c r="BM538" i="1" s="1"/>
  <c r="AI535" i="1"/>
  <c r="BK536" i="1"/>
  <c r="BM536" i="1" s="1"/>
  <c r="AI539" i="1"/>
  <c r="BK537" i="1"/>
  <c r="BM537" i="1" s="1"/>
  <c r="AI537" i="1"/>
  <c r="BG539" i="1"/>
  <c r="S539" i="1"/>
  <c r="BG538" i="1"/>
  <c r="BG536" i="1"/>
  <c r="S536" i="1"/>
  <c r="BK535" i="1"/>
  <c r="BG534" i="1"/>
  <c r="BG535" i="1"/>
  <c r="S535" i="1"/>
  <c r="AI531" i="1"/>
  <c r="AI533" i="1"/>
  <c r="BK534" i="1"/>
  <c r="BM534" i="1" s="1"/>
  <c r="AI534" i="1"/>
  <c r="BK531" i="1"/>
  <c r="BM531" i="1" s="1"/>
  <c r="BK533" i="1"/>
  <c r="BM533" i="1" s="1"/>
  <c r="AI532" i="1"/>
  <c r="S534" i="1"/>
  <c r="S533" i="1"/>
  <c r="BG533" i="1"/>
  <c r="BK532" i="1"/>
  <c r="BG532" i="1"/>
  <c r="S532" i="1"/>
  <c r="BG531" i="1"/>
  <c r="S531" i="1"/>
  <c r="M552" i="2"/>
  <c r="M550" i="2"/>
  <c r="Q549" i="2"/>
  <c r="M548" i="2"/>
  <c r="M547" i="2"/>
  <c r="Q539" i="2"/>
  <c r="Q540" i="2"/>
  <c r="Q543" i="2"/>
  <c r="M529" i="2"/>
  <c r="M542" i="2"/>
  <c r="Q545" i="2"/>
  <c r="Q546" i="2"/>
  <c r="M545" i="2"/>
  <c r="M544" i="2"/>
  <c r="M543" i="2"/>
  <c r="Q538" i="2"/>
  <c r="U537" i="2"/>
  <c r="M540" i="2"/>
  <c r="Q541" i="2"/>
  <c r="Q537" i="2"/>
  <c r="Q542" i="2"/>
  <c r="M539" i="2"/>
  <c r="Q533" i="2"/>
  <c r="U533" i="2"/>
  <c r="Q534" i="2"/>
  <c r="U536" i="2"/>
  <c r="Q532" i="2"/>
  <c r="Q527" i="2"/>
  <c r="U534" i="2"/>
  <c r="U528" i="2"/>
  <c r="Q535" i="2"/>
  <c r="M536" i="2"/>
  <c r="U535" i="2"/>
  <c r="M535" i="2"/>
  <c r="M534" i="2"/>
  <c r="M533" i="2"/>
  <c r="U532" i="2"/>
  <c r="M532" i="2"/>
  <c r="Q530" i="2"/>
  <c r="U529" i="2"/>
  <c r="Q528" i="2"/>
  <c r="BG526" i="1"/>
  <c r="BK530" i="1"/>
  <c r="BG530" i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BM551" i="1" l="1"/>
  <c r="BM547" i="1"/>
  <c r="BM542" i="1"/>
  <c r="BM535" i="1"/>
  <c r="BM532" i="1"/>
  <c r="BM530" i="1"/>
  <c r="BA677" i="1"/>
  <c r="BE523" i="1" l="1"/>
  <c r="BA523" i="1"/>
  <c r="BK529" i="1" s="1"/>
  <c r="AL523" i="1"/>
  <c r="AG523" i="1"/>
  <c r="AI530" i="1" s="1"/>
  <c r="Z523" i="1"/>
  <c r="Q523" i="1"/>
  <c r="S530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K524" i="2"/>
  <c r="S523" i="2"/>
  <c r="K523" i="2"/>
  <c r="S522" i="2"/>
  <c r="K522" i="2"/>
  <c r="S521" i="2"/>
  <c r="K521" i="2"/>
  <c r="S520" i="2"/>
  <c r="K520" i="2"/>
  <c r="S519" i="2"/>
  <c r="K519" i="2"/>
  <c r="S518" i="2"/>
  <c r="K518" i="2"/>
  <c r="U520" i="2" l="1"/>
  <c r="U524" i="2"/>
  <c r="Q524" i="2"/>
  <c r="Q525" i="2"/>
  <c r="M525" i="2"/>
  <c r="BM529" i="1"/>
  <c r="BK528" i="1"/>
  <c r="BM528" i="1" s="1"/>
  <c r="BK527" i="1"/>
  <c r="BM527" i="1" s="1"/>
  <c r="BK524" i="1"/>
  <c r="BM524" i="1" s="1"/>
  <c r="BK525" i="1"/>
  <c r="BM525" i="1" s="1"/>
  <c r="BK526" i="1"/>
  <c r="BK523" i="1"/>
  <c r="BM523" i="1" s="1"/>
  <c r="U523" i="2"/>
  <c r="AR523" i="1"/>
  <c r="BG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586" i="1"/>
  <c r="BU587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586" i="1"/>
  <c r="BV587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U501" i="2" s="1"/>
  <c r="S500" i="2"/>
  <c r="K500" i="2"/>
  <c r="S499" i="2"/>
  <c r="K499" i="2"/>
  <c r="S498" i="2"/>
  <c r="K498" i="2"/>
  <c r="S497" i="2"/>
  <c r="K497" i="2"/>
  <c r="U500" i="2" l="1"/>
  <c r="Q502" i="2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BM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K475" i="1" s="1"/>
  <c r="BM475" i="1" s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G470" i="1" l="1"/>
  <c r="BK474" i="1"/>
  <c r="BM474" i="1" s="1"/>
  <c r="BK476" i="1"/>
  <c r="BM476" i="1" s="1"/>
  <c r="BG471" i="1"/>
  <c r="CL712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558" i="3"/>
  <c r="AJ556" i="3"/>
  <c r="AJ559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676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598" i="1"/>
  <c r="D597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677" i="1"/>
  <c r="BG697" i="1"/>
  <c r="BG698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697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585" i="2"/>
  <c r="S357" i="2"/>
  <c r="AP712" i="1"/>
  <c r="BP698" i="1"/>
  <c r="BG699" i="1" s="1"/>
  <c r="BN695" i="1"/>
  <c r="BP695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676" i="1"/>
  <c r="BP676" i="1" s="1"/>
  <c r="BP678" i="1"/>
  <c r="BP679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699" i="1"/>
  <c r="BG700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696" i="1"/>
  <c r="BP696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700" i="1" l="1"/>
  <c r="Q358" i="2"/>
  <c r="M357" i="2"/>
  <c r="U357" i="2"/>
  <c r="M358" i="2"/>
  <c r="CL706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Y700" i="1" l="1"/>
  <c r="BA680" i="1" s="1"/>
  <c r="BG704" i="1"/>
  <c r="BP703" i="1"/>
  <c r="BP705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U339" i="2" l="1"/>
  <c r="Q340" i="2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671" i="1"/>
  <c r="N673" i="1" s="1"/>
  <c r="N674" i="1" l="1"/>
  <c r="D674" i="1" s="1"/>
  <c r="N675" i="1"/>
  <c r="N676" i="1"/>
  <c r="D675" i="1" l="1"/>
  <c r="D676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662" i="1"/>
  <c r="BG662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607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592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586" i="1"/>
  <c r="G587" i="1" s="1"/>
  <c r="F586" i="1"/>
  <c r="F587" i="1" s="1"/>
  <c r="E586" i="1"/>
  <c r="E587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610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607" i="1" l="1"/>
  <c r="AR606" i="1"/>
  <c r="AP606" i="1"/>
  <c r="AR605" i="1"/>
  <c r="AP605" i="1"/>
  <c r="AV605" i="1" l="1"/>
  <c r="AV606" i="1"/>
  <c r="AV607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651" i="1"/>
  <c r="N214" i="1"/>
  <c r="N204" i="1"/>
  <c r="BA650" i="1" s="1"/>
  <c r="N174" i="1"/>
  <c r="BA649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650" i="1" l="1"/>
  <c r="BE650" i="1" s="1"/>
  <c r="Q218" i="2"/>
  <c r="BC651" i="1"/>
  <c r="BE651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619" i="1"/>
  <c r="H619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638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591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589" i="1"/>
  <c r="BK592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639" i="1"/>
  <c r="AP640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634" i="1"/>
  <c r="H635" i="1"/>
  <c r="J635" i="1" s="1"/>
  <c r="H636" i="1"/>
  <c r="J636" i="1" s="1"/>
  <c r="S154" i="2"/>
  <c r="M156" i="2" l="1"/>
  <c r="Q156" i="2"/>
  <c r="O636" i="1"/>
  <c r="AI154" i="1"/>
  <c r="AI161" i="1"/>
  <c r="BK160" i="1"/>
  <c r="BM160" i="1" s="1"/>
  <c r="AR154" i="1"/>
  <c r="BG154" i="1"/>
  <c r="U155" i="2"/>
  <c r="J634" i="1"/>
  <c r="J641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637" i="1"/>
  <c r="AA636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573" i="3"/>
  <c r="F574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612" i="1" l="1"/>
  <c r="AR604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611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616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603" i="1" s="1"/>
  <c r="AH113" i="1"/>
  <c r="AP603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603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623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610" i="1"/>
  <c r="AP604" i="1" s="1"/>
  <c r="AV604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648" i="1"/>
  <c r="BC649" i="1" s="1"/>
  <c r="BE649" i="1" s="1"/>
  <c r="BE660" i="1"/>
  <c r="BE664" i="1" s="1"/>
  <c r="S127" i="1"/>
  <c r="S128" i="1"/>
  <c r="BE119" i="1"/>
  <c r="BA119" i="1"/>
  <c r="AL119" i="1"/>
  <c r="AR119" i="1" s="1"/>
  <c r="Q119" i="1"/>
  <c r="S126" i="1" s="1"/>
  <c r="K120" i="2"/>
  <c r="V530" i="1" l="1"/>
  <c r="V531" i="1" s="1"/>
  <c r="V532" i="1" s="1"/>
  <c r="V533" i="1" s="1"/>
  <c r="V534" i="1" s="1"/>
  <c r="V535" i="1" s="1"/>
  <c r="V536" i="1" s="1"/>
  <c r="V537" i="1" s="1"/>
  <c r="V538" i="1" s="1"/>
  <c r="BG651" i="1"/>
  <c r="Q121" i="2"/>
  <c r="M121" i="2"/>
  <c r="BG119" i="1"/>
  <c r="U120" i="2"/>
  <c r="S119" i="2"/>
  <c r="V539" i="1" l="1"/>
  <c r="V540" i="1" s="1"/>
  <c r="V541" i="1" s="1"/>
  <c r="V542" i="1" s="1"/>
  <c r="V543" i="1" s="1"/>
  <c r="BE118" i="1"/>
  <c r="BA118" i="1"/>
  <c r="AL118" i="1"/>
  <c r="AR118" i="1" s="1"/>
  <c r="Q118" i="1"/>
  <c r="S125" i="1" s="1"/>
  <c r="K119" i="2"/>
  <c r="V544" i="1" l="1"/>
  <c r="V545" i="1" s="1"/>
  <c r="V546" i="1" s="1"/>
  <c r="Q120" i="2"/>
  <c r="M120" i="2"/>
  <c r="BK124" i="1"/>
  <c r="BM124" i="1" s="1"/>
  <c r="BG118" i="1"/>
  <c r="U119" i="2"/>
  <c r="V547" i="1" l="1"/>
  <c r="S118" i="2"/>
  <c r="K118" i="2"/>
  <c r="BE117" i="1"/>
  <c r="BA117" i="1"/>
  <c r="AL117" i="1"/>
  <c r="AR117" i="1" s="1"/>
  <c r="AG117" i="1"/>
  <c r="Q117" i="1"/>
  <c r="S124" i="1" s="1"/>
  <c r="V548" i="1" l="1"/>
  <c r="V549" i="1" s="1"/>
  <c r="V550" i="1" s="1"/>
  <c r="V551" i="1" s="1"/>
  <c r="V552" i="1" s="1"/>
  <c r="V553" i="1" s="1"/>
  <c r="Q119" i="2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V554" i="1" l="1"/>
  <c r="V555" i="1" s="1"/>
  <c r="V556" i="1" s="1"/>
  <c r="V557" i="1" s="1"/>
  <c r="Q117" i="2"/>
  <c r="Q118" i="2"/>
  <c r="BG116" i="1"/>
  <c r="U117" i="2"/>
  <c r="M117" i="2"/>
  <c r="U116" i="2"/>
  <c r="BG115" i="1"/>
  <c r="V558" i="1" l="1"/>
  <c r="BE114" i="1"/>
  <c r="BA114" i="1"/>
  <c r="AL114" i="1"/>
  <c r="AR114" i="1" s="1"/>
  <c r="K115" i="2"/>
  <c r="S114" i="2"/>
  <c r="V559" i="1" l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Q116" i="2"/>
  <c r="M116" i="2"/>
  <c r="U115" i="2"/>
  <c r="BG114" i="1"/>
  <c r="V572" i="1" l="1"/>
  <c r="V573" i="1" s="1"/>
  <c r="V574" i="1" s="1"/>
  <c r="V575" i="1" s="1"/>
  <c r="V576" i="1" s="1"/>
  <c r="V577" i="1" s="1"/>
  <c r="BE113" i="1"/>
  <c r="BA113" i="1"/>
  <c r="BA660" i="1" s="1"/>
  <c r="AL113" i="1"/>
  <c r="K114" i="2"/>
  <c r="V578" i="1" l="1"/>
  <c r="BA664" i="1"/>
  <c r="BC662" i="1"/>
  <c r="BG660" i="1"/>
  <c r="M115" i="2"/>
  <c r="Q115" i="2"/>
  <c r="AR113" i="1"/>
  <c r="BG113" i="1"/>
  <c r="U114" i="2"/>
  <c r="V579" i="1" l="1"/>
  <c r="S113" i="2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555" i="3"/>
  <c r="AA554" i="3"/>
  <c r="AA553" i="3"/>
  <c r="AA552" i="3"/>
  <c r="AA551" i="3"/>
  <c r="AA550" i="3"/>
  <c r="AA549" i="3"/>
  <c r="AA548" i="3"/>
  <c r="AA547" i="3"/>
  <c r="AA546" i="3"/>
  <c r="Y556" i="3"/>
  <c r="W556" i="3"/>
  <c r="S107" i="2"/>
  <c r="AA556" i="3" l="1"/>
  <c r="AA559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U556" i="3" l="1"/>
  <c r="BG106" i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567" i="3"/>
  <c r="F570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602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602" i="1"/>
  <c r="AV602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557" i="3" l="1"/>
  <c r="I554" i="3"/>
  <c r="L554" i="3" s="1"/>
  <c r="I78" i="3"/>
  <c r="I80" i="3" s="1"/>
  <c r="I77" i="3"/>
  <c r="BE64" i="1"/>
  <c r="BA64" i="1"/>
  <c r="AL64" i="1"/>
  <c r="AR64" i="1" s="1"/>
  <c r="K65" i="2"/>
  <c r="Y19" i="3"/>
  <c r="Q66" i="2" l="1"/>
  <c r="M66" i="2"/>
  <c r="L557" i="3"/>
  <c r="I79" i="3"/>
  <c r="I81" i="3" s="1"/>
  <c r="I82" i="3" s="1"/>
  <c r="BG64" i="1"/>
  <c r="U65" i="2"/>
  <c r="S64" i="2"/>
  <c r="N81" i="3" l="1"/>
  <c r="N82" i="3" s="1"/>
  <c r="I556" i="3"/>
  <c r="L556" i="3" s="1"/>
  <c r="K64" i="2"/>
  <c r="BE63" i="1"/>
  <c r="BA63" i="1"/>
  <c r="AL63" i="1"/>
  <c r="AR63" i="1" s="1"/>
  <c r="Y18" i="3"/>
  <c r="Q65" i="2" l="1"/>
  <c r="M65" i="2"/>
  <c r="I558" i="3"/>
  <c r="U64" i="2"/>
  <c r="BG63" i="1"/>
  <c r="L547" i="3" l="1"/>
  <c r="L558" i="3"/>
  <c r="L546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597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647" i="1"/>
  <c r="B650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U362" i="3" l="1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601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609" i="1"/>
  <c r="AR611" i="1" s="1"/>
  <c r="AV611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601" i="1"/>
  <c r="AV601" i="1" s="1"/>
  <c r="BA607" i="1" s="1"/>
  <c r="BA608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583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W537" i="2" s="1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W550" i="2" s="1"/>
  <c r="W551" i="2" s="1"/>
  <c r="W552" i="2" s="1"/>
  <c r="W553" i="2" s="1"/>
  <c r="W554" i="2" s="1"/>
  <c r="W555" i="2" s="1"/>
  <c r="W556" i="2" s="1"/>
  <c r="W557" i="2" s="1"/>
  <c r="W558" i="2" s="1"/>
  <c r="W559" i="2" s="1"/>
  <c r="W560" i="2" s="1"/>
  <c r="W561" i="2" s="1"/>
  <c r="W562" i="2" s="1"/>
  <c r="W563" i="2" s="1"/>
  <c r="W564" i="2" s="1"/>
  <c r="W565" i="2" s="1"/>
  <c r="W566" i="2" s="1"/>
  <c r="W567" i="2" s="1"/>
  <c r="W568" i="2" s="1"/>
  <c r="W569" i="2" s="1"/>
  <c r="W570" i="2" s="1"/>
  <c r="W571" i="2" s="1"/>
  <c r="W572" i="2" s="1"/>
  <c r="W573" i="2" s="1"/>
  <c r="W574" i="2" s="1"/>
  <c r="W575" i="2" s="1"/>
  <c r="W576" i="2" s="1"/>
  <c r="W577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C525" i="2" l="1"/>
  <c r="C526" i="2" s="1"/>
  <c r="C527" i="2" s="1"/>
  <c r="C528" i="2" s="1"/>
  <c r="C529" i="2" s="1"/>
  <c r="C530" i="2" s="1"/>
  <c r="U456" i="3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C531" i="2" l="1"/>
  <c r="C532" i="2" s="1"/>
  <c r="C533" i="2" s="1"/>
  <c r="C534" i="2" s="1"/>
  <c r="C535" i="2" s="1"/>
  <c r="C536" i="2" s="1"/>
  <c r="C537" i="2" s="1"/>
  <c r="U459" i="3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C538" i="2" l="1"/>
  <c r="C539" i="2" s="1"/>
  <c r="C540" i="2" s="1"/>
  <c r="C541" i="2" s="1"/>
  <c r="C542" i="2" s="1"/>
  <c r="U464" i="3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C543" i="2" l="1"/>
  <c r="C544" i="2" s="1"/>
  <c r="C545" i="2" s="1"/>
  <c r="C546" i="2" s="1"/>
  <c r="U468" i="3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C547" i="2" l="1"/>
  <c r="C548" i="2" s="1"/>
  <c r="C549" i="2" s="1"/>
  <c r="C550" i="2" s="1"/>
  <c r="C551" i="2" s="1"/>
  <c r="C552" i="2" s="1"/>
  <c r="U480" i="3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C553" i="2" l="1"/>
  <c r="C554" i="2" s="1"/>
  <c r="C555" i="2" s="1"/>
  <c r="C556" i="2" s="1"/>
  <c r="U481" i="3"/>
  <c r="U482" i="3" s="1"/>
  <c r="U483" i="3" s="1"/>
  <c r="U484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C557" i="2" l="1"/>
  <c r="C558" i="2" s="1"/>
  <c r="C559" i="2" s="1"/>
  <c r="U485" i="3"/>
  <c r="U486" i="3" s="1"/>
  <c r="U487" i="3" s="1"/>
  <c r="U488" i="3" s="1"/>
  <c r="B311" i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C560" i="2" l="1"/>
  <c r="C561" i="2" s="1"/>
  <c r="C562" i="2" s="1"/>
  <c r="C563" i="2" s="1"/>
  <c r="C564" i="2" s="1"/>
  <c r="C565" i="2" s="1"/>
  <c r="U489" i="3"/>
  <c r="U490" i="3" s="1"/>
  <c r="U491" i="3" s="1"/>
  <c r="U492" i="3" s="1"/>
  <c r="U493" i="3" s="1"/>
  <c r="B318" i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C566" i="2" l="1"/>
  <c r="C567" i="2" s="1"/>
  <c r="C568" i="2" s="1"/>
  <c r="C569" i="2" s="1"/>
  <c r="C570" i="2" s="1"/>
  <c r="C571" i="2" s="1"/>
  <c r="U494" i="3"/>
  <c r="U495" i="3" s="1"/>
  <c r="U496" i="3" s="1"/>
  <c r="U497" i="3" s="1"/>
  <c r="B325" i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C572" i="2" l="1"/>
  <c r="C573" i="2" s="1"/>
  <c r="U498" i="3"/>
  <c r="U499" i="3" s="1"/>
  <c r="U500" i="3" s="1"/>
  <c r="U501" i="3" s="1"/>
  <c r="AE34" i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C574" i="2" l="1"/>
  <c r="C575" i="2" s="1"/>
  <c r="C576" i="2" s="1"/>
  <c r="C577" i="2" s="1"/>
  <c r="C582" i="2" s="1"/>
  <c r="C583" i="2" s="1"/>
  <c r="U502" i="3"/>
  <c r="U503" i="3" s="1"/>
  <c r="U504" i="3" s="1"/>
  <c r="U505" i="3" s="1"/>
  <c r="B340" i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U506" i="3" l="1"/>
  <c r="U507" i="3" s="1"/>
  <c r="U508" i="3" s="1"/>
  <c r="B348" i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U509" i="3" l="1"/>
  <c r="U510" i="3" s="1"/>
  <c r="U511" i="3" s="1"/>
  <c r="U512" i="3" s="1"/>
  <c r="U513" i="3" s="1"/>
  <c r="U514" i="3" s="1"/>
  <c r="U515" i="3" s="1"/>
  <c r="B353" i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U516" i="3" l="1"/>
  <c r="U517" i="3" s="1"/>
  <c r="U518" i="3" s="1"/>
  <c r="U519" i="3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U520" i="3" l="1"/>
  <c r="U521" i="3" s="1"/>
  <c r="U522" i="3" s="1"/>
  <c r="U523" i="3" s="1"/>
  <c r="U524" i="3" s="1"/>
  <c r="U525" i="3" s="1"/>
  <c r="B369" i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U526" i="3" l="1"/>
  <c r="U527" i="3" s="1"/>
  <c r="U528" i="3" s="1"/>
  <c r="U529" i="3" s="1"/>
  <c r="U530" i="3" s="1"/>
  <c r="U531" i="3" s="1"/>
  <c r="U532" i="3" s="1"/>
  <c r="U538" i="3" s="1"/>
  <c r="B372" i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B381" i="1" l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B391" i="1" l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H42" i="1" l="1"/>
  <c r="O42" i="1" s="1"/>
  <c r="J42" i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AC42" i="1"/>
  <c r="B404" i="1" l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B407" i="1" l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B412" i="1" l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418" i="1" l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421" i="1" l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426" i="1" l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430" i="1" l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434" i="1" l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441" i="1" l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B445" i="1" l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B448" i="1" l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B453" i="1" l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457" i="1" l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462" i="1" l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473" i="1" l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B475" i="1" l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482" i="1" l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485" i="1" l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489" i="1" l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B495" i="1" l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499" i="1" l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504" i="1" l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509" i="1" l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513" i="1" l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B528" i="1" l="1"/>
  <c r="B529" i="1" s="1"/>
  <c r="B530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531" i="1" l="1"/>
  <c r="B532" i="1" s="1"/>
  <c r="B533" i="1" s="1"/>
  <c r="B534" i="1" s="1"/>
  <c r="BW124" i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535" i="1" l="1"/>
  <c r="B536" i="1" s="1"/>
  <c r="B537" i="1" s="1"/>
  <c r="B538" i="1" s="1"/>
  <c r="B539" i="1" s="1"/>
  <c r="BW125" i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540" i="1" l="1"/>
  <c r="B541" i="1" s="1"/>
  <c r="B542" i="1" s="1"/>
  <c r="B543" i="1" s="1"/>
  <c r="B544" i="1" s="1"/>
  <c r="BW126" i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545" i="1" l="1"/>
  <c r="B546" i="1" s="1"/>
  <c r="B547" i="1" s="1"/>
  <c r="B548" i="1" s="1"/>
  <c r="BW127" i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549" i="1" l="1"/>
  <c r="B550" i="1" s="1"/>
  <c r="B551" i="1" s="1"/>
  <c r="B552" i="1" s="1"/>
  <c r="B553" i="1" s="1"/>
  <c r="B554" i="1" s="1"/>
  <c r="BW128" i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555" i="1" l="1"/>
  <c r="B556" i="1" s="1"/>
  <c r="B557" i="1" s="1"/>
  <c r="B558" i="1" s="1"/>
  <c r="B559" i="1" s="1"/>
  <c r="BN129" i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560" i="1" l="1"/>
  <c r="B561" i="1" s="1"/>
  <c r="B562" i="1" s="1"/>
  <c r="B563" i="1" s="1"/>
  <c r="B564" i="1" s="1"/>
  <c r="BW131" i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565" i="1" l="1"/>
  <c r="B566" i="1" s="1"/>
  <c r="B567" i="1" s="1"/>
  <c r="B568" i="1" s="1"/>
  <c r="B569" i="1" s="1"/>
  <c r="BW132" i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570" i="1" l="1"/>
  <c r="B571" i="1" s="1"/>
  <c r="B572" i="1" s="1"/>
  <c r="B573" i="1" s="1"/>
  <c r="BW133" i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574" i="1" l="1"/>
  <c r="B575" i="1" s="1"/>
  <c r="B576" i="1" s="1"/>
  <c r="B577" i="1" s="1"/>
  <c r="B578" i="1" s="1"/>
  <c r="B579" i="1" s="1"/>
  <c r="B584" i="1" s="1"/>
  <c r="BW134" i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558" i="3"/>
  <c r="Y559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558" i="3"/>
  <c r="W559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620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673" i="1" s="1"/>
  <c r="O173" i="1"/>
  <c r="AV173" i="1"/>
  <c r="AC173" i="1"/>
  <c r="BE673" i="1" l="1"/>
  <c r="BA695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695" i="1" l="1"/>
  <c r="BP673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695" i="1" l="1"/>
  <c r="CA695" i="1" s="1"/>
  <c r="BC695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686" i="1" s="1"/>
  <c r="BA674" i="1" s="1"/>
  <c r="J235" i="1"/>
  <c r="O234" i="1"/>
  <c r="AC234" i="1"/>
  <c r="BE674" i="1" l="1"/>
  <c r="BA696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674" i="1" l="1"/>
  <c r="BE696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696" i="1" l="1"/>
  <c r="BC696" i="1"/>
  <c r="BC700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600" i="1"/>
  <c r="AV269" i="1"/>
  <c r="H601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688" i="1"/>
  <c r="BA675" i="1" s="1"/>
  <c r="BA679" i="1" s="1"/>
  <c r="BR683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681" i="1"/>
  <c r="AA403" i="1"/>
  <c r="AA404" i="1" s="1"/>
  <c r="AE402" i="1"/>
  <c r="BE675" i="1"/>
  <c r="BA697" i="1"/>
  <c r="BA698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682" i="1"/>
  <c r="AA405" i="1"/>
  <c r="AE404" i="1"/>
  <c r="AE403" i="1"/>
  <c r="BE679" i="1"/>
  <c r="BE697" i="1"/>
  <c r="BP675" i="1"/>
  <c r="AC329" i="1"/>
  <c r="J330" i="1"/>
  <c r="H330" i="1"/>
  <c r="AV329" i="1"/>
  <c r="O329" i="1"/>
  <c r="BE699" i="1" l="1"/>
  <c r="BA700" i="1"/>
  <c r="BE700" i="1" s="1"/>
  <c r="BR700" i="1" s="1"/>
  <c r="CL701" i="1" s="1"/>
  <c r="BE698" i="1"/>
  <c r="BC697" i="1"/>
  <c r="AX439" i="1"/>
  <c r="BW440" i="1"/>
  <c r="BW441" i="1" s="1"/>
  <c r="BN439" i="1"/>
  <c r="BR424" i="1"/>
  <c r="BP425" i="1"/>
  <c r="BP426" i="1" s="1"/>
  <c r="AE405" i="1"/>
  <c r="AA406" i="1"/>
  <c r="AA407" i="1" s="1"/>
  <c r="BR697" i="1"/>
  <c r="D679" i="1"/>
  <c r="BG679" i="1"/>
  <c r="AC330" i="1"/>
  <c r="J331" i="1"/>
  <c r="H331" i="1"/>
  <c r="O330" i="1"/>
  <c r="AV330" i="1"/>
  <c r="AA285" i="3"/>
  <c r="AA286" i="3"/>
  <c r="AA283" i="3"/>
  <c r="AA284" i="3"/>
  <c r="AA282" i="3"/>
  <c r="AH579" i="1" l="1"/>
  <c r="AH578" i="1"/>
  <c r="AH573" i="1"/>
  <c r="AH574" i="1"/>
  <c r="AH575" i="1"/>
  <c r="AH577" i="1"/>
  <c r="AH576" i="1"/>
  <c r="AH570" i="1"/>
  <c r="AH572" i="1"/>
  <c r="AH571" i="1"/>
  <c r="AH567" i="1"/>
  <c r="AH568" i="1"/>
  <c r="AH565" i="1"/>
  <c r="AH566" i="1"/>
  <c r="AH569" i="1"/>
  <c r="AH564" i="1"/>
  <c r="AH563" i="1"/>
  <c r="AH560" i="1"/>
  <c r="AH562" i="1"/>
  <c r="AH561" i="1"/>
  <c r="AH559" i="1"/>
  <c r="AH557" i="1"/>
  <c r="AH555" i="1"/>
  <c r="AH556" i="1"/>
  <c r="AH558" i="1"/>
  <c r="AH553" i="1"/>
  <c r="AH550" i="1"/>
  <c r="AH552" i="1"/>
  <c r="AH549" i="1"/>
  <c r="AH551" i="1"/>
  <c r="AH554" i="1"/>
  <c r="AH547" i="1"/>
  <c r="AH548" i="1"/>
  <c r="AH545" i="1"/>
  <c r="AH546" i="1"/>
  <c r="AH542" i="1"/>
  <c r="AH541" i="1"/>
  <c r="AH543" i="1"/>
  <c r="AH540" i="1"/>
  <c r="AH544" i="1"/>
  <c r="AH539" i="1"/>
  <c r="AH535" i="1"/>
  <c r="AH537" i="1"/>
  <c r="AH536" i="1"/>
  <c r="AH538" i="1"/>
  <c r="AH533" i="1"/>
  <c r="AH532" i="1"/>
  <c r="AH534" i="1"/>
  <c r="AH531" i="1"/>
  <c r="AH530" i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698" i="1"/>
  <c r="BC698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679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BW584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W531" i="1" s="1"/>
  <c r="BR514" i="1"/>
  <c r="BP515" i="1"/>
  <c r="AA496" i="1"/>
  <c r="AE495" i="1"/>
  <c r="AE494" i="1"/>
  <c r="AV400" i="1"/>
  <c r="H401" i="1"/>
  <c r="J401" i="1"/>
  <c r="O400" i="1"/>
  <c r="AC400" i="1"/>
  <c r="BN531" i="1" l="1"/>
  <c r="BW532" i="1"/>
  <c r="AX531" i="1"/>
  <c r="BN530" i="1"/>
  <c r="AX530" i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N532" i="1" l="1"/>
  <c r="BW533" i="1"/>
  <c r="AX532" i="1"/>
  <c r="BR517" i="1"/>
  <c r="BP518" i="1"/>
  <c r="BR516" i="1"/>
  <c r="AA498" i="1"/>
  <c r="AA499" i="1" s="1"/>
  <c r="AE497" i="1"/>
  <c r="O402" i="1"/>
  <c r="J403" i="1"/>
  <c r="H403" i="1"/>
  <c r="AV402" i="1"/>
  <c r="AC402" i="1"/>
  <c r="AX533" i="1" l="1"/>
  <c r="BW534" i="1"/>
  <c r="BW535" i="1" s="1"/>
  <c r="BN533" i="1"/>
  <c r="BR518" i="1"/>
  <c r="BP519" i="1"/>
  <c r="AE499" i="1"/>
  <c r="AA500" i="1"/>
  <c r="AE498" i="1"/>
  <c r="J404" i="1"/>
  <c r="H404" i="1"/>
  <c r="AV403" i="1"/>
  <c r="O403" i="1"/>
  <c r="AC403" i="1"/>
  <c r="BN535" i="1" l="1"/>
  <c r="BW536" i="1"/>
  <c r="AX535" i="1"/>
  <c r="BN534" i="1"/>
  <c r="AX534" i="1"/>
  <c r="BR519" i="1"/>
  <c r="BP520" i="1"/>
  <c r="AA501" i="1"/>
  <c r="AE500" i="1"/>
  <c r="AV404" i="1"/>
  <c r="H405" i="1"/>
  <c r="J405" i="1"/>
  <c r="O404" i="1"/>
  <c r="AC404" i="1"/>
  <c r="BN536" i="1" l="1"/>
  <c r="BW537" i="1"/>
  <c r="AX536" i="1"/>
  <c r="BP521" i="1"/>
  <c r="BR520" i="1"/>
  <c r="AA502" i="1"/>
  <c r="AE501" i="1"/>
  <c r="AV405" i="1"/>
  <c r="J406" i="1"/>
  <c r="H406" i="1"/>
  <c r="O405" i="1"/>
  <c r="AC405" i="1"/>
  <c r="BN537" i="1" l="1"/>
  <c r="BW538" i="1"/>
  <c r="AX537" i="1"/>
  <c r="BP522" i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AX538" i="1" l="1"/>
  <c r="BW539" i="1"/>
  <c r="BW540" i="1" s="1"/>
  <c r="BN538" i="1"/>
  <c r="BP523" i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N540" i="1" l="1"/>
  <c r="BW541" i="1"/>
  <c r="AX540" i="1"/>
  <c r="AX539" i="1"/>
  <c r="BN539" i="1"/>
  <c r="BP527" i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AX541" i="1" l="1"/>
  <c r="BN541" i="1"/>
  <c r="BW542" i="1"/>
  <c r="BR528" i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N542" i="1" l="1"/>
  <c r="BW543" i="1"/>
  <c r="AX542" i="1"/>
  <c r="BR529" i="1"/>
  <c r="BP530" i="1"/>
  <c r="BP531" i="1" s="1"/>
  <c r="AA508" i="1"/>
  <c r="AA509" i="1" s="1"/>
  <c r="AE507" i="1"/>
  <c r="AV410" i="1"/>
  <c r="H411" i="1"/>
  <c r="J411" i="1"/>
  <c r="O410" i="1"/>
  <c r="AC410" i="1"/>
  <c r="AX543" i="1" l="1"/>
  <c r="BW544" i="1"/>
  <c r="BW545" i="1" s="1"/>
  <c r="BN543" i="1"/>
  <c r="BP532" i="1"/>
  <c r="BR531" i="1"/>
  <c r="BR530" i="1"/>
  <c r="AA510" i="1"/>
  <c r="AE509" i="1"/>
  <c r="AE508" i="1"/>
  <c r="J412" i="1"/>
  <c r="H412" i="1"/>
  <c r="AV411" i="1"/>
  <c r="O411" i="1"/>
  <c r="AC411" i="1"/>
  <c r="BN545" i="1" l="1"/>
  <c r="BW546" i="1"/>
  <c r="AX545" i="1"/>
  <c r="AX544" i="1"/>
  <c r="BN544" i="1"/>
  <c r="BR532" i="1"/>
  <c r="BP533" i="1"/>
  <c r="AA511" i="1"/>
  <c r="AE510" i="1"/>
  <c r="AV412" i="1"/>
  <c r="J413" i="1"/>
  <c r="H413" i="1"/>
  <c r="O412" i="1"/>
  <c r="AC412" i="1"/>
  <c r="AX546" i="1" l="1"/>
  <c r="BW547" i="1"/>
  <c r="BN546" i="1"/>
  <c r="BR533" i="1"/>
  <c r="BP534" i="1"/>
  <c r="BP535" i="1" s="1"/>
  <c r="AE511" i="1"/>
  <c r="AA512" i="1"/>
  <c r="AA513" i="1" s="1"/>
  <c r="AV413" i="1"/>
  <c r="J414" i="1"/>
  <c r="H414" i="1"/>
  <c r="O413" i="1"/>
  <c r="AC413" i="1"/>
  <c r="AX547" i="1" l="1"/>
  <c r="BW548" i="1"/>
  <c r="BW549" i="1" s="1"/>
  <c r="BN547" i="1"/>
  <c r="BR535" i="1"/>
  <c r="BP536" i="1"/>
  <c r="BR534" i="1"/>
  <c r="AA514" i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X549" i="1" l="1"/>
  <c r="BW550" i="1"/>
  <c r="BN549" i="1"/>
  <c r="BN548" i="1"/>
  <c r="AX548" i="1"/>
  <c r="BP537" i="1"/>
  <c r="BR536" i="1"/>
  <c r="AA515" i="1"/>
  <c r="AE514" i="1"/>
  <c r="AV415" i="1"/>
  <c r="J416" i="1"/>
  <c r="H416" i="1"/>
  <c r="O415" i="1"/>
  <c r="AC415" i="1"/>
  <c r="BN550" i="1" l="1"/>
  <c r="AX550" i="1"/>
  <c r="BW551" i="1"/>
  <c r="BP538" i="1"/>
  <c r="BR537" i="1"/>
  <c r="AE515" i="1"/>
  <c r="AA516" i="1"/>
  <c r="AA517" i="1" s="1"/>
  <c r="AV416" i="1"/>
  <c r="J417" i="1"/>
  <c r="H417" i="1"/>
  <c r="O416" i="1"/>
  <c r="AC416" i="1"/>
  <c r="BN551" i="1" l="1"/>
  <c r="BW552" i="1"/>
  <c r="AX551" i="1"/>
  <c r="BR538" i="1"/>
  <c r="BP539" i="1"/>
  <c r="AA518" i="1"/>
  <c r="AE517" i="1"/>
  <c r="AE516" i="1"/>
  <c r="J418" i="1"/>
  <c r="H418" i="1"/>
  <c r="AV417" i="1"/>
  <c r="O417" i="1"/>
  <c r="AC417" i="1"/>
  <c r="BN552" i="1" l="1"/>
  <c r="BW553" i="1"/>
  <c r="AX552" i="1"/>
  <c r="BR539" i="1"/>
  <c r="BP540" i="1"/>
  <c r="AE518" i="1"/>
  <c r="AA519" i="1"/>
  <c r="AV418" i="1"/>
  <c r="H419" i="1"/>
  <c r="J419" i="1"/>
  <c r="O418" i="1"/>
  <c r="AC418" i="1"/>
  <c r="AX553" i="1" l="1"/>
  <c r="BW554" i="1"/>
  <c r="BW555" i="1" s="1"/>
  <c r="BN553" i="1"/>
  <c r="BR540" i="1"/>
  <c r="BP541" i="1"/>
  <c r="AA520" i="1"/>
  <c r="AE519" i="1"/>
  <c r="AV419" i="1"/>
  <c r="H420" i="1"/>
  <c r="J420" i="1"/>
  <c r="O419" i="1"/>
  <c r="AC419" i="1"/>
  <c r="AA375" i="3"/>
  <c r="AA373" i="3"/>
  <c r="AA374" i="3"/>
  <c r="AA372" i="3"/>
  <c r="BN555" i="1" l="1"/>
  <c r="BW556" i="1"/>
  <c r="AX555" i="1"/>
  <c r="AX554" i="1"/>
  <c r="BN554" i="1"/>
  <c r="BR541" i="1"/>
  <c r="BP542" i="1"/>
  <c r="AE520" i="1"/>
  <c r="AA521" i="1"/>
  <c r="J421" i="1"/>
  <c r="H421" i="1"/>
  <c r="AV420" i="1"/>
  <c r="O420" i="1"/>
  <c r="AC420" i="1"/>
  <c r="BN556" i="1" l="1"/>
  <c r="BW557" i="1"/>
  <c r="AX556" i="1"/>
  <c r="BR542" i="1"/>
  <c r="BP543" i="1"/>
  <c r="AE521" i="1"/>
  <c r="AA522" i="1"/>
  <c r="AA523" i="1" s="1"/>
  <c r="AA524" i="1" s="1"/>
  <c r="AV421" i="1"/>
  <c r="H422" i="1"/>
  <c r="O421" i="1"/>
  <c r="J422" i="1"/>
  <c r="AC421" i="1"/>
  <c r="BN557" i="1" l="1"/>
  <c r="BW558" i="1"/>
  <c r="AX557" i="1"/>
  <c r="BR543" i="1"/>
  <c r="BP544" i="1"/>
  <c r="AE524" i="1"/>
  <c r="AA525" i="1"/>
  <c r="AE523" i="1"/>
  <c r="AE522" i="1"/>
  <c r="AV422" i="1"/>
  <c r="J423" i="1"/>
  <c r="H423" i="1"/>
  <c r="O422" i="1"/>
  <c r="AC422" i="1"/>
  <c r="BN558" i="1" l="1"/>
  <c r="BW559" i="1"/>
  <c r="BW560" i="1" s="1"/>
  <c r="AX558" i="1"/>
  <c r="BR544" i="1"/>
  <c r="BP545" i="1"/>
  <c r="AE525" i="1"/>
  <c r="AA526" i="1"/>
  <c r="AV423" i="1"/>
  <c r="J424" i="1"/>
  <c r="H424" i="1"/>
  <c r="O423" i="1"/>
  <c r="AC423" i="1"/>
  <c r="AA379" i="3"/>
  <c r="AA377" i="3"/>
  <c r="AA378" i="3"/>
  <c r="AA376" i="3"/>
  <c r="BN560" i="1" l="1"/>
  <c r="BW561" i="1"/>
  <c r="AX560" i="1"/>
  <c r="BN559" i="1"/>
  <c r="AX559" i="1"/>
  <c r="BR545" i="1"/>
  <c r="BP546" i="1"/>
  <c r="AE526" i="1"/>
  <c r="AA527" i="1"/>
  <c r="AA528" i="1" s="1"/>
  <c r="AV424" i="1"/>
  <c r="H425" i="1"/>
  <c r="J425" i="1"/>
  <c r="O424" i="1"/>
  <c r="AC424" i="1"/>
  <c r="BN561" i="1" l="1"/>
  <c r="BW562" i="1"/>
  <c r="AX561" i="1"/>
  <c r="BR546" i="1"/>
  <c r="BP547" i="1"/>
  <c r="AA529" i="1"/>
  <c r="AE528" i="1"/>
  <c r="AE527" i="1"/>
  <c r="J426" i="1"/>
  <c r="H426" i="1"/>
  <c r="AV425" i="1"/>
  <c r="O425" i="1"/>
  <c r="AC425" i="1"/>
  <c r="BN562" i="1" l="1"/>
  <c r="BW563" i="1"/>
  <c r="AX562" i="1"/>
  <c r="BR547" i="1"/>
  <c r="BP548" i="1"/>
  <c r="AE529" i="1"/>
  <c r="AA530" i="1"/>
  <c r="AA531" i="1" s="1"/>
  <c r="AV426" i="1"/>
  <c r="J427" i="1"/>
  <c r="H427" i="1"/>
  <c r="O426" i="1"/>
  <c r="AC426" i="1"/>
  <c r="AX563" i="1" l="1"/>
  <c r="BW564" i="1"/>
  <c r="BW565" i="1" s="1"/>
  <c r="BN563" i="1"/>
  <c r="BR548" i="1"/>
  <c r="BP549" i="1"/>
  <c r="AE531" i="1"/>
  <c r="AA532" i="1"/>
  <c r="AE530" i="1"/>
  <c r="AV427" i="1"/>
  <c r="J428" i="1"/>
  <c r="H428" i="1"/>
  <c r="O427" i="1"/>
  <c r="AC427" i="1"/>
  <c r="BN565" i="1" l="1"/>
  <c r="BW566" i="1"/>
  <c r="AX565" i="1"/>
  <c r="BN564" i="1"/>
  <c r="AX564" i="1"/>
  <c r="BR549" i="1"/>
  <c r="BP550" i="1"/>
  <c r="AE532" i="1"/>
  <c r="AA533" i="1"/>
  <c r="AV428" i="1"/>
  <c r="H429" i="1"/>
  <c r="J429" i="1"/>
  <c r="O428" i="1"/>
  <c r="AC428" i="1"/>
  <c r="AA383" i="3"/>
  <c r="AA384" i="3"/>
  <c r="AA381" i="3"/>
  <c r="AA382" i="3"/>
  <c r="AA380" i="3"/>
  <c r="BN566" i="1" l="1"/>
  <c r="BW567" i="1"/>
  <c r="AX566" i="1"/>
  <c r="BR550" i="1"/>
  <c r="BP551" i="1"/>
  <c r="AA534" i="1"/>
  <c r="AA535" i="1" s="1"/>
  <c r="AE533" i="1"/>
  <c r="J430" i="1"/>
  <c r="H430" i="1"/>
  <c r="AV429" i="1"/>
  <c r="O429" i="1"/>
  <c r="AC429" i="1"/>
  <c r="BN567" i="1" l="1"/>
  <c r="BW568" i="1"/>
  <c r="AX567" i="1"/>
  <c r="BP552" i="1"/>
  <c r="BR551" i="1"/>
  <c r="AE535" i="1"/>
  <c r="AA536" i="1"/>
  <c r="AE534" i="1"/>
  <c r="AV430" i="1"/>
  <c r="O430" i="1"/>
  <c r="J431" i="1"/>
  <c r="H431" i="1"/>
  <c r="AC430" i="1"/>
  <c r="BN568" i="1" l="1"/>
  <c r="AX568" i="1"/>
  <c r="BW569" i="1"/>
  <c r="BW570" i="1" s="1"/>
  <c r="BW571" i="1" s="1"/>
  <c r="BR552" i="1"/>
  <c r="BP553" i="1"/>
  <c r="AE536" i="1"/>
  <c r="AA537" i="1"/>
  <c r="AV431" i="1"/>
  <c r="J432" i="1"/>
  <c r="H432" i="1"/>
  <c r="O431" i="1"/>
  <c r="AC431" i="1"/>
  <c r="AX571" i="1" l="1"/>
  <c r="BW572" i="1"/>
  <c r="BW573" i="1" s="1"/>
  <c r="BN571" i="1"/>
  <c r="BN570" i="1"/>
  <c r="AX570" i="1"/>
  <c r="BN569" i="1"/>
  <c r="AX569" i="1"/>
  <c r="BR553" i="1"/>
  <c r="BP554" i="1"/>
  <c r="BP555" i="1" s="1"/>
  <c r="AA538" i="1"/>
  <c r="AE537" i="1"/>
  <c r="AV432" i="1"/>
  <c r="H433" i="1"/>
  <c r="J433" i="1"/>
  <c r="O432" i="1"/>
  <c r="AC432" i="1"/>
  <c r="AA386" i="3"/>
  <c r="AA387" i="3"/>
  <c r="AA385" i="3"/>
  <c r="AX573" i="1" l="1"/>
  <c r="BW574" i="1"/>
  <c r="BN573" i="1"/>
  <c r="AX572" i="1"/>
  <c r="BN572" i="1"/>
  <c r="BR555" i="1"/>
  <c r="BP556" i="1"/>
  <c r="BR554" i="1"/>
  <c r="AE538" i="1"/>
  <c r="AA539" i="1"/>
  <c r="AA540" i="1" s="1"/>
  <c r="J434" i="1"/>
  <c r="H434" i="1"/>
  <c r="AV433" i="1"/>
  <c r="O433" i="1"/>
  <c r="AC433" i="1"/>
  <c r="BN574" i="1" l="1"/>
  <c r="BW575" i="1"/>
  <c r="AX574" i="1"/>
  <c r="BP557" i="1"/>
  <c r="BR556" i="1"/>
  <c r="AE540" i="1"/>
  <c r="AA541" i="1"/>
  <c r="AE539" i="1"/>
  <c r="AV434" i="1"/>
  <c r="H435" i="1"/>
  <c r="J435" i="1"/>
  <c r="O434" i="1"/>
  <c r="AC434" i="1"/>
  <c r="AX575" i="1" l="1"/>
  <c r="BW576" i="1"/>
  <c r="BN575" i="1"/>
  <c r="BR557" i="1"/>
  <c r="BP558" i="1"/>
  <c r="AE541" i="1"/>
  <c r="AA542" i="1"/>
  <c r="AV435" i="1"/>
  <c r="O435" i="1"/>
  <c r="J436" i="1"/>
  <c r="H436" i="1"/>
  <c r="AC435" i="1"/>
  <c r="BN576" i="1" l="1"/>
  <c r="AX576" i="1"/>
  <c r="BW577" i="1"/>
  <c r="BR558" i="1"/>
  <c r="BP559" i="1"/>
  <c r="AE542" i="1"/>
  <c r="AA543" i="1"/>
  <c r="AV436" i="1"/>
  <c r="O436" i="1"/>
  <c r="H437" i="1"/>
  <c r="J437" i="1"/>
  <c r="AC436" i="1"/>
  <c r="AA391" i="3"/>
  <c r="AA389" i="3"/>
  <c r="AA390" i="3"/>
  <c r="AA388" i="3"/>
  <c r="AX577" i="1" l="1"/>
  <c r="BW578" i="1"/>
  <c r="BN577" i="1"/>
  <c r="BR559" i="1"/>
  <c r="BP560" i="1"/>
  <c r="AA544" i="1"/>
  <c r="AA545" i="1" s="1"/>
  <c r="AE543" i="1"/>
  <c r="J438" i="1"/>
  <c r="H438" i="1"/>
  <c r="AV437" i="1"/>
  <c r="O437" i="1"/>
  <c r="AC437" i="1"/>
  <c r="BN578" i="1" l="1"/>
  <c r="BW579" i="1"/>
  <c r="AX578" i="1"/>
  <c r="BP561" i="1"/>
  <c r="BR560" i="1"/>
  <c r="AE545" i="1"/>
  <c r="AA546" i="1"/>
  <c r="AE544" i="1"/>
  <c r="AV438" i="1"/>
  <c r="O438" i="1"/>
  <c r="J439" i="1"/>
  <c r="H439" i="1"/>
  <c r="AC438" i="1"/>
  <c r="BN579" i="1" l="1"/>
  <c r="AX579" i="1"/>
  <c r="BR561" i="1"/>
  <c r="BP562" i="1"/>
  <c r="AA547" i="1"/>
  <c r="AE546" i="1"/>
  <c r="AV439" i="1"/>
  <c r="J440" i="1"/>
  <c r="H440" i="1"/>
  <c r="O439" i="1"/>
  <c r="AC439" i="1"/>
  <c r="AA395" i="3"/>
  <c r="AA392" i="3"/>
  <c r="BR562" i="1" l="1"/>
  <c r="BP563" i="1"/>
  <c r="AA548" i="1"/>
  <c r="AA549" i="1" s="1"/>
  <c r="AE547" i="1"/>
  <c r="J441" i="1"/>
  <c r="H441" i="1"/>
  <c r="AV440" i="1"/>
  <c r="O440" i="1"/>
  <c r="AC440" i="1"/>
  <c r="AA393" i="3"/>
  <c r="AA394" i="3"/>
  <c r="BR563" i="1" l="1"/>
  <c r="BP564" i="1"/>
  <c r="BP565" i="1" s="1"/>
  <c r="AA550" i="1"/>
  <c r="AE549" i="1"/>
  <c r="AE548" i="1"/>
  <c r="AV441" i="1"/>
  <c r="J442" i="1"/>
  <c r="H442" i="1"/>
  <c r="O441" i="1"/>
  <c r="AC441" i="1"/>
  <c r="BR565" i="1" l="1"/>
  <c r="BP566" i="1"/>
  <c r="BR564" i="1"/>
  <c r="AE550" i="1"/>
  <c r="AA551" i="1"/>
  <c r="AV442" i="1"/>
  <c r="J443" i="1"/>
  <c r="H443" i="1"/>
  <c r="O442" i="1"/>
  <c r="AC442" i="1"/>
  <c r="BR566" i="1" l="1"/>
  <c r="BP567" i="1"/>
  <c r="AE551" i="1"/>
  <c r="AA552" i="1"/>
  <c r="AV443" i="1"/>
  <c r="J444" i="1"/>
  <c r="H444" i="1"/>
  <c r="O443" i="1"/>
  <c r="AC443" i="1"/>
  <c r="AA399" i="3"/>
  <c r="AA397" i="3"/>
  <c r="AA398" i="3"/>
  <c r="AA396" i="3"/>
  <c r="BR567" i="1" l="1"/>
  <c r="BP568" i="1"/>
  <c r="AE552" i="1"/>
  <c r="AA553" i="1"/>
  <c r="H445" i="1"/>
  <c r="J445" i="1"/>
  <c r="AV444" i="1"/>
  <c r="O444" i="1"/>
  <c r="AC444" i="1"/>
  <c r="BP569" i="1" l="1"/>
  <c r="BP570" i="1" s="1"/>
  <c r="BP571" i="1" s="1"/>
  <c r="BR568" i="1"/>
  <c r="AE553" i="1"/>
  <c r="AA554" i="1"/>
  <c r="AA555" i="1" s="1"/>
  <c r="AV445" i="1"/>
  <c r="J446" i="1"/>
  <c r="H446" i="1"/>
  <c r="O445" i="1"/>
  <c r="AC445" i="1"/>
  <c r="BR571" i="1" l="1"/>
  <c r="BP572" i="1"/>
  <c r="BP573" i="1" s="1"/>
  <c r="BR570" i="1"/>
  <c r="BR569" i="1"/>
  <c r="AA556" i="1"/>
  <c r="AE555" i="1"/>
  <c r="AE554" i="1"/>
  <c r="AV446" i="1"/>
  <c r="J447" i="1"/>
  <c r="H447" i="1"/>
  <c r="O446" i="1"/>
  <c r="AC446" i="1"/>
  <c r="BR573" i="1" l="1"/>
  <c r="BP574" i="1"/>
  <c r="BR572" i="1"/>
  <c r="AE556" i="1"/>
  <c r="AA557" i="1"/>
  <c r="J448" i="1"/>
  <c r="H448" i="1"/>
  <c r="AV447" i="1"/>
  <c r="O447" i="1"/>
  <c r="AC447" i="1"/>
  <c r="AA401" i="3"/>
  <c r="AA402" i="3"/>
  <c r="AA400" i="3"/>
  <c r="BR574" i="1" l="1"/>
  <c r="BP575" i="1"/>
  <c r="AE557" i="1"/>
  <c r="AA558" i="1"/>
  <c r="O448" i="1"/>
  <c r="J449" i="1"/>
  <c r="H449" i="1"/>
  <c r="AV448" i="1"/>
  <c r="AC448" i="1"/>
  <c r="BR575" i="1" l="1"/>
  <c r="BP576" i="1"/>
  <c r="AA559" i="1"/>
  <c r="AA560" i="1" s="1"/>
  <c r="AE558" i="1"/>
  <c r="AV449" i="1"/>
  <c r="J450" i="1"/>
  <c r="H450" i="1"/>
  <c r="O449" i="1"/>
  <c r="AC449" i="1"/>
  <c r="BR576" i="1" l="1"/>
  <c r="BP577" i="1"/>
  <c r="AA561" i="1"/>
  <c r="AE560" i="1"/>
  <c r="AE559" i="1"/>
  <c r="AV450" i="1"/>
  <c r="H451" i="1"/>
  <c r="J451" i="1"/>
  <c r="O450" i="1"/>
  <c r="AC450" i="1"/>
  <c r="AA406" i="3"/>
  <c r="AA407" i="3"/>
  <c r="AA404" i="3"/>
  <c r="AA405" i="3"/>
  <c r="AA403" i="3"/>
  <c r="BR577" i="1" l="1"/>
  <c r="BP578" i="1"/>
  <c r="AE561" i="1"/>
  <c r="AA562" i="1"/>
  <c r="AV451" i="1"/>
  <c r="J452" i="1"/>
  <c r="H452" i="1"/>
  <c r="O451" i="1"/>
  <c r="AC451" i="1"/>
  <c r="BR578" i="1" l="1"/>
  <c r="BP579" i="1"/>
  <c r="BR579" i="1" s="1"/>
  <c r="AE562" i="1"/>
  <c r="AA563" i="1"/>
  <c r="J453" i="1"/>
  <c r="H453" i="1"/>
  <c r="AV452" i="1"/>
  <c r="O452" i="1"/>
  <c r="AC452" i="1"/>
  <c r="AE563" i="1" l="1"/>
  <c r="AA564" i="1"/>
  <c r="AA565" i="1" s="1"/>
  <c r="AV453" i="1"/>
  <c r="H454" i="1"/>
  <c r="J454" i="1"/>
  <c r="O453" i="1"/>
  <c r="AC453" i="1"/>
  <c r="AA566" i="1" l="1"/>
  <c r="AE565" i="1"/>
  <c r="AE564" i="1"/>
  <c r="AV454" i="1"/>
  <c r="J455" i="1"/>
  <c r="H455" i="1"/>
  <c r="O454" i="1"/>
  <c r="AC454" i="1"/>
  <c r="AA567" i="1" l="1"/>
  <c r="AE566" i="1"/>
  <c r="AV455" i="1"/>
  <c r="H456" i="1"/>
  <c r="J456" i="1"/>
  <c r="O455" i="1"/>
  <c r="AC455" i="1"/>
  <c r="AA411" i="3"/>
  <c r="AA409" i="3"/>
  <c r="AA410" i="3"/>
  <c r="AA408" i="3"/>
  <c r="AE567" i="1" l="1"/>
  <c r="AA568" i="1"/>
  <c r="J457" i="1"/>
  <c r="H457" i="1"/>
  <c r="AV456" i="1"/>
  <c r="O456" i="1"/>
  <c r="AC456" i="1"/>
  <c r="AE568" i="1" l="1"/>
  <c r="AA569" i="1"/>
  <c r="AA570" i="1" s="1"/>
  <c r="AA571" i="1" s="1"/>
  <c r="AV457" i="1"/>
  <c r="H458" i="1"/>
  <c r="J458" i="1"/>
  <c r="O457" i="1"/>
  <c r="AC457" i="1"/>
  <c r="AA572" i="1" l="1"/>
  <c r="AA573" i="1" s="1"/>
  <c r="AE571" i="1"/>
  <c r="AE570" i="1"/>
  <c r="AE569" i="1"/>
  <c r="O458" i="1"/>
  <c r="J459" i="1"/>
  <c r="H459" i="1"/>
  <c r="AV458" i="1"/>
  <c r="AC458" i="1"/>
  <c r="AE573" i="1" l="1"/>
  <c r="AA574" i="1"/>
  <c r="AE572" i="1"/>
  <c r="AV459" i="1"/>
  <c r="J460" i="1"/>
  <c r="H460" i="1"/>
  <c r="O459" i="1"/>
  <c r="AC459" i="1"/>
  <c r="AA412" i="3"/>
  <c r="AE574" i="1" l="1"/>
  <c r="AA575" i="1"/>
  <c r="J461" i="1"/>
  <c r="H461" i="1"/>
  <c r="AV460" i="1"/>
  <c r="O460" i="1"/>
  <c r="AC460" i="1"/>
  <c r="AA413" i="3"/>
  <c r="AA414" i="3"/>
  <c r="AA576" i="1" l="1"/>
  <c r="AE575" i="1"/>
  <c r="AV461" i="1"/>
  <c r="J462" i="1"/>
  <c r="H462" i="1"/>
  <c r="O461" i="1"/>
  <c r="AC461" i="1"/>
  <c r="AA577" i="1" l="1"/>
  <c r="AE576" i="1"/>
  <c r="O462" i="1"/>
  <c r="H463" i="1"/>
  <c r="J463" i="1"/>
  <c r="AV462" i="1"/>
  <c r="AC462" i="1"/>
  <c r="AE577" i="1" l="1"/>
  <c r="AA578" i="1"/>
  <c r="J464" i="1"/>
  <c r="H464" i="1"/>
  <c r="AV463" i="1"/>
  <c r="O463" i="1"/>
  <c r="AC463" i="1"/>
  <c r="AA416" i="3"/>
  <c r="AA417" i="3"/>
  <c r="AA415" i="3"/>
  <c r="AA579" i="1" l="1"/>
  <c r="AE578" i="1"/>
  <c r="AV464" i="1"/>
  <c r="J465" i="1"/>
  <c r="O464" i="1"/>
  <c r="H465" i="1"/>
  <c r="AC464" i="1"/>
  <c r="AE579" i="1" l="1"/>
  <c r="AD49" i="2"/>
  <c r="AD51" i="2" s="1"/>
  <c r="AD53" i="2" s="1"/>
  <c r="AD55" i="2" s="1"/>
  <c r="AD57" i="2" s="1"/>
  <c r="AJ21" i="2"/>
  <c r="I21" i="3"/>
  <c r="I35" i="3" s="1"/>
  <c r="O465" i="1"/>
  <c r="J466" i="1"/>
  <c r="H466" i="1"/>
  <c r="AV465" i="1"/>
  <c r="AC465" i="1"/>
  <c r="AA421" i="3"/>
  <c r="AA422" i="3"/>
  <c r="AA419" i="3"/>
  <c r="AA420" i="3"/>
  <c r="AA418" i="3"/>
  <c r="AV466" i="1" l="1"/>
  <c r="H467" i="1"/>
  <c r="J467" i="1"/>
  <c r="O466" i="1"/>
  <c r="AC466" i="1"/>
  <c r="J468" i="1" l="1"/>
  <c r="H468" i="1"/>
  <c r="AV467" i="1"/>
  <c r="O467" i="1"/>
  <c r="AC467" i="1"/>
  <c r="AV468" i="1" l="1"/>
  <c r="J469" i="1"/>
  <c r="H469" i="1"/>
  <c r="O468" i="1"/>
  <c r="AC468" i="1"/>
  <c r="AV469" i="1" l="1"/>
  <c r="J470" i="1"/>
  <c r="H470" i="1"/>
  <c r="O469" i="1"/>
  <c r="AC469" i="1"/>
  <c r="AV470" i="1" l="1"/>
  <c r="H471" i="1"/>
  <c r="J471" i="1"/>
  <c r="O470" i="1"/>
  <c r="AC470" i="1"/>
  <c r="AA428" i="3"/>
  <c r="AA429" i="3"/>
  <c r="AA426" i="3"/>
  <c r="AA427" i="3"/>
  <c r="AA424" i="3"/>
  <c r="AA425" i="3"/>
  <c r="AA423" i="3"/>
  <c r="AV471" i="1" l="1"/>
  <c r="J472" i="1"/>
  <c r="H472" i="1"/>
  <c r="O471" i="1"/>
  <c r="AC471" i="1"/>
  <c r="AV472" i="1" l="1"/>
  <c r="J473" i="1"/>
  <c r="H473" i="1"/>
  <c r="O472" i="1"/>
  <c r="AC472" i="1"/>
  <c r="AV473" i="1" l="1"/>
  <c r="J474" i="1"/>
  <c r="H474" i="1"/>
  <c r="O473" i="1"/>
  <c r="AC473" i="1"/>
  <c r="J475" i="1" l="1"/>
  <c r="H475" i="1"/>
  <c r="AV474" i="1"/>
  <c r="O474" i="1"/>
  <c r="AC474" i="1"/>
  <c r="AV475" i="1" l="1"/>
  <c r="J476" i="1"/>
  <c r="H476" i="1"/>
  <c r="O475" i="1"/>
  <c r="AC475" i="1"/>
  <c r="AV476" i="1" l="1"/>
  <c r="J477" i="1"/>
  <c r="H477" i="1"/>
  <c r="O476" i="1"/>
  <c r="AC476" i="1"/>
  <c r="AV477" i="1" l="1"/>
  <c r="J478" i="1"/>
  <c r="H478" i="1"/>
  <c r="O477" i="1"/>
  <c r="AC477" i="1"/>
  <c r="AA435" i="3"/>
  <c r="AA436" i="3"/>
  <c r="AA433" i="3"/>
  <c r="AA434" i="3"/>
  <c r="AA431" i="3"/>
  <c r="AA432" i="3"/>
  <c r="AA430" i="3"/>
  <c r="AV478" i="1" l="1"/>
  <c r="H479" i="1"/>
  <c r="J479" i="1"/>
  <c r="O478" i="1"/>
  <c r="AC478" i="1"/>
  <c r="AC479" i="1" l="1"/>
  <c r="J480" i="1"/>
  <c r="H480" i="1"/>
  <c r="AV479" i="1"/>
  <c r="O479" i="1"/>
  <c r="AV480" i="1" l="1"/>
  <c r="O480" i="1"/>
  <c r="J481" i="1"/>
  <c r="H481" i="1"/>
  <c r="AC480" i="1"/>
  <c r="J482" i="1" l="1"/>
  <c r="H482" i="1"/>
  <c r="AV481" i="1"/>
  <c r="O481" i="1"/>
  <c r="AC481" i="1"/>
  <c r="AV482" i="1" l="1"/>
  <c r="J483" i="1"/>
  <c r="H483" i="1"/>
  <c r="O482" i="1"/>
  <c r="AC482" i="1"/>
  <c r="AV483" i="1" l="1"/>
  <c r="H484" i="1"/>
  <c r="J484" i="1"/>
  <c r="O483" i="1"/>
  <c r="AC483" i="1"/>
  <c r="AV484" i="1" l="1"/>
  <c r="J485" i="1"/>
  <c r="H485" i="1"/>
  <c r="O484" i="1"/>
  <c r="AC484" i="1"/>
  <c r="AA442" i="3"/>
  <c r="AA443" i="3"/>
  <c r="AA440" i="3"/>
  <c r="AA441" i="3"/>
  <c r="AA438" i="3"/>
  <c r="AA439" i="3"/>
  <c r="AA437" i="3"/>
  <c r="O485" i="1" l="1"/>
  <c r="H486" i="1"/>
  <c r="J486" i="1"/>
  <c r="AV485" i="1"/>
  <c r="AC485" i="1"/>
  <c r="AV486" i="1" l="1"/>
  <c r="H487" i="1"/>
  <c r="J487" i="1"/>
  <c r="O486" i="1"/>
  <c r="AC486" i="1"/>
  <c r="AV487" i="1" l="1"/>
  <c r="H488" i="1"/>
  <c r="J488" i="1"/>
  <c r="O487" i="1"/>
  <c r="AC487" i="1"/>
  <c r="J489" i="1" l="1"/>
  <c r="H489" i="1"/>
  <c r="AV488" i="1"/>
  <c r="O488" i="1"/>
  <c r="AC488" i="1"/>
  <c r="AV489" i="1" l="1"/>
  <c r="J490" i="1"/>
  <c r="H490" i="1"/>
  <c r="O489" i="1"/>
  <c r="AC489" i="1"/>
  <c r="AV490" i="1" l="1"/>
  <c r="O490" i="1"/>
  <c r="H491" i="1"/>
  <c r="J491" i="1"/>
  <c r="AC490" i="1"/>
  <c r="AV491" i="1" l="1"/>
  <c r="H492" i="1"/>
  <c r="O491" i="1"/>
  <c r="J492" i="1"/>
  <c r="AC491" i="1"/>
  <c r="AA448" i="3"/>
  <c r="AA449" i="3"/>
  <c r="AA445" i="3"/>
  <c r="AA446" i="3"/>
  <c r="AA444" i="3"/>
  <c r="AV492" i="1" l="1"/>
  <c r="J493" i="1"/>
  <c r="H493" i="1"/>
  <c r="O492" i="1"/>
  <c r="AC492" i="1"/>
  <c r="AA447" i="3"/>
  <c r="AV493" i="1" l="1"/>
  <c r="J494" i="1"/>
  <c r="H494" i="1"/>
  <c r="O493" i="1"/>
  <c r="AC493" i="1"/>
  <c r="J495" i="1" l="1"/>
  <c r="H495" i="1"/>
  <c r="AV494" i="1"/>
  <c r="O494" i="1"/>
  <c r="AC494" i="1"/>
  <c r="AV495" i="1" l="1"/>
  <c r="J496" i="1"/>
  <c r="H496" i="1"/>
  <c r="O495" i="1"/>
  <c r="AC495" i="1"/>
  <c r="AV496" i="1" l="1"/>
  <c r="J497" i="1"/>
  <c r="H497" i="1"/>
  <c r="O496" i="1"/>
  <c r="AC496" i="1"/>
  <c r="AV497" i="1" l="1"/>
  <c r="O497" i="1"/>
  <c r="H498" i="1"/>
  <c r="J498" i="1"/>
  <c r="AC497" i="1"/>
  <c r="AA451" i="3"/>
  <c r="AA452" i="3"/>
  <c r="AA450" i="3"/>
  <c r="J499" i="1" l="1"/>
  <c r="H499" i="1"/>
  <c r="AV498" i="1"/>
  <c r="O498" i="1"/>
  <c r="AC498" i="1"/>
  <c r="AV499" i="1" l="1"/>
  <c r="J500" i="1"/>
  <c r="H500" i="1"/>
  <c r="O499" i="1"/>
  <c r="AC499" i="1"/>
  <c r="AV500" i="1" l="1"/>
  <c r="J501" i="1"/>
  <c r="H501" i="1"/>
  <c r="O500" i="1"/>
  <c r="AC500" i="1"/>
  <c r="AV501" i="1" l="1"/>
  <c r="J502" i="1"/>
  <c r="H502" i="1"/>
  <c r="O501" i="1"/>
  <c r="AC501" i="1"/>
  <c r="AA458" i="3"/>
  <c r="AA456" i="3"/>
  <c r="AA457" i="3"/>
  <c r="AA454" i="3"/>
  <c r="AA455" i="3"/>
  <c r="AA453" i="3"/>
  <c r="AV502" i="1" l="1"/>
  <c r="J503" i="1"/>
  <c r="H503" i="1"/>
  <c r="O502" i="1"/>
  <c r="AC502" i="1"/>
  <c r="H504" i="1" l="1"/>
  <c r="J504" i="1"/>
  <c r="AV503" i="1"/>
  <c r="O503" i="1"/>
  <c r="AC503" i="1"/>
  <c r="AV504" i="1" l="1"/>
  <c r="H505" i="1"/>
  <c r="J505" i="1"/>
  <c r="O504" i="1"/>
  <c r="AC504" i="1"/>
  <c r="AV505" i="1" l="1"/>
  <c r="H506" i="1"/>
  <c r="J506" i="1"/>
  <c r="O505" i="1"/>
  <c r="AC505" i="1"/>
  <c r="AV506" i="1" l="1"/>
  <c r="J507" i="1"/>
  <c r="H507" i="1"/>
  <c r="O506" i="1"/>
  <c r="AC506" i="1"/>
  <c r="AA462" i="3"/>
  <c r="AA463" i="3"/>
  <c r="AA460" i="3"/>
  <c r="AA461" i="3"/>
  <c r="AA459" i="3"/>
  <c r="AV507" i="1" l="1"/>
  <c r="J508" i="1"/>
  <c r="H508" i="1"/>
  <c r="O507" i="1"/>
  <c r="AC507" i="1"/>
  <c r="J509" i="1" l="1"/>
  <c r="H509" i="1"/>
  <c r="AV508" i="1"/>
  <c r="O508" i="1"/>
  <c r="AC508" i="1"/>
  <c r="AV509" i="1" l="1"/>
  <c r="J510" i="1"/>
  <c r="H510" i="1"/>
  <c r="O509" i="1"/>
  <c r="AC509" i="1"/>
  <c r="AV510" i="1" l="1"/>
  <c r="H511" i="1"/>
  <c r="J511" i="1"/>
  <c r="O510" i="1"/>
  <c r="AC510" i="1"/>
  <c r="AV511" i="1" l="1"/>
  <c r="J512" i="1"/>
  <c r="H512" i="1"/>
  <c r="O511" i="1"/>
  <c r="AC511" i="1"/>
  <c r="AA465" i="3"/>
  <c r="AA466" i="3"/>
  <c r="AA464" i="3"/>
  <c r="J513" i="1" l="1"/>
  <c r="H513" i="1"/>
  <c r="AV512" i="1"/>
  <c r="O512" i="1"/>
  <c r="AC512" i="1"/>
  <c r="BR699" i="1"/>
  <c r="CL715" i="1" s="1"/>
  <c r="CL717" i="1" s="1"/>
  <c r="AV513" i="1" l="1"/>
  <c r="J514" i="1"/>
  <c r="H514" i="1"/>
  <c r="O513" i="1"/>
  <c r="AC513" i="1"/>
  <c r="BA703" i="1"/>
  <c r="BC703" i="1" s="1"/>
  <c r="CL703" i="1"/>
  <c r="AV514" i="1" l="1"/>
  <c r="H515" i="1"/>
  <c r="J515" i="1"/>
  <c r="O514" i="1"/>
  <c r="AC514" i="1"/>
  <c r="AV515" i="1" l="1"/>
  <c r="J516" i="1"/>
  <c r="H516" i="1"/>
  <c r="O515" i="1"/>
  <c r="AC515" i="1"/>
  <c r="AA470" i="3"/>
  <c r="AA471" i="3"/>
  <c r="AA468" i="3"/>
  <c r="AA469" i="3"/>
  <c r="AA467" i="3"/>
  <c r="J517" i="1" l="1"/>
  <c r="H517" i="1"/>
  <c r="AV516" i="1"/>
  <c r="O516" i="1"/>
  <c r="AC516" i="1"/>
  <c r="AV517" i="1" l="1"/>
  <c r="H518" i="1"/>
  <c r="J518" i="1"/>
  <c r="O517" i="1"/>
  <c r="AC517" i="1"/>
  <c r="AV518" i="1" l="1"/>
  <c r="H519" i="1"/>
  <c r="J519" i="1"/>
  <c r="O518" i="1"/>
  <c r="AC518" i="1"/>
  <c r="AV519" i="1" l="1"/>
  <c r="J520" i="1"/>
  <c r="H520" i="1"/>
  <c r="O519" i="1"/>
  <c r="AC519" i="1"/>
  <c r="AA477" i="3"/>
  <c r="AA475" i="3"/>
  <c r="AA476" i="3"/>
  <c r="AA473" i="3"/>
  <c r="AA474" i="3"/>
  <c r="AA472" i="3"/>
  <c r="AV520" i="1" l="1"/>
  <c r="O520" i="1"/>
  <c r="J521" i="1"/>
  <c r="H521" i="1"/>
  <c r="AC520" i="1"/>
  <c r="AV521" i="1" l="1"/>
  <c r="O521" i="1"/>
  <c r="J522" i="1"/>
  <c r="H522" i="1"/>
  <c r="AC521" i="1"/>
  <c r="J523" i="1" l="1"/>
  <c r="H523" i="1"/>
  <c r="AV522" i="1"/>
  <c r="O522" i="1"/>
  <c r="AC522" i="1"/>
  <c r="H524" i="1" l="1"/>
  <c r="J524" i="1"/>
  <c r="AV523" i="1"/>
  <c r="O523" i="1"/>
  <c r="AC523" i="1"/>
  <c r="AV524" i="1" l="1"/>
  <c r="J525" i="1"/>
  <c r="H525" i="1"/>
  <c r="O524" i="1"/>
  <c r="AC524" i="1"/>
  <c r="AV525" i="1" l="1"/>
  <c r="J526" i="1"/>
  <c r="H526" i="1"/>
  <c r="O525" i="1"/>
  <c r="AC525" i="1"/>
  <c r="AA481" i="3"/>
  <c r="AA479" i="3"/>
  <c r="AA480" i="3"/>
  <c r="AA478" i="3"/>
  <c r="AV526" i="1" l="1"/>
  <c r="O526" i="1"/>
  <c r="J527" i="1"/>
  <c r="H527" i="1"/>
  <c r="AC526" i="1"/>
  <c r="J528" i="1" l="1"/>
  <c r="H528" i="1"/>
  <c r="AV527" i="1"/>
  <c r="O527" i="1"/>
  <c r="AC527" i="1"/>
  <c r="AV528" i="1" l="1"/>
  <c r="H529" i="1"/>
  <c r="J529" i="1"/>
  <c r="O528" i="1"/>
  <c r="AC528" i="1"/>
  <c r="AV529" i="1" l="1"/>
  <c r="J530" i="1"/>
  <c r="H530" i="1"/>
  <c r="O529" i="1"/>
  <c r="AC529" i="1"/>
  <c r="AA483" i="3"/>
  <c r="AA484" i="3"/>
  <c r="AA482" i="3"/>
  <c r="H531" i="1" l="1"/>
  <c r="J531" i="1"/>
  <c r="AV530" i="1"/>
  <c r="O530" i="1"/>
  <c r="AC530" i="1"/>
  <c r="AV531" i="1" l="1"/>
  <c r="H532" i="1"/>
  <c r="J532" i="1"/>
  <c r="O531" i="1"/>
  <c r="AC531" i="1"/>
  <c r="O532" i="1" l="1"/>
  <c r="J533" i="1"/>
  <c r="H533" i="1"/>
  <c r="AV532" i="1"/>
  <c r="AC532" i="1"/>
  <c r="AV533" i="1" l="1"/>
  <c r="J534" i="1"/>
  <c r="H534" i="1"/>
  <c r="O533" i="1"/>
  <c r="AC533" i="1"/>
  <c r="AA488" i="3"/>
  <c r="AA489" i="3"/>
  <c r="AA486" i="3"/>
  <c r="AA487" i="3"/>
  <c r="AA485" i="3"/>
  <c r="J535" i="1" l="1"/>
  <c r="H535" i="1"/>
  <c r="AV534" i="1"/>
  <c r="O534" i="1"/>
  <c r="AC534" i="1"/>
  <c r="O535" i="1" l="1"/>
  <c r="J536" i="1"/>
  <c r="H536" i="1"/>
  <c r="AV535" i="1"/>
  <c r="AC535" i="1"/>
  <c r="AV536" i="1" l="1"/>
  <c r="H537" i="1"/>
  <c r="J537" i="1"/>
  <c r="O536" i="1"/>
  <c r="AC536" i="1"/>
  <c r="O537" i="1" l="1"/>
  <c r="J538" i="1"/>
  <c r="H538" i="1"/>
  <c r="AV537" i="1"/>
  <c r="AC537" i="1"/>
  <c r="AA493" i="3"/>
  <c r="AA494" i="3"/>
  <c r="AA491" i="3"/>
  <c r="AA492" i="3"/>
  <c r="AA490" i="3"/>
  <c r="AC538" i="1" l="1"/>
  <c r="J539" i="1"/>
  <c r="H539" i="1"/>
  <c r="O538" i="1"/>
  <c r="AV538" i="1"/>
  <c r="H540" i="1" l="1"/>
  <c r="J540" i="1"/>
  <c r="AV539" i="1"/>
  <c r="O539" i="1"/>
  <c r="AC539" i="1"/>
  <c r="AV540" i="1" l="1"/>
  <c r="H541" i="1"/>
  <c r="J541" i="1"/>
  <c r="O540" i="1"/>
  <c r="AC540" i="1"/>
  <c r="O541" i="1" l="1"/>
  <c r="J542" i="1"/>
  <c r="H542" i="1"/>
  <c r="AV541" i="1"/>
  <c r="AC541" i="1"/>
  <c r="AV542" i="1" l="1"/>
  <c r="J543" i="1"/>
  <c r="H543" i="1"/>
  <c r="O542" i="1"/>
  <c r="AC542" i="1"/>
  <c r="AA498" i="3"/>
  <c r="AA496" i="3"/>
  <c r="AA497" i="3"/>
  <c r="AA495" i="3"/>
  <c r="AV543" i="1" l="1"/>
  <c r="J544" i="1"/>
  <c r="H544" i="1"/>
  <c r="O543" i="1"/>
  <c r="AC543" i="1"/>
  <c r="J545" i="1" l="1"/>
  <c r="H545" i="1"/>
  <c r="AV544" i="1"/>
  <c r="O544" i="1"/>
  <c r="AC544" i="1"/>
  <c r="AV545" i="1" l="1"/>
  <c r="J546" i="1"/>
  <c r="H546" i="1"/>
  <c r="O545" i="1"/>
  <c r="AC545" i="1"/>
  <c r="AV546" i="1" l="1"/>
  <c r="H547" i="1"/>
  <c r="J547" i="1"/>
  <c r="O546" i="1"/>
  <c r="AC546" i="1"/>
  <c r="AA502" i="3"/>
  <c r="AA503" i="3"/>
  <c r="AA500" i="3"/>
  <c r="AA501" i="3"/>
  <c r="AA499" i="3"/>
  <c r="AV547" i="1" l="1"/>
  <c r="J548" i="1"/>
  <c r="H548" i="1"/>
  <c r="O547" i="1"/>
  <c r="AC547" i="1"/>
  <c r="J549" i="1" l="1"/>
  <c r="H549" i="1"/>
  <c r="AV548" i="1"/>
  <c r="O548" i="1"/>
  <c r="AC548" i="1"/>
  <c r="AV549" i="1" l="1"/>
  <c r="J550" i="1"/>
  <c r="H550" i="1"/>
  <c r="O549" i="1"/>
  <c r="AC549" i="1"/>
  <c r="AV550" i="1" l="1"/>
  <c r="J551" i="1"/>
  <c r="H551" i="1"/>
  <c r="O550" i="1"/>
  <c r="AC550" i="1"/>
  <c r="AV551" i="1" l="1"/>
  <c r="J552" i="1"/>
  <c r="H552" i="1"/>
  <c r="O551" i="1"/>
  <c r="AC551" i="1"/>
  <c r="AA509" i="3"/>
  <c r="AA507" i="3"/>
  <c r="AA508" i="3"/>
  <c r="AA505" i="3"/>
  <c r="AA506" i="3"/>
  <c r="AA504" i="3"/>
  <c r="O552" i="1" l="1"/>
  <c r="J553" i="1"/>
  <c r="H553" i="1"/>
  <c r="AV552" i="1"/>
  <c r="AC552" i="1"/>
  <c r="AV553" i="1" l="1"/>
  <c r="H554" i="1"/>
  <c r="O553" i="1"/>
  <c r="J554" i="1"/>
  <c r="AC553" i="1"/>
  <c r="H555" i="1" l="1"/>
  <c r="J555" i="1"/>
  <c r="AV554" i="1"/>
  <c r="O554" i="1"/>
  <c r="AC554" i="1"/>
  <c r="AV555" i="1" l="1"/>
  <c r="J556" i="1"/>
  <c r="H556" i="1"/>
  <c r="O555" i="1"/>
  <c r="AC555" i="1"/>
  <c r="O556" i="1" l="1"/>
  <c r="J557" i="1"/>
  <c r="H557" i="1"/>
  <c r="AV556" i="1"/>
  <c r="AC556" i="1"/>
  <c r="AV557" i="1" l="1"/>
  <c r="J558" i="1"/>
  <c r="H558" i="1"/>
  <c r="O557" i="1"/>
  <c r="AC557" i="1"/>
  <c r="AA511" i="3"/>
  <c r="AA512" i="3"/>
  <c r="AA510" i="3"/>
  <c r="AV558" i="1" l="1"/>
  <c r="H559" i="1"/>
  <c r="J559" i="1"/>
  <c r="O558" i="1"/>
  <c r="AC558" i="1"/>
  <c r="J560" i="1" l="1"/>
  <c r="H560" i="1"/>
  <c r="O559" i="1"/>
  <c r="AV559" i="1"/>
  <c r="AC559" i="1"/>
  <c r="AV560" i="1" l="1"/>
  <c r="H561" i="1"/>
  <c r="J561" i="1"/>
  <c r="O560" i="1"/>
  <c r="AC560" i="1"/>
  <c r="O561" i="1" l="1"/>
  <c r="H562" i="1"/>
  <c r="J562" i="1"/>
  <c r="AV561" i="1"/>
  <c r="AC561" i="1"/>
  <c r="AA517" i="3"/>
  <c r="AA518" i="3"/>
  <c r="AA513" i="3"/>
  <c r="AV562" i="1" l="1"/>
  <c r="J563" i="1"/>
  <c r="H563" i="1"/>
  <c r="O562" i="1"/>
  <c r="AC562" i="1"/>
  <c r="AV563" i="1" l="1"/>
  <c r="J564" i="1"/>
  <c r="H564" i="1"/>
  <c r="O563" i="1"/>
  <c r="AC563" i="1"/>
  <c r="H565" i="1" l="1"/>
  <c r="J565" i="1"/>
  <c r="AV564" i="1"/>
  <c r="O564" i="1"/>
  <c r="AC564" i="1"/>
  <c r="O565" i="1" l="1"/>
  <c r="J566" i="1"/>
  <c r="H566" i="1"/>
  <c r="AV565" i="1"/>
  <c r="AC565" i="1"/>
  <c r="O566" i="1" l="1"/>
  <c r="H567" i="1"/>
  <c r="J567" i="1"/>
  <c r="AV566" i="1"/>
  <c r="AC566" i="1"/>
  <c r="AV567" i="1" l="1"/>
  <c r="J568" i="1"/>
  <c r="H568" i="1"/>
  <c r="O567" i="1"/>
  <c r="AC567" i="1"/>
  <c r="AA522" i="3"/>
  <c r="AA523" i="3"/>
  <c r="AA520" i="3"/>
  <c r="AA521" i="3"/>
  <c r="AA519" i="3"/>
  <c r="AV568" i="1" l="1"/>
  <c r="J569" i="1"/>
  <c r="H569" i="1"/>
  <c r="O568" i="1"/>
  <c r="AC568" i="1"/>
  <c r="H570" i="1" l="1"/>
  <c r="J570" i="1"/>
  <c r="AV569" i="1"/>
  <c r="O569" i="1"/>
  <c r="AC569" i="1"/>
  <c r="J571" i="1" l="1"/>
  <c r="H571" i="1"/>
  <c r="I20" i="3" s="1"/>
  <c r="I23" i="3" s="1"/>
  <c r="I25" i="3" s="1"/>
  <c r="I27" i="3" s="1"/>
  <c r="AV570" i="1"/>
  <c r="O570" i="1"/>
  <c r="AC570" i="1"/>
  <c r="I34" i="3" l="1"/>
  <c r="N27" i="3"/>
  <c r="N28" i="3" s="1"/>
  <c r="AV571" i="1"/>
  <c r="H572" i="1"/>
  <c r="J572" i="1"/>
  <c r="O571" i="1"/>
  <c r="AC571" i="1"/>
  <c r="H573" i="1" l="1"/>
  <c r="J573" i="1"/>
  <c r="AV572" i="1"/>
  <c r="O572" i="1"/>
  <c r="AC572" i="1"/>
  <c r="AA527" i="3"/>
  <c r="AA525" i="3"/>
  <c r="AA526" i="3"/>
  <c r="AA524" i="3"/>
  <c r="AV573" i="1" l="1"/>
  <c r="J574" i="1"/>
  <c r="H574" i="1"/>
  <c r="O573" i="1"/>
  <c r="AC573" i="1"/>
  <c r="AV574" i="1" l="1"/>
  <c r="H575" i="1"/>
  <c r="J575" i="1"/>
  <c r="O574" i="1"/>
  <c r="AC574" i="1"/>
  <c r="AV575" i="1" l="1"/>
  <c r="J576" i="1"/>
  <c r="H576" i="1"/>
  <c r="O575" i="1"/>
  <c r="AC575" i="1"/>
  <c r="AA533" i="3"/>
  <c r="AA531" i="3"/>
  <c r="AA532" i="3"/>
  <c r="AA529" i="3"/>
  <c r="AA530" i="3"/>
  <c r="AA528" i="3"/>
  <c r="AV576" i="1" l="1"/>
  <c r="J577" i="1"/>
  <c r="H577" i="1"/>
  <c r="O576" i="1"/>
  <c r="AC576" i="1"/>
  <c r="AV577" i="1" l="1"/>
  <c r="J578" i="1"/>
  <c r="H578" i="1"/>
  <c r="O577" i="1"/>
  <c r="AC577" i="1"/>
  <c r="AV578" i="1" l="1"/>
  <c r="J579" i="1"/>
  <c r="H579" i="1"/>
  <c r="O578" i="1"/>
  <c r="AC578" i="1"/>
  <c r="AV579" i="1" l="1"/>
  <c r="O579" i="1"/>
  <c r="AC579" i="1"/>
  <c r="I32" i="3"/>
  <c r="AF21" i="2"/>
  <c r="I28" i="3" l="1"/>
  <c r="L35" i="3"/>
  <c r="L32" i="3"/>
  <c r="L34" i="3"/>
  <c r="I36" i="3"/>
  <c r="L36" i="3" l="1"/>
  <c r="W534" i="3"/>
  <c r="AA534" i="3" s="1"/>
  <c r="Y12" i="3" l="1"/>
  <c r="Y350" i="3"/>
  <c r="Y244" i="3"/>
  <c r="Y121" i="3"/>
  <c r="Y214" i="3"/>
</calcChain>
</file>

<file path=xl/sharedStrings.xml><?xml version="1.0" encoding="utf-8"?>
<sst xmlns="http://schemas.openxmlformats.org/spreadsheetml/2006/main" count="377" uniqueCount="190">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</sst>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0" fillId="0" borderId="19" xfId="0" applyNumberFormat="1" applyBorder="1"/>
    <xf numFmtId="49" fontId="5" fillId="5" borderId="0" xfId="0" applyNumberFormat="1" applyFont="1" applyFill="1"/>
    <xf numFmtId="164" fontId="0" fillId="5" borderId="0" xfId="0" applyNumberFormat="1" applyFill="1"/>
    <xf numFmtId="0" fontId="0" fillId="5" borderId="0" xfId="0" applyFill="1"/>
    <xf numFmtId="38" fontId="0" fillId="5" borderId="0" xfId="0" applyNumberFormat="1" applyFill="1"/>
    <xf numFmtId="0" fontId="0" fillId="5" borderId="0" xfId="0" applyFill="1" applyAlignment="1">
      <alignment vertical="center"/>
    </xf>
    <xf numFmtId="49" fontId="5" fillId="25" borderId="0" xfId="0" applyNumberFormat="1" applyFont="1" applyFill="1"/>
    <xf numFmtId="164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164" fontId="2" fillId="12" borderId="0" xfId="1" applyNumberFormat="1" applyFont="1" applyFill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12" borderId="0" xfId="0" applyFont="1" applyFill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Table'!$BA$690:$BA$694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Table'!$AS$695:$AT$700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Table'!$BA$695:$BA$700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18707517.206756759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Table'!$BC$690:$BC$694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Table'!$AS$695:$AT$700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Table'!$BC$695:$BC$700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41148099.508378379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Table'!$BJ$690:$BJ$694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Table'!$AS$695:$AT$700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Table'!$BJ$695:$BJ$699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Table'!$BK$690:$BK$694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Table'!$AS$695:$AT$700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Table'!$BK$695:$BK$699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Table'!$BL$690:$BL$694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Table'!$AS$695:$AT$700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Table'!$BL$695:$BL$699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Table'!$BM$690:$BM$694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Table'!$AS$695:$AT$700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Table'!$BM$695:$BM$699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Table'!$BP$690:$BP$694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Table'!$AS$695:$AT$700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Table'!$BP$695:$BP$700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185490000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Table'!$AU$690:$AU$694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Table'!$AU$695:$AU$700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Table'!$AV$690:$AV$694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Table'!$AV$695:$AV$699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Table'!$AW$690:$AW$694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Table'!$AW$695:$AW$699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Table'!$AX$690:$AX$694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Table'!$AX$695:$AX$699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Table'!$AY$690:$AY$694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Table'!$AY$695:$AY$699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Table'!$AZ$690:$AZ$694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Table'!$AZ$695:$AZ$699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Table'!$BB$690:$BB$694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Table'!$BB$695:$BB$699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Table'!$BD$690:$BD$694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Table'!$BD$695:$BD$699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Table'!$BE$690:$BE$694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Table'!$BE$695:$BE$699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Table'!$BF$690:$BF$694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Table'!$BF$695:$BF$699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Table'!$BG$690:$BG$694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Table'!$BG$695:$BG$699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Table'!$BH$690:$BH$694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Table'!$BH$695:$BH$699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Table'!$BI$690:$BI$694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Table'!$BI$695:$BI$699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Table'!$BN$690:$BN$694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Table'!$BN$695:$BN$699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Table'!$BO$690:$BO$694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Table'!$BO$695:$BO$699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Table'!$BQ$690:$BQ$694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Table'!$BQ$695:$BQ$699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Table'!$BR$690:$BR$694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Table'!$BR$695:$BR$699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Table'!$BS$690:$BS$694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Table'!$BS$695:$BS$699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Table'!$BT$690:$BT$694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Table'!$BR$695:$BR$700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245345616.71513516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Table'!$BU$690:$BU$694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Table'!$BU$695:$BU$699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Table'!$BV$690:$BV$694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Table'!$AS$695:$AT$700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Table'!$BV$695:$BV$699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599</xdr:row>
      <xdr:rowOff>99060</xdr:rowOff>
    </xdr:from>
    <xdr:to>
      <xdr:col>22</xdr:col>
      <xdr:colOff>312420</xdr:colOff>
      <xdr:row>600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599</xdr:row>
      <xdr:rowOff>129540</xdr:rowOff>
    </xdr:from>
    <xdr:to>
      <xdr:col>23</xdr:col>
      <xdr:colOff>68580</xdr:colOff>
      <xdr:row>600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617</xdr:row>
      <xdr:rowOff>125730</xdr:rowOff>
    </xdr:from>
    <xdr:to>
      <xdr:col>54</xdr:col>
      <xdr:colOff>213360</xdr:colOff>
      <xdr:row>632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707</xdr:row>
      <xdr:rowOff>91440</xdr:rowOff>
    </xdr:from>
    <xdr:to>
      <xdr:col>76</xdr:col>
      <xdr:colOff>472440</xdr:colOff>
      <xdr:row>730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530</xdr:row>
      <xdr:rowOff>0</xdr:rowOff>
    </xdr:from>
    <xdr:to>
      <xdr:col>60</xdr:col>
      <xdr:colOff>83820</xdr:colOff>
      <xdr:row>530</xdr:row>
      <xdr:rowOff>114300</xdr:rowOff>
    </xdr:to>
    <xdr:sp macro="" textlink="">
      <xdr:nvSpPr>
        <xdr:cNvPr id="3862" name="Arrow: Down 3861">
          <a:extLst>
            <a:ext uri="{FF2B5EF4-FFF2-40B4-BE49-F238E27FC236}">
              <a16:creationId xmlns:a16="http://schemas.microsoft.com/office/drawing/2014/main" id="{091B53E0-E7DA-45EF-8286-A7D72FE33C37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530</xdr:row>
      <xdr:rowOff>0</xdr:rowOff>
    </xdr:from>
    <xdr:to>
      <xdr:col>71</xdr:col>
      <xdr:colOff>83820</xdr:colOff>
      <xdr:row>530</xdr:row>
      <xdr:rowOff>114300</xdr:rowOff>
    </xdr:to>
    <xdr:sp macro="" textlink="">
      <xdr:nvSpPr>
        <xdr:cNvPr id="3892" name="Arrow: Down 3891">
          <a:extLst>
            <a:ext uri="{FF2B5EF4-FFF2-40B4-BE49-F238E27FC236}">
              <a16:creationId xmlns:a16="http://schemas.microsoft.com/office/drawing/2014/main" id="{96443913-163B-4B94-BB86-80BE1AEF86D2}"/>
            </a:ext>
          </a:extLst>
        </xdr:cNvPr>
        <xdr:cNvSpPr/>
      </xdr:nvSpPr>
      <xdr:spPr>
        <a:xfrm>
          <a:off x="216331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530</xdr:row>
      <xdr:rowOff>0</xdr:rowOff>
    </xdr:from>
    <xdr:to>
      <xdr:col>45</xdr:col>
      <xdr:colOff>83820</xdr:colOff>
      <xdr:row>530</xdr:row>
      <xdr:rowOff>114300</xdr:rowOff>
    </xdr:to>
    <xdr:sp macro="" textlink="">
      <xdr:nvSpPr>
        <xdr:cNvPr id="3893" name="Arrow: Down 3892">
          <a:extLst>
            <a:ext uri="{FF2B5EF4-FFF2-40B4-BE49-F238E27FC236}">
              <a16:creationId xmlns:a16="http://schemas.microsoft.com/office/drawing/2014/main" id="{BB53B721-603D-4E8B-B416-C65F0CDB8F3A}"/>
            </a:ext>
          </a:extLst>
        </xdr:cNvPr>
        <xdr:cNvSpPr/>
      </xdr:nvSpPr>
      <xdr:spPr>
        <a:xfrm rot="10800000">
          <a:off x="134035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530</xdr:row>
      <xdr:rowOff>0</xdr:rowOff>
    </xdr:from>
    <xdr:to>
      <xdr:col>39</xdr:col>
      <xdr:colOff>83820</xdr:colOff>
      <xdr:row>530</xdr:row>
      <xdr:rowOff>114300</xdr:rowOff>
    </xdr:to>
    <xdr:sp macro="" textlink="">
      <xdr:nvSpPr>
        <xdr:cNvPr id="3911" name="Arrow: Down 3910">
          <a:extLst>
            <a:ext uri="{FF2B5EF4-FFF2-40B4-BE49-F238E27FC236}">
              <a16:creationId xmlns:a16="http://schemas.microsoft.com/office/drawing/2014/main" id="{C0D5B896-B58B-4E01-85B7-D94B0DB4C0A9}"/>
            </a:ext>
          </a:extLst>
        </xdr:cNvPr>
        <xdr:cNvSpPr/>
      </xdr:nvSpPr>
      <xdr:spPr>
        <a:xfrm rot="10800000">
          <a:off x="1154430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83820</xdr:colOff>
      <xdr:row>530</xdr:row>
      <xdr:rowOff>114300</xdr:rowOff>
    </xdr:to>
    <xdr:sp macro="" textlink="">
      <xdr:nvSpPr>
        <xdr:cNvPr id="3946" name="Arrow: Down 3945">
          <a:extLst>
            <a:ext uri="{FF2B5EF4-FFF2-40B4-BE49-F238E27FC236}">
              <a16:creationId xmlns:a16="http://schemas.microsoft.com/office/drawing/2014/main" id="{0CBCBAC6-5B1D-4F1E-ACFA-1A2544F9E9E1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530</xdr:row>
      <xdr:rowOff>0</xdr:rowOff>
    </xdr:from>
    <xdr:to>
      <xdr:col>11</xdr:col>
      <xdr:colOff>83820</xdr:colOff>
      <xdr:row>530</xdr:row>
      <xdr:rowOff>114300</xdr:rowOff>
    </xdr:to>
    <xdr:sp macro="" textlink="">
      <xdr:nvSpPr>
        <xdr:cNvPr id="3956" name="Arrow: Down 3955">
          <a:extLst>
            <a:ext uri="{FF2B5EF4-FFF2-40B4-BE49-F238E27FC236}">
              <a16:creationId xmlns:a16="http://schemas.microsoft.com/office/drawing/2014/main" id="{981822B8-4CAE-49CF-8F43-607A01A1067D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530</xdr:row>
      <xdr:rowOff>0</xdr:rowOff>
    </xdr:from>
    <xdr:to>
      <xdr:col>24</xdr:col>
      <xdr:colOff>83820</xdr:colOff>
      <xdr:row>530</xdr:row>
      <xdr:rowOff>114300</xdr:rowOff>
    </xdr:to>
    <xdr:sp macro="" textlink="">
      <xdr:nvSpPr>
        <xdr:cNvPr id="3957" name="Arrow: Down 3956">
          <a:extLst>
            <a:ext uri="{FF2B5EF4-FFF2-40B4-BE49-F238E27FC236}">
              <a16:creationId xmlns:a16="http://schemas.microsoft.com/office/drawing/2014/main" id="{6E426A88-4B38-4039-86EC-F61E4216FE72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83820</xdr:colOff>
      <xdr:row>531</xdr:row>
      <xdr:rowOff>114300</xdr:rowOff>
    </xdr:to>
    <xdr:sp macro="" textlink="">
      <xdr:nvSpPr>
        <xdr:cNvPr id="3967" name="Arrow: Down 3966">
          <a:extLst>
            <a:ext uri="{FF2B5EF4-FFF2-40B4-BE49-F238E27FC236}">
              <a16:creationId xmlns:a16="http://schemas.microsoft.com/office/drawing/2014/main" id="{DF1B9EF8-83D4-4D12-BE0F-4D192810AC5B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531</xdr:row>
      <xdr:rowOff>0</xdr:rowOff>
    </xdr:from>
    <xdr:to>
      <xdr:col>11</xdr:col>
      <xdr:colOff>83820</xdr:colOff>
      <xdr:row>531</xdr:row>
      <xdr:rowOff>114300</xdr:rowOff>
    </xdr:to>
    <xdr:sp macro="" textlink="">
      <xdr:nvSpPr>
        <xdr:cNvPr id="3969" name="Arrow: Down 3968">
          <a:extLst>
            <a:ext uri="{FF2B5EF4-FFF2-40B4-BE49-F238E27FC236}">
              <a16:creationId xmlns:a16="http://schemas.microsoft.com/office/drawing/2014/main" id="{CD8DEDA0-A425-415A-837C-E63A122E05E2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531</xdr:row>
      <xdr:rowOff>0</xdr:rowOff>
    </xdr:from>
    <xdr:to>
      <xdr:col>24</xdr:col>
      <xdr:colOff>83820</xdr:colOff>
      <xdr:row>531</xdr:row>
      <xdr:rowOff>114300</xdr:rowOff>
    </xdr:to>
    <xdr:sp macro="" textlink="">
      <xdr:nvSpPr>
        <xdr:cNvPr id="3976" name="Arrow: Down 3975">
          <a:extLst>
            <a:ext uri="{FF2B5EF4-FFF2-40B4-BE49-F238E27FC236}">
              <a16:creationId xmlns:a16="http://schemas.microsoft.com/office/drawing/2014/main" id="{3361281C-6F2B-4502-868D-98C2F00A6081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531</xdr:row>
      <xdr:rowOff>0</xdr:rowOff>
    </xdr:from>
    <xdr:to>
      <xdr:col>45</xdr:col>
      <xdr:colOff>83820</xdr:colOff>
      <xdr:row>531</xdr:row>
      <xdr:rowOff>114300</xdr:rowOff>
    </xdr:to>
    <xdr:sp macro="" textlink="">
      <xdr:nvSpPr>
        <xdr:cNvPr id="3977" name="Arrow: Down 3976">
          <a:extLst>
            <a:ext uri="{FF2B5EF4-FFF2-40B4-BE49-F238E27FC236}">
              <a16:creationId xmlns:a16="http://schemas.microsoft.com/office/drawing/2014/main" id="{B0E78E9D-AAA1-488C-BADD-92C3DF5DDBB5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531</xdr:row>
      <xdr:rowOff>0</xdr:rowOff>
    </xdr:from>
    <xdr:to>
      <xdr:col>39</xdr:col>
      <xdr:colOff>83820</xdr:colOff>
      <xdr:row>531</xdr:row>
      <xdr:rowOff>114300</xdr:rowOff>
    </xdr:to>
    <xdr:sp macro="" textlink="">
      <xdr:nvSpPr>
        <xdr:cNvPr id="3978" name="Arrow: Down 3977">
          <a:extLst>
            <a:ext uri="{FF2B5EF4-FFF2-40B4-BE49-F238E27FC236}">
              <a16:creationId xmlns:a16="http://schemas.microsoft.com/office/drawing/2014/main" id="{4C3D535A-71BB-44F6-BA45-94379D93D10E}"/>
            </a:ext>
          </a:extLst>
        </xdr:cNvPr>
        <xdr:cNvSpPr/>
      </xdr:nvSpPr>
      <xdr:spPr>
        <a:xfrm>
          <a:off x="115443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531</xdr:row>
      <xdr:rowOff>0</xdr:rowOff>
    </xdr:from>
    <xdr:to>
      <xdr:col>71</xdr:col>
      <xdr:colOff>83820</xdr:colOff>
      <xdr:row>531</xdr:row>
      <xdr:rowOff>114300</xdr:rowOff>
    </xdr:to>
    <xdr:sp macro="" textlink="">
      <xdr:nvSpPr>
        <xdr:cNvPr id="3979" name="Arrow: Down 3978">
          <a:extLst>
            <a:ext uri="{FF2B5EF4-FFF2-40B4-BE49-F238E27FC236}">
              <a16:creationId xmlns:a16="http://schemas.microsoft.com/office/drawing/2014/main" id="{DA2B7D19-95F4-4B76-8C70-692369B9EDD6}"/>
            </a:ext>
          </a:extLst>
        </xdr:cNvPr>
        <xdr:cNvSpPr/>
      </xdr:nvSpPr>
      <xdr:spPr>
        <a:xfrm rot="10800000">
          <a:off x="216331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531</xdr:row>
      <xdr:rowOff>0</xdr:rowOff>
    </xdr:from>
    <xdr:to>
      <xdr:col>60</xdr:col>
      <xdr:colOff>83820</xdr:colOff>
      <xdr:row>531</xdr:row>
      <xdr:rowOff>114300</xdr:rowOff>
    </xdr:to>
    <xdr:sp macro="" textlink="">
      <xdr:nvSpPr>
        <xdr:cNvPr id="3992" name="Arrow: Down 3991">
          <a:extLst>
            <a:ext uri="{FF2B5EF4-FFF2-40B4-BE49-F238E27FC236}">
              <a16:creationId xmlns:a16="http://schemas.microsoft.com/office/drawing/2014/main" id="{92FB2641-077C-48F2-95CE-40AA30FF3369}"/>
            </a:ext>
          </a:extLst>
        </xdr:cNvPr>
        <xdr:cNvSpPr/>
      </xdr:nvSpPr>
      <xdr:spPr>
        <a:xfrm rot="10800000">
          <a:off x="190804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83820</xdr:colOff>
      <xdr:row>532</xdr:row>
      <xdr:rowOff>114300</xdr:rowOff>
    </xdr:to>
    <xdr:sp macro="" textlink="">
      <xdr:nvSpPr>
        <xdr:cNvPr id="3996" name="Arrow: Down 3995">
          <a:extLst>
            <a:ext uri="{FF2B5EF4-FFF2-40B4-BE49-F238E27FC236}">
              <a16:creationId xmlns:a16="http://schemas.microsoft.com/office/drawing/2014/main" id="{EFC556EC-2309-41FB-9A50-6FE282F85116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532</xdr:row>
      <xdr:rowOff>0</xdr:rowOff>
    </xdr:from>
    <xdr:to>
      <xdr:col>11</xdr:col>
      <xdr:colOff>83820</xdr:colOff>
      <xdr:row>532</xdr:row>
      <xdr:rowOff>114300</xdr:rowOff>
    </xdr:to>
    <xdr:sp macro="" textlink="">
      <xdr:nvSpPr>
        <xdr:cNvPr id="4004" name="Arrow: Down 4003">
          <a:extLst>
            <a:ext uri="{FF2B5EF4-FFF2-40B4-BE49-F238E27FC236}">
              <a16:creationId xmlns:a16="http://schemas.microsoft.com/office/drawing/2014/main" id="{00ABCB17-46F8-4DF5-951B-C99FBFF3BFA2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532</xdr:row>
      <xdr:rowOff>0</xdr:rowOff>
    </xdr:from>
    <xdr:to>
      <xdr:col>24</xdr:col>
      <xdr:colOff>83820</xdr:colOff>
      <xdr:row>532</xdr:row>
      <xdr:rowOff>114300</xdr:rowOff>
    </xdr:to>
    <xdr:sp macro="" textlink="">
      <xdr:nvSpPr>
        <xdr:cNvPr id="4005" name="Arrow: Down 4004">
          <a:extLst>
            <a:ext uri="{FF2B5EF4-FFF2-40B4-BE49-F238E27FC236}">
              <a16:creationId xmlns:a16="http://schemas.microsoft.com/office/drawing/2014/main" id="{B5EC0F38-F69A-43A7-B5AA-99646CBB7AE6}"/>
            </a:ext>
          </a:extLst>
        </xdr:cNvPr>
        <xdr:cNvSpPr/>
      </xdr:nvSpPr>
      <xdr:spPr>
        <a:xfrm rot="10800000">
          <a:off x="83362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532</xdr:row>
      <xdr:rowOff>0</xdr:rowOff>
    </xdr:from>
    <xdr:to>
      <xdr:col>45</xdr:col>
      <xdr:colOff>83820</xdr:colOff>
      <xdr:row>532</xdr:row>
      <xdr:rowOff>114300</xdr:rowOff>
    </xdr:to>
    <xdr:sp macro="" textlink="">
      <xdr:nvSpPr>
        <xdr:cNvPr id="4006" name="Arrow: Down 4005">
          <a:extLst>
            <a:ext uri="{FF2B5EF4-FFF2-40B4-BE49-F238E27FC236}">
              <a16:creationId xmlns:a16="http://schemas.microsoft.com/office/drawing/2014/main" id="{461F57FA-23BE-4011-B7E0-F525B94FEF14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532</xdr:row>
      <xdr:rowOff>0</xdr:rowOff>
    </xdr:from>
    <xdr:to>
      <xdr:col>39</xdr:col>
      <xdr:colOff>83820</xdr:colOff>
      <xdr:row>532</xdr:row>
      <xdr:rowOff>114300</xdr:rowOff>
    </xdr:to>
    <xdr:sp macro="" textlink="">
      <xdr:nvSpPr>
        <xdr:cNvPr id="4016" name="Arrow: Down 4015">
          <a:extLst>
            <a:ext uri="{FF2B5EF4-FFF2-40B4-BE49-F238E27FC236}">
              <a16:creationId xmlns:a16="http://schemas.microsoft.com/office/drawing/2014/main" id="{495390DF-A1E0-4981-8CA6-D74667C36DF7}"/>
            </a:ext>
          </a:extLst>
        </xdr:cNvPr>
        <xdr:cNvSpPr/>
      </xdr:nvSpPr>
      <xdr:spPr>
        <a:xfrm rot="10800000">
          <a:off x="1154430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532</xdr:row>
      <xdr:rowOff>0</xdr:rowOff>
    </xdr:from>
    <xdr:to>
      <xdr:col>71</xdr:col>
      <xdr:colOff>83820</xdr:colOff>
      <xdr:row>532</xdr:row>
      <xdr:rowOff>114300</xdr:rowOff>
    </xdr:to>
    <xdr:sp macro="" textlink="">
      <xdr:nvSpPr>
        <xdr:cNvPr id="4017" name="Arrow: Down 4016">
          <a:extLst>
            <a:ext uri="{FF2B5EF4-FFF2-40B4-BE49-F238E27FC236}">
              <a16:creationId xmlns:a16="http://schemas.microsoft.com/office/drawing/2014/main" id="{7E97A5CC-0749-490E-8F65-7E5555098C7F}"/>
            </a:ext>
          </a:extLst>
        </xdr:cNvPr>
        <xdr:cNvSpPr/>
      </xdr:nvSpPr>
      <xdr:spPr>
        <a:xfrm>
          <a:off x="216331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532</xdr:row>
      <xdr:rowOff>0</xdr:rowOff>
    </xdr:from>
    <xdr:to>
      <xdr:col>60</xdr:col>
      <xdr:colOff>83820</xdr:colOff>
      <xdr:row>532</xdr:row>
      <xdr:rowOff>114300</xdr:rowOff>
    </xdr:to>
    <xdr:sp macro="" textlink="">
      <xdr:nvSpPr>
        <xdr:cNvPr id="4018" name="Arrow: Down 4017">
          <a:extLst>
            <a:ext uri="{FF2B5EF4-FFF2-40B4-BE49-F238E27FC236}">
              <a16:creationId xmlns:a16="http://schemas.microsoft.com/office/drawing/2014/main" id="{50C59B18-0E70-4BC8-925D-3514489EABFD}"/>
            </a:ext>
          </a:extLst>
        </xdr:cNvPr>
        <xdr:cNvSpPr/>
      </xdr:nvSpPr>
      <xdr:spPr>
        <a:xfrm>
          <a:off x="190804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83820</xdr:colOff>
      <xdr:row>533</xdr:row>
      <xdr:rowOff>114300</xdr:rowOff>
    </xdr:to>
    <xdr:sp macro="" textlink="">
      <xdr:nvSpPr>
        <xdr:cNvPr id="4019" name="Arrow: Down 4018">
          <a:extLst>
            <a:ext uri="{FF2B5EF4-FFF2-40B4-BE49-F238E27FC236}">
              <a16:creationId xmlns:a16="http://schemas.microsoft.com/office/drawing/2014/main" id="{A95ACD1D-1E0C-43A4-A64E-6D0B9CD11D3B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533</xdr:row>
      <xdr:rowOff>0</xdr:rowOff>
    </xdr:from>
    <xdr:to>
      <xdr:col>11</xdr:col>
      <xdr:colOff>83820</xdr:colOff>
      <xdr:row>533</xdr:row>
      <xdr:rowOff>114300</xdr:rowOff>
    </xdr:to>
    <xdr:sp macro="" textlink="">
      <xdr:nvSpPr>
        <xdr:cNvPr id="4020" name="Arrow: Down 4019">
          <a:extLst>
            <a:ext uri="{FF2B5EF4-FFF2-40B4-BE49-F238E27FC236}">
              <a16:creationId xmlns:a16="http://schemas.microsoft.com/office/drawing/2014/main" id="{7F44AF02-0BD9-479F-85FB-51E60D1C8CD5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533</xdr:row>
      <xdr:rowOff>0</xdr:rowOff>
    </xdr:from>
    <xdr:to>
      <xdr:col>24</xdr:col>
      <xdr:colOff>83820</xdr:colOff>
      <xdr:row>533</xdr:row>
      <xdr:rowOff>114300</xdr:rowOff>
    </xdr:to>
    <xdr:sp macro="" textlink="">
      <xdr:nvSpPr>
        <xdr:cNvPr id="4021" name="Arrow: Down 4020">
          <a:extLst>
            <a:ext uri="{FF2B5EF4-FFF2-40B4-BE49-F238E27FC236}">
              <a16:creationId xmlns:a16="http://schemas.microsoft.com/office/drawing/2014/main" id="{4B72249C-B89C-430A-85AF-634882E6775C}"/>
            </a:ext>
          </a:extLst>
        </xdr:cNvPr>
        <xdr:cNvSpPr/>
      </xdr:nvSpPr>
      <xdr:spPr>
        <a:xfrm rot="10800000">
          <a:off x="83362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533</xdr:row>
      <xdr:rowOff>0</xdr:rowOff>
    </xdr:from>
    <xdr:to>
      <xdr:col>45</xdr:col>
      <xdr:colOff>83820</xdr:colOff>
      <xdr:row>533</xdr:row>
      <xdr:rowOff>114300</xdr:rowOff>
    </xdr:to>
    <xdr:sp macro="" textlink="">
      <xdr:nvSpPr>
        <xdr:cNvPr id="4022" name="Arrow: Down 4021">
          <a:extLst>
            <a:ext uri="{FF2B5EF4-FFF2-40B4-BE49-F238E27FC236}">
              <a16:creationId xmlns:a16="http://schemas.microsoft.com/office/drawing/2014/main" id="{64E61EB8-573A-486E-9689-F051AA6437AE}"/>
            </a:ext>
          </a:extLst>
        </xdr:cNvPr>
        <xdr:cNvSpPr/>
      </xdr:nvSpPr>
      <xdr:spPr>
        <a:xfrm>
          <a:off x="134035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83820</xdr:colOff>
      <xdr:row>534</xdr:row>
      <xdr:rowOff>114300</xdr:rowOff>
    </xdr:to>
    <xdr:sp macro="" textlink="">
      <xdr:nvSpPr>
        <xdr:cNvPr id="4026" name="Arrow: Down 4025">
          <a:extLst>
            <a:ext uri="{FF2B5EF4-FFF2-40B4-BE49-F238E27FC236}">
              <a16:creationId xmlns:a16="http://schemas.microsoft.com/office/drawing/2014/main" id="{6B0FC9AC-E301-449B-9A64-164C572849A3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534</xdr:row>
      <xdr:rowOff>0</xdr:rowOff>
    </xdr:from>
    <xdr:to>
      <xdr:col>11</xdr:col>
      <xdr:colOff>83820</xdr:colOff>
      <xdr:row>534</xdr:row>
      <xdr:rowOff>114300</xdr:rowOff>
    </xdr:to>
    <xdr:sp macro="" textlink="">
      <xdr:nvSpPr>
        <xdr:cNvPr id="4027" name="Arrow: Down 4026">
          <a:extLst>
            <a:ext uri="{FF2B5EF4-FFF2-40B4-BE49-F238E27FC236}">
              <a16:creationId xmlns:a16="http://schemas.microsoft.com/office/drawing/2014/main" id="{98971697-C0B2-407E-990F-611BEBC9AAAB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534</xdr:row>
      <xdr:rowOff>0</xdr:rowOff>
    </xdr:from>
    <xdr:to>
      <xdr:col>24</xdr:col>
      <xdr:colOff>83820</xdr:colOff>
      <xdr:row>534</xdr:row>
      <xdr:rowOff>114300</xdr:rowOff>
    </xdr:to>
    <xdr:sp macro="" textlink="">
      <xdr:nvSpPr>
        <xdr:cNvPr id="4028" name="Arrow: Down 4027">
          <a:extLst>
            <a:ext uri="{FF2B5EF4-FFF2-40B4-BE49-F238E27FC236}">
              <a16:creationId xmlns:a16="http://schemas.microsoft.com/office/drawing/2014/main" id="{C348FE3C-B0D7-4E11-A381-2292307CDEC0}"/>
            </a:ext>
          </a:extLst>
        </xdr:cNvPr>
        <xdr:cNvSpPr/>
      </xdr:nvSpPr>
      <xdr:spPr>
        <a:xfrm rot="10800000">
          <a:off x="83362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534</xdr:row>
      <xdr:rowOff>0</xdr:rowOff>
    </xdr:from>
    <xdr:to>
      <xdr:col>45</xdr:col>
      <xdr:colOff>83820</xdr:colOff>
      <xdr:row>534</xdr:row>
      <xdr:rowOff>114300</xdr:rowOff>
    </xdr:to>
    <xdr:sp macro="" textlink="">
      <xdr:nvSpPr>
        <xdr:cNvPr id="4029" name="Arrow: Down 4028">
          <a:extLst>
            <a:ext uri="{FF2B5EF4-FFF2-40B4-BE49-F238E27FC236}">
              <a16:creationId xmlns:a16="http://schemas.microsoft.com/office/drawing/2014/main" id="{F9DC8954-30F7-46EB-B67B-7D65A660301A}"/>
            </a:ext>
          </a:extLst>
        </xdr:cNvPr>
        <xdr:cNvSpPr/>
      </xdr:nvSpPr>
      <xdr:spPr>
        <a:xfrm>
          <a:off x="134035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534</xdr:row>
      <xdr:rowOff>0</xdr:rowOff>
    </xdr:from>
    <xdr:to>
      <xdr:col>39</xdr:col>
      <xdr:colOff>83820</xdr:colOff>
      <xdr:row>534</xdr:row>
      <xdr:rowOff>114300</xdr:rowOff>
    </xdr:to>
    <xdr:sp macro="" textlink="">
      <xdr:nvSpPr>
        <xdr:cNvPr id="4030" name="Arrow: Down 4029">
          <a:extLst>
            <a:ext uri="{FF2B5EF4-FFF2-40B4-BE49-F238E27FC236}">
              <a16:creationId xmlns:a16="http://schemas.microsoft.com/office/drawing/2014/main" id="{1308B787-8A8A-4B81-80F3-83B3CA0BDCC0}"/>
            </a:ext>
          </a:extLst>
        </xdr:cNvPr>
        <xdr:cNvSpPr/>
      </xdr:nvSpPr>
      <xdr:spPr>
        <a:xfrm rot="10800000">
          <a:off x="11544300" y="9757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533</xdr:row>
      <xdr:rowOff>0</xdr:rowOff>
    </xdr:from>
    <xdr:to>
      <xdr:col>39</xdr:col>
      <xdr:colOff>83820</xdr:colOff>
      <xdr:row>533</xdr:row>
      <xdr:rowOff>114300</xdr:rowOff>
    </xdr:to>
    <xdr:sp macro="" textlink="">
      <xdr:nvSpPr>
        <xdr:cNvPr id="4033" name="Arrow: Down 4032">
          <a:extLst>
            <a:ext uri="{FF2B5EF4-FFF2-40B4-BE49-F238E27FC236}">
              <a16:creationId xmlns:a16="http://schemas.microsoft.com/office/drawing/2014/main" id="{37103D83-97AD-4135-B034-184DD29B41A0}"/>
            </a:ext>
          </a:extLst>
        </xdr:cNvPr>
        <xdr:cNvSpPr/>
      </xdr:nvSpPr>
      <xdr:spPr>
        <a:xfrm>
          <a:off x="115443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533</xdr:row>
      <xdr:rowOff>0</xdr:rowOff>
    </xdr:from>
    <xdr:to>
      <xdr:col>71</xdr:col>
      <xdr:colOff>83820</xdr:colOff>
      <xdr:row>533</xdr:row>
      <xdr:rowOff>114300</xdr:rowOff>
    </xdr:to>
    <xdr:sp macro="" textlink="">
      <xdr:nvSpPr>
        <xdr:cNvPr id="4034" name="Arrow: Down 4033">
          <a:extLst>
            <a:ext uri="{FF2B5EF4-FFF2-40B4-BE49-F238E27FC236}">
              <a16:creationId xmlns:a16="http://schemas.microsoft.com/office/drawing/2014/main" id="{1B14DDAC-01CF-47B4-A808-9E93E454B198}"/>
            </a:ext>
          </a:extLst>
        </xdr:cNvPr>
        <xdr:cNvSpPr/>
      </xdr:nvSpPr>
      <xdr:spPr>
        <a:xfrm rot="10800000">
          <a:off x="216331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533</xdr:row>
      <xdr:rowOff>0</xdr:rowOff>
    </xdr:from>
    <xdr:to>
      <xdr:col>60</xdr:col>
      <xdr:colOff>83820</xdr:colOff>
      <xdr:row>533</xdr:row>
      <xdr:rowOff>114300</xdr:rowOff>
    </xdr:to>
    <xdr:sp macro="" textlink="">
      <xdr:nvSpPr>
        <xdr:cNvPr id="4035" name="Arrow: Down 4034">
          <a:extLst>
            <a:ext uri="{FF2B5EF4-FFF2-40B4-BE49-F238E27FC236}">
              <a16:creationId xmlns:a16="http://schemas.microsoft.com/office/drawing/2014/main" id="{C47BA366-DE7D-404C-8918-01B9F5826459}"/>
            </a:ext>
          </a:extLst>
        </xdr:cNvPr>
        <xdr:cNvSpPr/>
      </xdr:nvSpPr>
      <xdr:spPr>
        <a:xfrm rot="10800000">
          <a:off x="190804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534</xdr:row>
      <xdr:rowOff>0</xdr:rowOff>
    </xdr:from>
    <xdr:to>
      <xdr:col>71</xdr:col>
      <xdr:colOff>83820</xdr:colOff>
      <xdr:row>534</xdr:row>
      <xdr:rowOff>114300</xdr:rowOff>
    </xdr:to>
    <xdr:sp macro="" textlink="">
      <xdr:nvSpPr>
        <xdr:cNvPr id="4037" name="Arrow: Down 4036">
          <a:extLst>
            <a:ext uri="{FF2B5EF4-FFF2-40B4-BE49-F238E27FC236}">
              <a16:creationId xmlns:a16="http://schemas.microsoft.com/office/drawing/2014/main" id="{E6517290-C34F-4E84-AFD5-124D9D310377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534</xdr:row>
      <xdr:rowOff>0</xdr:rowOff>
    </xdr:from>
    <xdr:to>
      <xdr:col>60</xdr:col>
      <xdr:colOff>83820</xdr:colOff>
      <xdr:row>534</xdr:row>
      <xdr:rowOff>114300</xdr:rowOff>
    </xdr:to>
    <xdr:sp macro="" textlink="">
      <xdr:nvSpPr>
        <xdr:cNvPr id="4038" name="Arrow: Down 4037">
          <a:extLst>
            <a:ext uri="{FF2B5EF4-FFF2-40B4-BE49-F238E27FC236}">
              <a16:creationId xmlns:a16="http://schemas.microsoft.com/office/drawing/2014/main" id="{FF98F9AD-B1D1-44D1-AFD7-E0FA2DF3BB20}"/>
            </a:ext>
          </a:extLst>
        </xdr:cNvPr>
        <xdr:cNvSpPr/>
      </xdr:nvSpPr>
      <xdr:spPr>
        <a:xfrm rot="10800000">
          <a:off x="190804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535</xdr:row>
      <xdr:rowOff>0</xdr:rowOff>
    </xdr:from>
    <xdr:to>
      <xdr:col>71</xdr:col>
      <xdr:colOff>83820</xdr:colOff>
      <xdr:row>535</xdr:row>
      <xdr:rowOff>114300</xdr:rowOff>
    </xdr:to>
    <xdr:sp macro="" textlink="">
      <xdr:nvSpPr>
        <xdr:cNvPr id="4044" name="Arrow: Down 4043">
          <a:extLst>
            <a:ext uri="{FF2B5EF4-FFF2-40B4-BE49-F238E27FC236}">
              <a16:creationId xmlns:a16="http://schemas.microsoft.com/office/drawing/2014/main" id="{0677E246-6D6A-4B66-A976-25BB253022A3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535</xdr:row>
      <xdr:rowOff>0</xdr:rowOff>
    </xdr:from>
    <xdr:to>
      <xdr:col>60</xdr:col>
      <xdr:colOff>83820</xdr:colOff>
      <xdr:row>535</xdr:row>
      <xdr:rowOff>114300</xdr:rowOff>
    </xdr:to>
    <xdr:sp macro="" textlink="">
      <xdr:nvSpPr>
        <xdr:cNvPr id="4046" name="Arrow: Down 4045">
          <a:extLst>
            <a:ext uri="{FF2B5EF4-FFF2-40B4-BE49-F238E27FC236}">
              <a16:creationId xmlns:a16="http://schemas.microsoft.com/office/drawing/2014/main" id="{EBEB5855-06A5-4E7A-9FD6-5E89322314F8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535</xdr:row>
      <xdr:rowOff>0</xdr:rowOff>
    </xdr:from>
    <xdr:to>
      <xdr:col>45</xdr:col>
      <xdr:colOff>83820</xdr:colOff>
      <xdr:row>535</xdr:row>
      <xdr:rowOff>114300</xdr:rowOff>
    </xdr:to>
    <xdr:sp macro="" textlink="">
      <xdr:nvSpPr>
        <xdr:cNvPr id="4047" name="Arrow: Down 4046">
          <a:extLst>
            <a:ext uri="{FF2B5EF4-FFF2-40B4-BE49-F238E27FC236}">
              <a16:creationId xmlns:a16="http://schemas.microsoft.com/office/drawing/2014/main" id="{32B10246-A813-45E1-A6A6-7CAB133B44B7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535</xdr:row>
      <xdr:rowOff>0</xdr:rowOff>
    </xdr:from>
    <xdr:to>
      <xdr:col>39</xdr:col>
      <xdr:colOff>83820</xdr:colOff>
      <xdr:row>535</xdr:row>
      <xdr:rowOff>114300</xdr:rowOff>
    </xdr:to>
    <xdr:sp macro="" textlink="">
      <xdr:nvSpPr>
        <xdr:cNvPr id="4049" name="Arrow: Down 4048">
          <a:extLst>
            <a:ext uri="{FF2B5EF4-FFF2-40B4-BE49-F238E27FC236}">
              <a16:creationId xmlns:a16="http://schemas.microsoft.com/office/drawing/2014/main" id="{305D5874-DBBC-48D2-AFCB-4AAD758173B6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535</xdr:row>
      <xdr:rowOff>0</xdr:rowOff>
    </xdr:from>
    <xdr:to>
      <xdr:col>24</xdr:col>
      <xdr:colOff>83820</xdr:colOff>
      <xdr:row>535</xdr:row>
      <xdr:rowOff>114300</xdr:rowOff>
    </xdr:to>
    <xdr:sp macro="" textlink="">
      <xdr:nvSpPr>
        <xdr:cNvPr id="4051" name="Arrow: Down 4050">
          <a:extLst>
            <a:ext uri="{FF2B5EF4-FFF2-40B4-BE49-F238E27FC236}">
              <a16:creationId xmlns:a16="http://schemas.microsoft.com/office/drawing/2014/main" id="{245DCFD1-4E24-41F8-9B02-787EE214F896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535</xdr:row>
      <xdr:rowOff>0</xdr:rowOff>
    </xdr:from>
    <xdr:to>
      <xdr:col>11</xdr:col>
      <xdr:colOff>83820</xdr:colOff>
      <xdr:row>535</xdr:row>
      <xdr:rowOff>114300</xdr:rowOff>
    </xdr:to>
    <xdr:sp macro="" textlink="">
      <xdr:nvSpPr>
        <xdr:cNvPr id="4052" name="Arrow: Down 4051">
          <a:extLst>
            <a:ext uri="{FF2B5EF4-FFF2-40B4-BE49-F238E27FC236}">
              <a16:creationId xmlns:a16="http://schemas.microsoft.com/office/drawing/2014/main" id="{DDAA9F29-EC59-48E2-BF13-98BAF507F199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535</xdr:row>
      <xdr:rowOff>0</xdr:rowOff>
    </xdr:from>
    <xdr:to>
      <xdr:col>5</xdr:col>
      <xdr:colOff>83820</xdr:colOff>
      <xdr:row>535</xdr:row>
      <xdr:rowOff>114300</xdr:rowOff>
    </xdr:to>
    <xdr:sp macro="" textlink="">
      <xdr:nvSpPr>
        <xdr:cNvPr id="4053" name="Arrow: Down 4052">
          <a:extLst>
            <a:ext uri="{FF2B5EF4-FFF2-40B4-BE49-F238E27FC236}">
              <a16:creationId xmlns:a16="http://schemas.microsoft.com/office/drawing/2014/main" id="{10F41A2C-0E23-47EF-BD92-2035333ADB70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536</xdr:row>
      <xdr:rowOff>0</xdr:rowOff>
    </xdr:from>
    <xdr:to>
      <xdr:col>60</xdr:col>
      <xdr:colOff>83820</xdr:colOff>
      <xdr:row>536</xdr:row>
      <xdr:rowOff>114300</xdr:rowOff>
    </xdr:to>
    <xdr:sp macro="" textlink="">
      <xdr:nvSpPr>
        <xdr:cNvPr id="4055" name="Arrow: Down 4054">
          <a:extLst>
            <a:ext uri="{FF2B5EF4-FFF2-40B4-BE49-F238E27FC236}">
              <a16:creationId xmlns:a16="http://schemas.microsoft.com/office/drawing/2014/main" id="{CD897546-1FEC-466C-8C90-E41DDE982A8E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536</xdr:row>
      <xdr:rowOff>0</xdr:rowOff>
    </xdr:from>
    <xdr:to>
      <xdr:col>45</xdr:col>
      <xdr:colOff>83820</xdr:colOff>
      <xdr:row>536</xdr:row>
      <xdr:rowOff>114300</xdr:rowOff>
    </xdr:to>
    <xdr:sp macro="" textlink="">
      <xdr:nvSpPr>
        <xdr:cNvPr id="4056" name="Arrow: Down 4055">
          <a:extLst>
            <a:ext uri="{FF2B5EF4-FFF2-40B4-BE49-F238E27FC236}">
              <a16:creationId xmlns:a16="http://schemas.microsoft.com/office/drawing/2014/main" id="{EE6AD4FA-E140-43AE-9CC4-8BADAC63E658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536</xdr:row>
      <xdr:rowOff>0</xdr:rowOff>
    </xdr:from>
    <xdr:to>
      <xdr:col>39</xdr:col>
      <xdr:colOff>83820</xdr:colOff>
      <xdr:row>536</xdr:row>
      <xdr:rowOff>114300</xdr:rowOff>
    </xdr:to>
    <xdr:sp macro="" textlink="">
      <xdr:nvSpPr>
        <xdr:cNvPr id="4057" name="Arrow: Down 4056">
          <a:extLst>
            <a:ext uri="{FF2B5EF4-FFF2-40B4-BE49-F238E27FC236}">
              <a16:creationId xmlns:a16="http://schemas.microsoft.com/office/drawing/2014/main" id="{172F1618-89E2-4524-86BF-AD999EB6237F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536</xdr:row>
      <xdr:rowOff>0</xdr:rowOff>
    </xdr:from>
    <xdr:to>
      <xdr:col>24</xdr:col>
      <xdr:colOff>83820</xdr:colOff>
      <xdr:row>536</xdr:row>
      <xdr:rowOff>114300</xdr:rowOff>
    </xdr:to>
    <xdr:sp macro="" textlink="">
      <xdr:nvSpPr>
        <xdr:cNvPr id="4058" name="Arrow: Down 4057">
          <a:extLst>
            <a:ext uri="{FF2B5EF4-FFF2-40B4-BE49-F238E27FC236}">
              <a16:creationId xmlns:a16="http://schemas.microsoft.com/office/drawing/2014/main" id="{43080B8B-ED91-4A94-AC8E-E1B11233D572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536</xdr:row>
      <xdr:rowOff>0</xdr:rowOff>
    </xdr:from>
    <xdr:to>
      <xdr:col>11</xdr:col>
      <xdr:colOff>83820</xdr:colOff>
      <xdr:row>536</xdr:row>
      <xdr:rowOff>114300</xdr:rowOff>
    </xdr:to>
    <xdr:sp macro="" textlink="">
      <xdr:nvSpPr>
        <xdr:cNvPr id="4059" name="Arrow: Down 4058">
          <a:extLst>
            <a:ext uri="{FF2B5EF4-FFF2-40B4-BE49-F238E27FC236}">
              <a16:creationId xmlns:a16="http://schemas.microsoft.com/office/drawing/2014/main" id="{FDD901C4-75D6-4C60-8223-B8A325BC9DB0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83820</xdr:colOff>
      <xdr:row>536</xdr:row>
      <xdr:rowOff>114300</xdr:rowOff>
    </xdr:to>
    <xdr:sp macro="" textlink="">
      <xdr:nvSpPr>
        <xdr:cNvPr id="4060" name="Arrow: Down 4059">
          <a:extLst>
            <a:ext uri="{FF2B5EF4-FFF2-40B4-BE49-F238E27FC236}">
              <a16:creationId xmlns:a16="http://schemas.microsoft.com/office/drawing/2014/main" id="{FFD5656E-992C-48C5-B746-53958C488EAF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536</xdr:row>
      <xdr:rowOff>0</xdr:rowOff>
    </xdr:from>
    <xdr:to>
      <xdr:col>71</xdr:col>
      <xdr:colOff>83820</xdr:colOff>
      <xdr:row>536</xdr:row>
      <xdr:rowOff>114300</xdr:rowOff>
    </xdr:to>
    <xdr:sp macro="" textlink="">
      <xdr:nvSpPr>
        <xdr:cNvPr id="4061" name="Arrow: Down 4060">
          <a:extLst>
            <a:ext uri="{FF2B5EF4-FFF2-40B4-BE49-F238E27FC236}">
              <a16:creationId xmlns:a16="http://schemas.microsoft.com/office/drawing/2014/main" id="{EC60CC19-2AD7-4E84-8A3A-D15A5840337A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537</xdr:row>
      <xdr:rowOff>0</xdr:rowOff>
    </xdr:from>
    <xdr:to>
      <xdr:col>60</xdr:col>
      <xdr:colOff>83820</xdr:colOff>
      <xdr:row>537</xdr:row>
      <xdr:rowOff>114300</xdr:rowOff>
    </xdr:to>
    <xdr:sp macro="" textlink="">
      <xdr:nvSpPr>
        <xdr:cNvPr id="4062" name="Arrow: Down 4061">
          <a:extLst>
            <a:ext uri="{FF2B5EF4-FFF2-40B4-BE49-F238E27FC236}">
              <a16:creationId xmlns:a16="http://schemas.microsoft.com/office/drawing/2014/main" id="{47FD585D-3CA3-444D-A36F-4BB3768A8331}"/>
            </a:ext>
          </a:extLst>
        </xdr:cNvPr>
        <xdr:cNvSpPr/>
      </xdr:nvSpPr>
      <xdr:spPr>
        <a:xfrm>
          <a:off x="190804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537</xdr:row>
      <xdr:rowOff>0</xdr:rowOff>
    </xdr:from>
    <xdr:to>
      <xdr:col>45</xdr:col>
      <xdr:colOff>83820</xdr:colOff>
      <xdr:row>537</xdr:row>
      <xdr:rowOff>114300</xdr:rowOff>
    </xdr:to>
    <xdr:sp macro="" textlink="">
      <xdr:nvSpPr>
        <xdr:cNvPr id="4063" name="Arrow: Down 4062">
          <a:extLst>
            <a:ext uri="{FF2B5EF4-FFF2-40B4-BE49-F238E27FC236}">
              <a16:creationId xmlns:a16="http://schemas.microsoft.com/office/drawing/2014/main" id="{F7BA9798-E980-42EB-8F11-CFB65E46C0F5}"/>
            </a:ext>
          </a:extLst>
        </xdr:cNvPr>
        <xdr:cNvSpPr/>
      </xdr:nvSpPr>
      <xdr:spPr>
        <a:xfrm rot="10800000">
          <a:off x="134035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537</xdr:row>
      <xdr:rowOff>0</xdr:rowOff>
    </xdr:from>
    <xdr:to>
      <xdr:col>71</xdr:col>
      <xdr:colOff>83820</xdr:colOff>
      <xdr:row>537</xdr:row>
      <xdr:rowOff>114300</xdr:rowOff>
    </xdr:to>
    <xdr:sp macro="" textlink="">
      <xdr:nvSpPr>
        <xdr:cNvPr id="4068" name="Arrow: Down 4067">
          <a:extLst>
            <a:ext uri="{FF2B5EF4-FFF2-40B4-BE49-F238E27FC236}">
              <a16:creationId xmlns:a16="http://schemas.microsoft.com/office/drawing/2014/main" id="{B17C1055-0372-4F95-8848-932B783432F9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83820</xdr:colOff>
      <xdr:row>537</xdr:row>
      <xdr:rowOff>114300</xdr:rowOff>
    </xdr:to>
    <xdr:sp macro="" textlink="">
      <xdr:nvSpPr>
        <xdr:cNvPr id="4069" name="Arrow: Down 4068">
          <a:extLst>
            <a:ext uri="{FF2B5EF4-FFF2-40B4-BE49-F238E27FC236}">
              <a16:creationId xmlns:a16="http://schemas.microsoft.com/office/drawing/2014/main" id="{A54D4683-948E-47E6-ABB6-C8C1E1DBCDA6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537</xdr:row>
      <xdr:rowOff>0</xdr:rowOff>
    </xdr:from>
    <xdr:to>
      <xdr:col>11</xdr:col>
      <xdr:colOff>83820</xdr:colOff>
      <xdr:row>537</xdr:row>
      <xdr:rowOff>114300</xdr:rowOff>
    </xdr:to>
    <xdr:sp macro="" textlink="">
      <xdr:nvSpPr>
        <xdr:cNvPr id="4070" name="Arrow: Down 4069">
          <a:extLst>
            <a:ext uri="{FF2B5EF4-FFF2-40B4-BE49-F238E27FC236}">
              <a16:creationId xmlns:a16="http://schemas.microsoft.com/office/drawing/2014/main" id="{104BC855-2F10-4D8F-A66A-C28C1094322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537</xdr:row>
      <xdr:rowOff>0</xdr:rowOff>
    </xdr:from>
    <xdr:to>
      <xdr:col>24</xdr:col>
      <xdr:colOff>83820</xdr:colOff>
      <xdr:row>537</xdr:row>
      <xdr:rowOff>114300</xdr:rowOff>
    </xdr:to>
    <xdr:sp macro="" textlink="">
      <xdr:nvSpPr>
        <xdr:cNvPr id="4071" name="Arrow: Down 4070">
          <a:extLst>
            <a:ext uri="{FF2B5EF4-FFF2-40B4-BE49-F238E27FC236}">
              <a16:creationId xmlns:a16="http://schemas.microsoft.com/office/drawing/2014/main" id="{2BE8186F-53FD-420B-88CC-4F7FE8E7BBAE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538</xdr:row>
      <xdr:rowOff>0</xdr:rowOff>
    </xdr:from>
    <xdr:to>
      <xdr:col>45</xdr:col>
      <xdr:colOff>83820</xdr:colOff>
      <xdr:row>538</xdr:row>
      <xdr:rowOff>114300</xdr:rowOff>
    </xdr:to>
    <xdr:sp macro="" textlink="">
      <xdr:nvSpPr>
        <xdr:cNvPr id="4073" name="Arrow: Down 4072">
          <a:extLst>
            <a:ext uri="{FF2B5EF4-FFF2-40B4-BE49-F238E27FC236}">
              <a16:creationId xmlns:a16="http://schemas.microsoft.com/office/drawing/2014/main" id="{EE46CA86-C49C-4BCB-8E14-D68EAA35B549}"/>
            </a:ext>
          </a:extLst>
        </xdr:cNvPr>
        <xdr:cNvSpPr/>
      </xdr:nvSpPr>
      <xdr:spPr>
        <a:xfrm rot="10800000">
          <a:off x="1340358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83820</xdr:colOff>
      <xdr:row>538</xdr:row>
      <xdr:rowOff>114300</xdr:rowOff>
    </xdr:to>
    <xdr:sp macro="" textlink="">
      <xdr:nvSpPr>
        <xdr:cNvPr id="4075" name="Arrow: Down 4074">
          <a:extLst>
            <a:ext uri="{FF2B5EF4-FFF2-40B4-BE49-F238E27FC236}">
              <a16:creationId xmlns:a16="http://schemas.microsoft.com/office/drawing/2014/main" id="{9F965364-B243-4EFA-B14A-9E9B28D185EB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538</xdr:row>
      <xdr:rowOff>0</xdr:rowOff>
    </xdr:from>
    <xdr:to>
      <xdr:col>11</xdr:col>
      <xdr:colOff>83820</xdr:colOff>
      <xdr:row>538</xdr:row>
      <xdr:rowOff>114300</xdr:rowOff>
    </xdr:to>
    <xdr:sp macro="" textlink="">
      <xdr:nvSpPr>
        <xdr:cNvPr id="4076" name="Arrow: Down 4075">
          <a:extLst>
            <a:ext uri="{FF2B5EF4-FFF2-40B4-BE49-F238E27FC236}">
              <a16:creationId xmlns:a16="http://schemas.microsoft.com/office/drawing/2014/main" id="{EE8AC16D-CA6F-460A-8B08-964311C2BEB9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538</xdr:row>
      <xdr:rowOff>0</xdr:rowOff>
    </xdr:from>
    <xdr:to>
      <xdr:col>24</xdr:col>
      <xdr:colOff>83820</xdr:colOff>
      <xdr:row>538</xdr:row>
      <xdr:rowOff>114300</xdr:rowOff>
    </xdr:to>
    <xdr:sp macro="" textlink="">
      <xdr:nvSpPr>
        <xdr:cNvPr id="4077" name="Arrow: Down 4076">
          <a:extLst>
            <a:ext uri="{FF2B5EF4-FFF2-40B4-BE49-F238E27FC236}">
              <a16:creationId xmlns:a16="http://schemas.microsoft.com/office/drawing/2014/main" id="{FFF7AC87-206C-4AC5-BC81-19C660A17146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538</xdr:row>
      <xdr:rowOff>0</xdr:rowOff>
    </xdr:from>
    <xdr:to>
      <xdr:col>39</xdr:col>
      <xdr:colOff>83820</xdr:colOff>
      <xdr:row>538</xdr:row>
      <xdr:rowOff>114300</xdr:rowOff>
    </xdr:to>
    <xdr:sp macro="" textlink="">
      <xdr:nvSpPr>
        <xdr:cNvPr id="4078" name="Arrow: Down 4077">
          <a:extLst>
            <a:ext uri="{FF2B5EF4-FFF2-40B4-BE49-F238E27FC236}">
              <a16:creationId xmlns:a16="http://schemas.microsoft.com/office/drawing/2014/main" id="{A2092530-7290-4782-A066-9612897636F9}"/>
            </a:ext>
          </a:extLst>
        </xdr:cNvPr>
        <xdr:cNvSpPr/>
      </xdr:nvSpPr>
      <xdr:spPr>
        <a:xfrm>
          <a:off x="115443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537</xdr:row>
      <xdr:rowOff>0</xdr:rowOff>
    </xdr:from>
    <xdr:to>
      <xdr:col>39</xdr:col>
      <xdr:colOff>83820</xdr:colOff>
      <xdr:row>537</xdr:row>
      <xdr:rowOff>114300</xdr:rowOff>
    </xdr:to>
    <xdr:sp macro="" textlink="">
      <xdr:nvSpPr>
        <xdr:cNvPr id="4080" name="Arrow: Down 4079">
          <a:extLst>
            <a:ext uri="{FF2B5EF4-FFF2-40B4-BE49-F238E27FC236}">
              <a16:creationId xmlns:a16="http://schemas.microsoft.com/office/drawing/2014/main" id="{85BE6C96-53D5-4CDD-9353-4B0301A2245A}"/>
            </a:ext>
          </a:extLst>
        </xdr:cNvPr>
        <xdr:cNvSpPr/>
      </xdr:nvSpPr>
      <xdr:spPr>
        <a:xfrm rot="10800000">
          <a:off x="1154430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538</xdr:row>
      <xdr:rowOff>0</xdr:rowOff>
    </xdr:from>
    <xdr:to>
      <xdr:col>71</xdr:col>
      <xdr:colOff>83820</xdr:colOff>
      <xdr:row>538</xdr:row>
      <xdr:rowOff>114300</xdr:rowOff>
    </xdr:to>
    <xdr:sp macro="" textlink="">
      <xdr:nvSpPr>
        <xdr:cNvPr id="4081" name="Arrow: Down 4080">
          <a:extLst>
            <a:ext uri="{FF2B5EF4-FFF2-40B4-BE49-F238E27FC236}">
              <a16:creationId xmlns:a16="http://schemas.microsoft.com/office/drawing/2014/main" id="{D1F3001D-E0D2-4551-B516-7766EC45E58C}"/>
            </a:ext>
          </a:extLst>
        </xdr:cNvPr>
        <xdr:cNvSpPr/>
      </xdr:nvSpPr>
      <xdr:spPr>
        <a:xfrm rot="10800000">
          <a:off x="216331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538</xdr:row>
      <xdr:rowOff>0</xdr:rowOff>
    </xdr:from>
    <xdr:to>
      <xdr:col>60</xdr:col>
      <xdr:colOff>83820</xdr:colOff>
      <xdr:row>538</xdr:row>
      <xdr:rowOff>114300</xdr:rowOff>
    </xdr:to>
    <xdr:sp macro="" textlink="">
      <xdr:nvSpPr>
        <xdr:cNvPr id="4082" name="Arrow: Down 4081">
          <a:extLst>
            <a:ext uri="{FF2B5EF4-FFF2-40B4-BE49-F238E27FC236}">
              <a16:creationId xmlns:a16="http://schemas.microsoft.com/office/drawing/2014/main" id="{E1264B0C-80F6-4299-A2AA-1BF9D114C98C}"/>
            </a:ext>
          </a:extLst>
        </xdr:cNvPr>
        <xdr:cNvSpPr/>
      </xdr:nvSpPr>
      <xdr:spPr>
        <a:xfrm rot="10800000">
          <a:off x="190804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539</xdr:row>
      <xdr:rowOff>0</xdr:rowOff>
    </xdr:from>
    <xdr:to>
      <xdr:col>45</xdr:col>
      <xdr:colOff>83820</xdr:colOff>
      <xdr:row>539</xdr:row>
      <xdr:rowOff>114300</xdr:rowOff>
    </xdr:to>
    <xdr:sp macro="" textlink="">
      <xdr:nvSpPr>
        <xdr:cNvPr id="4083" name="Arrow: Down 4082">
          <a:extLst>
            <a:ext uri="{FF2B5EF4-FFF2-40B4-BE49-F238E27FC236}">
              <a16:creationId xmlns:a16="http://schemas.microsoft.com/office/drawing/2014/main" id="{9A4C7013-1925-43AA-81A0-9967BB8F371C}"/>
            </a:ext>
          </a:extLst>
        </xdr:cNvPr>
        <xdr:cNvSpPr/>
      </xdr:nvSpPr>
      <xdr:spPr>
        <a:xfrm rot="10800000">
          <a:off x="13403580" y="9848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539</xdr:row>
      <xdr:rowOff>0</xdr:rowOff>
    </xdr:from>
    <xdr:to>
      <xdr:col>5</xdr:col>
      <xdr:colOff>83820</xdr:colOff>
      <xdr:row>539</xdr:row>
      <xdr:rowOff>114300</xdr:rowOff>
    </xdr:to>
    <xdr:sp macro="" textlink="">
      <xdr:nvSpPr>
        <xdr:cNvPr id="4084" name="Arrow: Down 4083">
          <a:extLst>
            <a:ext uri="{FF2B5EF4-FFF2-40B4-BE49-F238E27FC236}">
              <a16:creationId xmlns:a16="http://schemas.microsoft.com/office/drawing/2014/main" id="{C6BCF584-6AC6-4CC8-A400-5A5A4A1C5A7E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539</xdr:row>
      <xdr:rowOff>0</xdr:rowOff>
    </xdr:from>
    <xdr:to>
      <xdr:col>11</xdr:col>
      <xdr:colOff>83820</xdr:colOff>
      <xdr:row>539</xdr:row>
      <xdr:rowOff>114300</xdr:rowOff>
    </xdr:to>
    <xdr:sp macro="" textlink="">
      <xdr:nvSpPr>
        <xdr:cNvPr id="4085" name="Arrow: Down 4084">
          <a:extLst>
            <a:ext uri="{FF2B5EF4-FFF2-40B4-BE49-F238E27FC236}">
              <a16:creationId xmlns:a16="http://schemas.microsoft.com/office/drawing/2014/main" id="{1E7A4308-D072-41FF-BAF6-5787585D724B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539</xdr:row>
      <xdr:rowOff>0</xdr:rowOff>
    </xdr:from>
    <xdr:to>
      <xdr:col>24</xdr:col>
      <xdr:colOff>83820</xdr:colOff>
      <xdr:row>539</xdr:row>
      <xdr:rowOff>114300</xdr:rowOff>
    </xdr:to>
    <xdr:sp macro="" textlink="">
      <xdr:nvSpPr>
        <xdr:cNvPr id="4086" name="Arrow: Down 4085">
          <a:extLst>
            <a:ext uri="{FF2B5EF4-FFF2-40B4-BE49-F238E27FC236}">
              <a16:creationId xmlns:a16="http://schemas.microsoft.com/office/drawing/2014/main" id="{93AE8F53-F326-4C61-AB9C-85FF64DF3B23}"/>
            </a:ext>
          </a:extLst>
        </xdr:cNvPr>
        <xdr:cNvSpPr/>
      </xdr:nvSpPr>
      <xdr:spPr>
        <a:xfrm rot="10800000">
          <a:off x="83362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539</xdr:row>
      <xdr:rowOff>0</xdr:rowOff>
    </xdr:from>
    <xdr:to>
      <xdr:col>39</xdr:col>
      <xdr:colOff>83820</xdr:colOff>
      <xdr:row>539</xdr:row>
      <xdr:rowOff>114300</xdr:rowOff>
    </xdr:to>
    <xdr:sp macro="" textlink="">
      <xdr:nvSpPr>
        <xdr:cNvPr id="4090" name="Arrow: Down 4089">
          <a:extLst>
            <a:ext uri="{FF2B5EF4-FFF2-40B4-BE49-F238E27FC236}">
              <a16:creationId xmlns:a16="http://schemas.microsoft.com/office/drawing/2014/main" id="{C0FA507B-6C72-4BEF-B769-D59A71100932}"/>
            </a:ext>
          </a:extLst>
        </xdr:cNvPr>
        <xdr:cNvSpPr/>
      </xdr:nvSpPr>
      <xdr:spPr>
        <a:xfrm rot="10800000">
          <a:off x="1154430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539</xdr:row>
      <xdr:rowOff>0</xdr:rowOff>
    </xdr:from>
    <xdr:to>
      <xdr:col>60</xdr:col>
      <xdr:colOff>83820</xdr:colOff>
      <xdr:row>539</xdr:row>
      <xdr:rowOff>114300</xdr:rowOff>
    </xdr:to>
    <xdr:sp macro="" textlink="">
      <xdr:nvSpPr>
        <xdr:cNvPr id="4091" name="Arrow: Down 4090">
          <a:extLst>
            <a:ext uri="{FF2B5EF4-FFF2-40B4-BE49-F238E27FC236}">
              <a16:creationId xmlns:a16="http://schemas.microsoft.com/office/drawing/2014/main" id="{D0CE50B6-7457-4E11-A29C-CD1707ABBF3F}"/>
            </a:ext>
          </a:extLst>
        </xdr:cNvPr>
        <xdr:cNvSpPr/>
      </xdr:nvSpPr>
      <xdr:spPr>
        <a:xfrm>
          <a:off x="190804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539</xdr:row>
      <xdr:rowOff>0</xdr:rowOff>
    </xdr:from>
    <xdr:to>
      <xdr:col>71</xdr:col>
      <xdr:colOff>83820</xdr:colOff>
      <xdr:row>539</xdr:row>
      <xdr:rowOff>114300</xdr:rowOff>
    </xdr:to>
    <xdr:sp macro="" textlink="">
      <xdr:nvSpPr>
        <xdr:cNvPr id="4092" name="Arrow: Down 4091">
          <a:extLst>
            <a:ext uri="{FF2B5EF4-FFF2-40B4-BE49-F238E27FC236}">
              <a16:creationId xmlns:a16="http://schemas.microsoft.com/office/drawing/2014/main" id="{14CA6548-378D-495C-B0D5-79C3FC042EC0}"/>
            </a:ext>
          </a:extLst>
        </xdr:cNvPr>
        <xdr:cNvSpPr/>
      </xdr:nvSpPr>
      <xdr:spPr>
        <a:xfrm>
          <a:off x="216331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540</xdr:row>
      <xdr:rowOff>0</xdr:rowOff>
    </xdr:from>
    <xdr:to>
      <xdr:col>24</xdr:col>
      <xdr:colOff>83820</xdr:colOff>
      <xdr:row>540</xdr:row>
      <xdr:rowOff>114300</xdr:rowOff>
    </xdr:to>
    <xdr:sp macro="" textlink="">
      <xdr:nvSpPr>
        <xdr:cNvPr id="4096" name="Arrow: Down 4095">
          <a:extLst>
            <a:ext uri="{FF2B5EF4-FFF2-40B4-BE49-F238E27FC236}">
              <a16:creationId xmlns:a16="http://schemas.microsoft.com/office/drawing/2014/main" id="{D1F88980-E78F-4F94-80C1-8BE63D326729}"/>
            </a:ext>
          </a:extLst>
        </xdr:cNvPr>
        <xdr:cNvSpPr/>
      </xdr:nvSpPr>
      <xdr:spPr>
        <a:xfrm rot="10800000">
          <a:off x="833628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540</xdr:row>
      <xdr:rowOff>0</xdr:rowOff>
    </xdr:from>
    <xdr:to>
      <xdr:col>71</xdr:col>
      <xdr:colOff>83820</xdr:colOff>
      <xdr:row>540</xdr:row>
      <xdr:rowOff>114300</xdr:rowOff>
    </xdr:to>
    <xdr:sp macro="" textlink="">
      <xdr:nvSpPr>
        <xdr:cNvPr id="4100" name="Arrow: Down 4099">
          <a:extLst>
            <a:ext uri="{FF2B5EF4-FFF2-40B4-BE49-F238E27FC236}">
              <a16:creationId xmlns:a16="http://schemas.microsoft.com/office/drawing/2014/main" id="{17838529-454E-4520-A5F4-226F73A47508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540</xdr:row>
      <xdr:rowOff>0</xdr:rowOff>
    </xdr:from>
    <xdr:to>
      <xdr:col>60</xdr:col>
      <xdr:colOff>83820</xdr:colOff>
      <xdr:row>540</xdr:row>
      <xdr:rowOff>114300</xdr:rowOff>
    </xdr:to>
    <xdr:sp macro="" textlink="">
      <xdr:nvSpPr>
        <xdr:cNvPr id="4102" name="Arrow: Down 4101">
          <a:extLst>
            <a:ext uri="{FF2B5EF4-FFF2-40B4-BE49-F238E27FC236}">
              <a16:creationId xmlns:a16="http://schemas.microsoft.com/office/drawing/2014/main" id="{FD99E8D2-E788-4418-A3BE-598325CED6E2}"/>
            </a:ext>
          </a:extLst>
        </xdr:cNvPr>
        <xdr:cNvSpPr/>
      </xdr:nvSpPr>
      <xdr:spPr>
        <a:xfrm rot="10800000">
          <a:off x="190804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540</xdr:row>
      <xdr:rowOff>0</xdr:rowOff>
    </xdr:from>
    <xdr:to>
      <xdr:col>45</xdr:col>
      <xdr:colOff>83820</xdr:colOff>
      <xdr:row>540</xdr:row>
      <xdr:rowOff>114300</xdr:rowOff>
    </xdr:to>
    <xdr:sp macro="" textlink="">
      <xdr:nvSpPr>
        <xdr:cNvPr id="4103" name="Arrow: Down 4102">
          <a:extLst>
            <a:ext uri="{FF2B5EF4-FFF2-40B4-BE49-F238E27FC236}">
              <a16:creationId xmlns:a16="http://schemas.microsoft.com/office/drawing/2014/main" id="{16EE1EDD-BF0F-418C-8BFD-08CFC096A1ED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540</xdr:row>
      <xdr:rowOff>0</xdr:rowOff>
    </xdr:from>
    <xdr:to>
      <xdr:col>39</xdr:col>
      <xdr:colOff>83820</xdr:colOff>
      <xdr:row>540</xdr:row>
      <xdr:rowOff>114300</xdr:rowOff>
    </xdr:to>
    <xdr:sp macro="" textlink="">
      <xdr:nvSpPr>
        <xdr:cNvPr id="4104" name="Arrow: Down 4103">
          <a:extLst>
            <a:ext uri="{FF2B5EF4-FFF2-40B4-BE49-F238E27FC236}">
              <a16:creationId xmlns:a16="http://schemas.microsoft.com/office/drawing/2014/main" id="{9D2E7FEC-5EAA-4681-83F8-740C9C46C4FE}"/>
            </a:ext>
          </a:extLst>
        </xdr:cNvPr>
        <xdr:cNvSpPr/>
      </xdr:nvSpPr>
      <xdr:spPr>
        <a:xfrm>
          <a:off x="1154430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540</xdr:row>
      <xdr:rowOff>0</xdr:rowOff>
    </xdr:from>
    <xdr:to>
      <xdr:col>11</xdr:col>
      <xdr:colOff>83820</xdr:colOff>
      <xdr:row>540</xdr:row>
      <xdr:rowOff>114300</xdr:rowOff>
    </xdr:to>
    <xdr:sp macro="" textlink="">
      <xdr:nvSpPr>
        <xdr:cNvPr id="4106" name="Arrow: Down 4105">
          <a:extLst>
            <a:ext uri="{FF2B5EF4-FFF2-40B4-BE49-F238E27FC236}">
              <a16:creationId xmlns:a16="http://schemas.microsoft.com/office/drawing/2014/main" id="{FE41BDB6-04EA-47B3-96A9-3ED74F0FCAA0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540</xdr:row>
      <xdr:rowOff>0</xdr:rowOff>
    </xdr:from>
    <xdr:to>
      <xdr:col>5</xdr:col>
      <xdr:colOff>83820</xdr:colOff>
      <xdr:row>540</xdr:row>
      <xdr:rowOff>114300</xdr:rowOff>
    </xdr:to>
    <xdr:sp macro="" textlink="">
      <xdr:nvSpPr>
        <xdr:cNvPr id="4108" name="Arrow: Down 4107">
          <a:extLst>
            <a:ext uri="{FF2B5EF4-FFF2-40B4-BE49-F238E27FC236}">
              <a16:creationId xmlns:a16="http://schemas.microsoft.com/office/drawing/2014/main" id="{1F65DF5A-37A9-4578-A55B-CFC1853B8B54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541</xdr:row>
      <xdr:rowOff>0</xdr:rowOff>
    </xdr:from>
    <xdr:to>
      <xdr:col>71</xdr:col>
      <xdr:colOff>83820</xdr:colOff>
      <xdr:row>541</xdr:row>
      <xdr:rowOff>114300</xdr:rowOff>
    </xdr:to>
    <xdr:sp macro="" textlink="">
      <xdr:nvSpPr>
        <xdr:cNvPr id="4117" name="Arrow: Down 4116">
          <a:extLst>
            <a:ext uri="{FF2B5EF4-FFF2-40B4-BE49-F238E27FC236}">
              <a16:creationId xmlns:a16="http://schemas.microsoft.com/office/drawing/2014/main" id="{90DBE1B8-CB4C-45E0-8F10-4F5FC2B2F842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541</xdr:row>
      <xdr:rowOff>0</xdr:rowOff>
    </xdr:from>
    <xdr:to>
      <xdr:col>45</xdr:col>
      <xdr:colOff>83820</xdr:colOff>
      <xdr:row>541</xdr:row>
      <xdr:rowOff>114300</xdr:rowOff>
    </xdr:to>
    <xdr:sp macro="" textlink="">
      <xdr:nvSpPr>
        <xdr:cNvPr id="4119" name="Arrow: Down 4118">
          <a:extLst>
            <a:ext uri="{FF2B5EF4-FFF2-40B4-BE49-F238E27FC236}">
              <a16:creationId xmlns:a16="http://schemas.microsoft.com/office/drawing/2014/main" id="{6E79A4B8-3243-4D31-8F97-2DD44508B6B9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541</xdr:row>
      <xdr:rowOff>0</xdr:rowOff>
    </xdr:from>
    <xdr:to>
      <xdr:col>5</xdr:col>
      <xdr:colOff>83820</xdr:colOff>
      <xdr:row>541</xdr:row>
      <xdr:rowOff>114300</xdr:rowOff>
    </xdr:to>
    <xdr:sp macro="" textlink="">
      <xdr:nvSpPr>
        <xdr:cNvPr id="4123" name="Arrow: Down 4122">
          <a:extLst>
            <a:ext uri="{FF2B5EF4-FFF2-40B4-BE49-F238E27FC236}">
              <a16:creationId xmlns:a16="http://schemas.microsoft.com/office/drawing/2014/main" id="{E5D699C3-659A-4837-8453-6348E9FCE536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541</xdr:row>
      <xdr:rowOff>0</xdr:rowOff>
    </xdr:from>
    <xdr:to>
      <xdr:col>11</xdr:col>
      <xdr:colOff>83820</xdr:colOff>
      <xdr:row>541</xdr:row>
      <xdr:rowOff>114300</xdr:rowOff>
    </xdr:to>
    <xdr:sp macro="" textlink="">
      <xdr:nvSpPr>
        <xdr:cNvPr id="4125" name="Arrow: Down 4124">
          <a:extLst>
            <a:ext uri="{FF2B5EF4-FFF2-40B4-BE49-F238E27FC236}">
              <a16:creationId xmlns:a16="http://schemas.microsoft.com/office/drawing/2014/main" id="{F556C769-3FDF-4E15-849B-274DC15A80BB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541</xdr:row>
      <xdr:rowOff>0</xdr:rowOff>
    </xdr:from>
    <xdr:to>
      <xdr:col>24</xdr:col>
      <xdr:colOff>83820</xdr:colOff>
      <xdr:row>541</xdr:row>
      <xdr:rowOff>114300</xdr:rowOff>
    </xdr:to>
    <xdr:sp macro="" textlink="">
      <xdr:nvSpPr>
        <xdr:cNvPr id="4126" name="Arrow: Down 4125">
          <a:extLst>
            <a:ext uri="{FF2B5EF4-FFF2-40B4-BE49-F238E27FC236}">
              <a16:creationId xmlns:a16="http://schemas.microsoft.com/office/drawing/2014/main" id="{8F066790-85C3-4050-B075-5941646EDD43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541</xdr:row>
      <xdr:rowOff>0</xdr:rowOff>
    </xdr:from>
    <xdr:to>
      <xdr:col>39</xdr:col>
      <xdr:colOff>83820</xdr:colOff>
      <xdr:row>541</xdr:row>
      <xdr:rowOff>114300</xdr:rowOff>
    </xdr:to>
    <xdr:sp macro="" textlink="">
      <xdr:nvSpPr>
        <xdr:cNvPr id="4128" name="Arrow: Down 4127">
          <a:extLst>
            <a:ext uri="{FF2B5EF4-FFF2-40B4-BE49-F238E27FC236}">
              <a16:creationId xmlns:a16="http://schemas.microsoft.com/office/drawing/2014/main" id="{366A8842-C405-4B91-A20F-F62E1A00A32A}"/>
            </a:ext>
          </a:extLst>
        </xdr:cNvPr>
        <xdr:cNvSpPr/>
      </xdr:nvSpPr>
      <xdr:spPr>
        <a:xfrm rot="10800000">
          <a:off x="1154430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541</xdr:row>
      <xdr:rowOff>0</xdr:rowOff>
    </xdr:from>
    <xdr:to>
      <xdr:col>60</xdr:col>
      <xdr:colOff>83820</xdr:colOff>
      <xdr:row>541</xdr:row>
      <xdr:rowOff>114300</xdr:rowOff>
    </xdr:to>
    <xdr:sp macro="" textlink="">
      <xdr:nvSpPr>
        <xdr:cNvPr id="4130" name="Arrow: Down 4129">
          <a:extLst>
            <a:ext uri="{FF2B5EF4-FFF2-40B4-BE49-F238E27FC236}">
              <a16:creationId xmlns:a16="http://schemas.microsoft.com/office/drawing/2014/main" id="{60F79B7E-E5AE-4AC4-88EC-11D339B4F44A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542</xdr:row>
      <xdr:rowOff>0</xdr:rowOff>
    </xdr:from>
    <xdr:to>
      <xdr:col>71</xdr:col>
      <xdr:colOff>83820</xdr:colOff>
      <xdr:row>542</xdr:row>
      <xdr:rowOff>114300</xdr:rowOff>
    </xdr:to>
    <xdr:sp macro="" textlink="">
      <xdr:nvSpPr>
        <xdr:cNvPr id="4138" name="Arrow: Down 4137">
          <a:extLst>
            <a:ext uri="{FF2B5EF4-FFF2-40B4-BE49-F238E27FC236}">
              <a16:creationId xmlns:a16="http://schemas.microsoft.com/office/drawing/2014/main" id="{7915F7D3-CDDD-4F45-BC3A-4958E2E179BE}"/>
            </a:ext>
          </a:extLst>
        </xdr:cNvPr>
        <xdr:cNvSpPr/>
      </xdr:nvSpPr>
      <xdr:spPr>
        <a:xfrm rot="10800000">
          <a:off x="216331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542</xdr:row>
      <xdr:rowOff>0</xdr:rowOff>
    </xdr:from>
    <xdr:to>
      <xdr:col>45</xdr:col>
      <xdr:colOff>83820</xdr:colOff>
      <xdr:row>542</xdr:row>
      <xdr:rowOff>114300</xdr:rowOff>
    </xdr:to>
    <xdr:sp macro="" textlink="">
      <xdr:nvSpPr>
        <xdr:cNvPr id="4139" name="Arrow: Down 4138">
          <a:extLst>
            <a:ext uri="{FF2B5EF4-FFF2-40B4-BE49-F238E27FC236}">
              <a16:creationId xmlns:a16="http://schemas.microsoft.com/office/drawing/2014/main" id="{B3C3C1D3-1CB5-42AA-833C-79F06C416BCC}"/>
            </a:ext>
          </a:extLst>
        </xdr:cNvPr>
        <xdr:cNvSpPr/>
      </xdr:nvSpPr>
      <xdr:spPr>
        <a:xfrm>
          <a:off x="134035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542</xdr:row>
      <xdr:rowOff>0</xdr:rowOff>
    </xdr:from>
    <xdr:to>
      <xdr:col>24</xdr:col>
      <xdr:colOff>83820</xdr:colOff>
      <xdr:row>542</xdr:row>
      <xdr:rowOff>114300</xdr:rowOff>
    </xdr:to>
    <xdr:sp macro="" textlink="">
      <xdr:nvSpPr>
        <xdr:cNvPr id="4142" name="Arrow: Down 4141">
          <a:extLst>
            <a:ext uri="{FF2B5EF4-FFF2-40B4-BE49-F238E27FC236}">
              <a16:creationId xmlns:a16="http://schemas.microsoft.com/office/drawing/2014/main" id="{33BEBD43-9DA6-40E9-A00F-8CA938805BF8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542</xdr:row>
      <xdr:rowOff>0</xdr:rowOff>
    </xdr:from>
    <xdr:to>
      <xdr:col>60</xdr:col>
      <xdr:colOff>83820</xdr:colOff>
      <xdr:row>542</xdr:row>
      <xdr:rowOff>114300</xdr:rowOff>
    </xdr:to>
    <xdr:sp macro="" textlink="">
      <xdr:nvSpPr>
        <xdr:cNvPr id="4144" name="Arrow: Down 4143">
          <a:extLst>
            <a:ext uri="{FF2B5EF4-FFF2-40B4-BE49-F238E27FC236}">
              <a16:creationId xmlns:a16="http://schemas.microsoft.com/office/drawing/2014/main" id="{0B2E9C7C-29E1-4129-BC50-A5593ACCAD9F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542</xdr:row>
      <xdr:rowOff>0</xdr:rowOff>
    </xdr:from>
    <xdr:to>
      <xdr:col>39</xdr:col>
      <xdr:colOff>83820</xdr:colOff>
      <xdr:row>542</xdr:row>
      <xdr:rowOff>114300</xdr:rowOff>
    </xdr:to>
    <xdr:sp macro="" textlink="">
      <xdr:nvSpPr>
        <xdr:cNvPr id="4145" name="Arrow: Down 4144">
          <a:extLst>
            <a:ext uri="{FF2B5EF4-FFF2-40B4-BE49-F238E27FC236}">
              <a16:creationId xmlns:a16="http://schemas.microsoft.com/office/drawing/2014/main" id="{38F4E306-A40A-4A6A-837E-DCE4BFE69695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542</xdr:row>
      <xdr:rowOff>0</xdr:rowOff>
    </xdr:from>
    <xdr:to>
      <xdr:col>5</xdr:col>
      <xdr:colOff>83820</xdr:colOff>
      <xdr:row>542</xdr:row>
      <xdr:rowOff>114300</xdr:rowOff>
    </xdr:to>
    <xdr:sp macro="" textlink="">
      <xdr:nvSpPr>
        <xdr:cNvPr id="4146" name="Arrow: Down 4145">
          <a:extLst>
            <a:ext uri="{FF2B5EF4-FFF2-40B4-BE49-F238E27FC236}">
              <a16:creationId xmlns:a16="http://schemas.microsoft.com/office/drawing/2014/main" id="{D38D3A90-7AB7-42CE-8ED9-337AADF654EC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542</xdr:row>
      <xdr:rowOff>0</xdr:rowOff>
    </xdr:from>
    <xdr:to>
      <xdr:col>11</xdr:col>
      <xdr:colOff>83820</xdr:colOff>
      <xdr:row>542</xdr:row>
      <xdr:rowOff>114300</xdr:rowOff>
    </xdr:to>
    <xdr:sp macro="" textlink="">
      <xdr:nvSpPr>
        <xdr:cNvPr id="4147" name="Arrow: Down 4146">
          <a:extLst>
            <a:ext uri="{FF2B5EF4-FFF2-40B4-BE49-F238E27FC236}">
              <a16:creationId xmlns:a16="http://schemas.microsoft.com/office/drawing/2014/main" id="{0CD32D26-06B4-42AD-B9FA-95693178FB72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543</xdr:row>
      <xdr:rowOff>0</xdr:rowOff>
    </xdr:from>
    <xdr:to>
      <xdr:col>45</xdr:col>
      <xdr:colOff>83820</xdr:colOff>
      <xdr:row>543</xdr:row>
      <xdr:rowOff>114300</xdr:rowOff>
    </xdr:to>
    <xdr:sp macro="" textlink="">
      <xdr:nvSpPr>
        <xdr:cNvPr id="4149" name="Arrow: Down 4148">
          <a:extLst>
            <a:ext uri="{FF2B5EF4-FFF2-40B4-BE49-F238E27FC236}">
              <a16:creationId xmlns:a16="http://schemas.microsoft.com/office/drawing/2014/main" id="{C81E8636-BF00-4302-AD14-3E4678319388}"/>
            </a:ext>
          </a:extLst>
        </xdr:cNvPr>
        <xdr:cNvSpPr/>
      </xdr:nvSpPr>
      <xdr:spPr>
        <a:xfrm>
          <a:off x="1340358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543</xdr:row>
      <xdr:rowOff>0</xdr:rowOff>
    </xdr:from>
    <xdr:to>
      <xdr:col>24</xdr:col>
      <xdr:colOff>83820</xdr:colOff>
      <xdr:row>543</xdr:row>
      <xdr:rowOff>114300</xdr:rowOff>
    </xdr:to>
    <xdr:sp macro="" textlink="">
      <xdr:nvSpPr>
        <xdr:cNvPr id="4150" name="Arrow: Down 4149">
          <a:extLst>
            <a:ext uri="{FF2B5EF4-FFF2-40B4-BE49-F238E27FC236}">
              <a16:creationId xmlns:a16="http://schemas.microsoft.com/office/drawing/2014/main" id="{645B4FD0-A1D4-4C9E-AAC5-6BE6EAAD5F33}"/>
            </a:ext>
          </a:extLst>
        </xdr:cNvPr>
        <xdr:cNvSpPr/>
      </xdr:nvSpPr>
      <xdr:spPr>
        <a:xfrm>
          <a:off x="83362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543</xdr:row>
      <xdr:rowOff>0</xdr:rowOff>
    </xdr:from>
    <xdr:to>
      <xdr:col>60</xdr:col>
      <xdr:colOff>83820</xdr:colOff>
      <xdr:row>543</xdr:row>
      <xdr:rowOff>114300</xdr:rowOff>
    </xdr:to>
    <xdr:sp macro="" textlink="">
      <xdr:nvSpPr>
        <xdr:cNvPr id="4151" name="Arrow: Down 4150">
          <a:extLst>
            <a:ext uri="{FF2B5EF4-FFF2-40B4-BE49-F238E27FC236}">
              <a16:creationId xmlns:a16="http://schemas.microsoft.com/office/drawing/2014/main" id="{8C59436B-3974-4797-BCBC-76681E62BDF7}"/>
            </a:ext>
          </a:extLst>
        </xdr:cNvPr>
        <xdr:cNvSpPr/>
      </xdr:nvSpPr>
      <xdr:spPr>
        <a:xfrm>
          <a:off x="190804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543</xdr:row>
      <xdr:rowOff>0</xdr:rowOff>
    </xdr:from>
    <xdr:to>
      <xdr:col>39</xdr:col>
      <xdr:colOff>83820</xdr:colOff>
      <xdr:row>543</xdr:row>
      <xdr:rowOff>114300</xdr:rowOff>
    </xdr:to>
    <xdr:sp macro="" textlink="">
      <xdr:nvSpPr>
        <xdr:cNvPr id="4152" name="Arrow: Down 4151">
          <a:extLst>
            <a:ext uri="{FF2B5EF4-FFF2-40B4-BE49-F238E27FC236}">
              <a16:creationId xmlns:a16="http://schemas.microsoft.com/office/drawing/2014/main" id="{2A7B1747-C8AA-4C46-BC5D-90CD50B64D72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543</xdr:row>
      <xdr:rowOff>0</xdr:rowOff>
    </xdr:from>
    <xdr:to>
      <xdr:col>5</xdr:col>
      <xdr:colOff>83820</xdr:colOff>
      <xdr:row>543</xdr:row>
      <xdr:rowOff>114300</xdr:rowOff>
    </xdr:to>
    <xdr:sp macro="" textlink="">
      <xdr:nvSpPr>
        <xdr:cNvPr id="4153" name="Arrow: Down 4152">
          <a:extLst>
            <a:ext uri="{FF2B5EF4-FFF2-40B4-BE49-F238E27FC236}">
              <a16:creationId xmlns:a16="http://schemas.microsoft.com/office/drawing/2014/main" id="{22897B97-8989-42AB-9CA3-94BB9EA4872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543</xdr:row>
      <xdr:rowOff>0</xdr:rowOff>
    </xdr:from>
    <xdr:to>
      <xdr:col>11</xdr:col>
      <xdr:colOff>83820</xdr:colOff>
      <xdr:row>543</xdr:row>
      <xdr:rowOff>114300</xdr:rowOff>
    </xdr:to>
    <xdr:sp macro="" textlink="">
      <xdr:nvSpPr>
        <xdr:cNvPr id="4154" name="Arrow: Down 4153">
          <a:extLst>
            <a:ext uri="{FF2B5EF4-FFF2-40B4-BE49-F238E27FC236}">
              <a16:creationId xmlns:a16="http://schemas.microsoft.com/office/drawing/2014/main" id="{BD2715BD-DAFB-46BF-A629-5E411C811CA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543</xdr:row>
      <xdr:rowOff>0</xdr:rowOff>
    </xdr:from>
    <xdr:to>
      <xdr:col>71</xdr:col>
      <xdr:colOff>83820</xdr:colOff>
      <xdr:row>543</xdr:row>
      <xdr:rowOff>114300</xdr:rowOff>
    </xdr:to>
    <xdr:sp macro="" textlink="">
      <xdr:nvSpPr>
        <xdr:cNvPr id="4155" name="Arrow: Down 4154">
          <a:extLst>
            <a:ext uri="{FF2B5EF4-FFF2-40B4-BE49-F238E27FC236}">
              <a16:creationId xmlns:a16="http://schemas.microsoft.com/office/drawing/2014/main" id="{BB886706-0C53-44AB-921F-4A650A26937A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544</xdr:row>
      <xdr:rowOff>0</xdr:rowOff>
    </xdr:from>
    <xdr:to>
      <xdr:col>45</xdr:col>
      <xdr:colOff>83820</xdr:colOff>
      <xdr:row>544</xdr:row>
      <xdr:rowOff>114300</xdr:rowOff>
    </xdr:to>
    <xdr:sp macro="" textlink="">
      <xdr:nvSpPr>
        <xdr:cNvPr id="4156" name="Arrow: Down 4155">
          <a:extLst>
            <a:ext uri="{FF2B5EF4-FFF2-40B4-BE49-F238E27FC236}">
              <a16:creationId xmlns:a16="http://schemas.microsoft.com/office/drawing/2014/main" id="{306F1BE7-9CFF-40A9-9F82-402D05EB17A3}"/>
            </a:ext>
          </a:extLst>
        </xdr:cNvPr>
        <xdr:cNvSpPr/>
      </xdr:nvSpPr>
      <xdr:spPr>
        <a:xfrm>
          <a:off x="13403580" y="9940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544</xdr:row>
      <xdr:rowOff>0</xdr:rowOff>
    </xdr:from>
    <xdr:to>
      <xdr:col>24</xdr:col>
      <xdr:colOff>83820</xdr:colOff>
      <xdr:row>544</xdr:row>
      <xdr:rowOff>114300</xdr:rowOff>
    </xdr:to>
    <xdr:sp macro="" textlink="">
      <xdr:nvSpPr>
        <xdr:cNvPr id="4157" name="Arrow: Down 4156">
          <a:extLst>
            <a:ext uri="{FF2B5EF4-FFF2-40B4-BE49-F238E27FC236}">
              <a16:creationId xmlns:a16="http://schemas.microsoft.com/office/drawing/2014/main" id="{F6164328-0ECA-4471-B251-27B4822D022C}"/>
            </a:ext>
          </a:extLst>
        </xdr:cNvPr>
        <xdr:cNvSpPr/>
      </xdr:nvSpPr>
      <xdr:spPr>
        <a:xfrm>
          <a:off x="83362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544</xdr:row>
      <xdr:rowOff>0</xdr:rowOff>
    </xdr:from>
    <xdr:to>
      <xdr:col>60</xdr:col>
      <xdr:colOff>83820</xdr:colOff>
      <xdr:row>544</xdr:row>
      <xdr:rowOff>114300</xdr:rowOff>
    </xdr:to>
    <xdr:sp macro="" textlink="">
      <xdr:nvSpPr>
        <xdr:cNvPr id="4158" name="Arrow: Down 4157">
          <a:extLst>
            <a:ext uri="{FF2B5EF4-FFF2-40B4-BE49-F238E27FC236}">
              <a16:creationId xmlns:a16="http://schemas.microsoft.com/office/drawing/2014/main" id="{784D14D8-13D9-408F-BECB-428478E9070E}"/>
            </a:ext>
          </a:extLst>
        </xdr:cNvPr>
        <xdr:cNvSpPr/>
      </xdr:nvSpPr>
      <xdr:spPr>
        <a:xfrm>
          <a:off x="190804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544</xdr:row>
      <xdr:rowOff>0</xdr:rowOff>
    </xdr:from>
    <xdr:to>
      <xdr:col>5</xdr:col>
      <xdr:colOff>83820</xdr:colOff>
      <xdr:row>544</xdr:row>
      <xdr:rowOff>114300</xdr:rowOff>
    </xdr:to>
    <xdr:sp macro="" textlink="">
      <xdr:nvSpPr>
        <xdr:cNvPr id="4160" name="Arrow: Down 4159">
          <a:extLst>
            <a:ext uri="{FF2B5EF4-FFF2-40B4-BE49-F238E27FC236}">
              <a16:creationId xmlns:a16="http://schemas.microsoft.com/office/drawing/2014/main" id="{793CEBA1-E8FB-4960-ABAD-7890A6E34D24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544</xdr:row>
      <xdr:rowOff>0</xdr:rowOff>
    </xdr:from>
    <xdr:to>
      <xdr:col>11</xdr:col>
      <xdr:colOff>83820</xdr:colOff>
      <xdr:row>544</xdr:row>
      <xdr:rowOff>114300</xdr:rowOff>
    </xdr:to>
    <xdr:sp macro="" textlink="">
      <xdr:nvSpPr>
        <xdr:cNvPr id="4161" name="Arrow: Down 4160">
          <a:extLst>
            <a:ext uri="{FF2B5EF4-FFF2-40B4-BE49-F238E27FC236}">
              <a16:creationId xmlns:a16="http://schemas.microsoft.com/office/drawing/2014/main" id="{274DDD26-CE36-4738-AA38-EB165A122579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544</xdr:row>
      <xdr:rowOff>0</xdr:rowOff>
    </xdr:from>
    <xdr:to>
      <xdr:col>71</xdr:col>
      <xdr:colOff>83820</xdr:colOff>
      <xdr:row>544</xdr:row>
      <xdr:rowOff>114300</xdr:rowOff>
    </xdr:to>
    <xdr:sp macro="" textlink="">
      <xdr:nvSpPr>
        <xdr:cNvPr id="4162" name="Arrow: Down 4161">
          <a:extLst>
            <a:ext uri="{FF2B5EF4-FFF2-40B4-BE49-F238E27FC236}">
              <a16:creationId xmlns:a16="http://schemas.microsoft.com/office/drawing/2014/main" id="{FC1FF6E6-78CB-4625-BFFB-FA18763185FC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544</xdr:row>
      <xdr:rowOff>0</xdr:rowOff>
    </xdr:from>
    <xdr:to>
      <xdr:col>39</xdr:col>
      <xdr:colOff>83820</xdr:colOff>
      <xdr:row>544</xdr:row>
      <xdr:rowOff>114300</xdr:rowOff>
    </xdr:to>
    <xdr:sp macro="" textlink="">
      <xdr:nvSpPr>
        <xdr:cNvPr id="4163" name="Arrow: Down 4162">
          <a:extLst>
            <a:ext uri="{FF2B5EF4-FFF2-40B4-BE49-F238E27FC236}">
              <a16:creationId xmlns:a16="http://schemas.microsoft.com/office/drawing/2014/main" id="{3DE9114F-E73C-4EEF-AB79-2D6024989B4C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545</xdr:row>
      <xdr:rowOff>0</xdr:rowOff>
    </xdr:from>
    <xdr:to>
      <xdr:col>60</xdr:col>
      <xdr:colOff>83820</xdr:colOff>
      <xdr:row>545</xdr:row>
      <xdr:rowOff>114300</xdr:rowOff>
    </xdr:to>
    <xdr:sp macro="" textlink="">
      <xdr:nvSpPr>
        <xdr:cNvPr id="4166" name="Arrow: Down 4165">
          <a:extLst>
            <a:ext uri="{FF2B5EF4-FFF2-40B4-BE49-F238E27FC236}">
              <a16:creationId xmlns:a16="http://schemas.microsoft.com/office/drawing/2014/main" id="{16FCA6AD-73DC-4A48-8D8D-0500D2889621}"/>
            </a:ext>
          </a:extLst>
        </xdr:cNvPr>
        <xdr:cNvSpPr/>
      </xdr:nvSpPr>
      <xdr:spPr>
        <a:xfrm>
          <a:off x="190804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545</xdr:row>
      <xdr:rowOff>0</xdr:rowOff>
    </xdr:from>
    <xdr:to>
      <xdr:col>71</xdr:col>
      <xdr:colOff>83820</xdr:colOff>
      <xdr:row>545</xdr:row>
      <xdr:rowOff>114300</xdr:rowOff>
    </xdr:to>
    <xdr:sp macro="" textlink="">
      <xdr:nvSpPr>
        <xdr:cNvPr id="4169" name="Arrow: Down 4168">
          <a:extLst>
            <a:ext uri="{FF2B5EF4-FFF2-40B4-BE49-F238E27FC236}">
              <a16:creationId xmlns:a16="http://schemas.microsoft.com/office/drawing/2014/main" id="{60C22522-5E3B-435B-B5CF-8D2C8514F5ED}"/>
            </a:ext>
          </a:extLst>
        </xdr:cNvPr>
        <xdr:cNvSpPr/>
      </xdr:nvSpPr>
      <xdr:spPr>
        <a:xfrm>
          <a:off x="216331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545</xdr:row>
      <xdr:rowOff>0</xdr:rowOff>
    </xdr:from>
    <xdr:to>
      <xdr:col>39</xdr:col>
      <xdr:colOff>83820</xdr:colOff>
      <xdr:row>545</xdr:row>
      <xdr:rowOff>114300</xdr:rowOff>
    </xdr:to>
    <xdr:sp macro="" textlink="">
      <xdr:nvSpPr>
        <xdr:cNvPr id="4170" name="Arrow: Down 4169">
          <a:extLst>
            <a:ext uri="{FF2B5EF4-FFF2-40B4-BE49-F238E27FC236}">
              <a16:creationId xmlns:a16="http://schemas.microsoft.com/office/drawing/2014/main" id="{59D414A7-CC5B-4D5F-B06C-8CFFAEE0C389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545</xdr:row>
      <xdr:rowOff>0</xdr:rowOff>
    </xdr:from>
    <xdr:to>
      <xdr:col>11</xdr:col>
      <xdr:colOff>83820</xdr:colOff>
      <xdr:row>545</xdr:row>
      <xdr:rowOff>114300</xdr:rowOff>
    </xdr:to>
    <xdr:sp macro="" textlink="">
      <xdr:nvSpPr>
        <xdr:cNvPr id="4171" name="Arrow: Down 4170">
          <a:extLst>
            <a:ext uri="{FF2B5EF4-FFF2-40B4-BE49-F238E27FC236}">
              <a16:creationId xmlns:a16="http://schemas.microsoft.com/office/drawing/2014/main" id="{56845CCA-1EEE-4DF8-A060-CF399CE3C67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83820</xdr:colOff>
      <xdr:row>545</xdr:row>
      <xdr:rowOff>114300</xdr:rowOff>
    </xdr:to>
    <xdr:sp macro="" textlink="">
      <xdr:nvSpPr>
        <xdr:cNvPr id="4172" name="Arrow: Down 4171">
          <a:extLst>
            <a:ext uri="{FF2B5EF4-FFF2-40B4-BE49-F238E27FC236}">
              <a16:creationId xmlns:a16="http://schemas.microsoft.com/office/drawing/2014/main" id="{66992E61-C84F-425E-99B6-38AE26360789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545</xdr:row>
      <xdr:rowOff>0</xdr:rowOff>
    </xdr:from>
    <xdr:to>
      <xdr:col>24</xdr:col>
      <xdr:colOff>83820</xdr:colOff>
      <xdr:row>545</xdr:row>
      <xdr:rowOff>114300</xdr:rowOff>
    </xdr:to>
    <xdr:sp macro="" textlink="">
      <xdr:nvSpPr>
        <xdr:cNvPr id="4173" name="Arrow: Down 4172">
          <a:extLst>
            <a:ext uri="{FF2B5EF4-FFF2-40B4-BE49-F238E27FC236}">
              <a16:creationId xmlns:a16="http://schemas.microsoft.com/office/drawing/2014/main" id="{C83B7ADE-7883-44FD-A1BC-0BC860EBF3DA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545</xdr:row>
      <xdr:rowOff>0</xdr:rowOff>
    </xdr:from>
    <xdr:to>
      <xdr:col>45</xdr:col>
      <xdr:colOff>83820</xdr:colOff>
      <xdr:row>545</xdr:row>
      <xdr:rowOff>114300</xdr:rowOff>
    </xdr:to>
    <xdr:sp macro="" textlink="">
      <xdr:nvSpPr>
        <xdr:cNvPr id="4174" name="Arrow: Down 4173">
          <a:extLst>
            <a:ext uri="{FF2B5EF4-FFF2-40B4-BE49-F238E27FC236}">
              <a16:creationId xmlns:a16="http://schemas.microsoft.com/office/drawing/2014/main" id="{095933AD-63AB-40AE-9D18-309FE6E88D63}"/>
            </a:ext>
          </a:extLst>
        </xdr:cNvPr>
        <xdr:cNvSpPr/>
      </xdr:nvSpPr>
      <xdr:spPr>
        <a:xfrm rot="10800000">
          <a:off x="13403580" y="9976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546</xdr:row>
      <xdr:rowOff>0</xdr:rowOff>
    </xdr:from>
    <xdr:to>
      <xdr:col>11</xdr:col>
      <xdr:colOff>83820</xdr:colOff>
      <xdr:row>546</xdr:row>
      <xdr:rowOff>114300</xdr:rowOff>
    </xdr:to>
    <xdr:sp macro="" textlink="">
      <xdr:nvSpPr>
        <xdr:cNvPr id="4178" name="Arrow: Down 4177">
          <a:extLst>
            <a:ext uri="{FF2B5EF4-FFF2-40B4-BE49-F238E27FC236}">
              <a16:creationId xmlns:a16="http://schemas.microsoft.com/office/drawing/2014/main" id="{130199A7-E7D2-4235-92C6-E8709DF436C4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546</xdr:row>
      <xdr:rowOff>0</xdr:rowOff>
    </xdr:from>
    <xdr:to>
      <xdr:col>5</xdr:col>
      <xdr:colOff>83820</xdr:colOff>
      <xdr:row>546</xdr:row>
      <xdr:rowOff>114300</xdr:rowOff>
    </xdr:to>
    <xdr:sp macro="" textlink="">
      <xdr:nvSpPr>
        <xdr:cNvPr id="4179" name="Arrow: Down 4178">
          <a:extLst>
            <a:ext uri="{FF2B5EF4-FFF2-40B4-BE49-F238E27FC236}">
              <a16:creationId xmlns:a16="http://schemas.microsoft.com/office/drawing/2014/main" id="{3FD82930-7BAC-4F2D-B8A5-A29FB98C755A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546</xdr:row>
      <xdr:rowOff>0</xdr:rowOff>
    </xdr:from>
    <xdr:to>
      <xdr:col>24</xdr:col>
      <xdr:colOff>83820</xdr:colOff>
      <xdr:row>546</xdr:row>
      <xdr:rowOff>114300</xdr:rowOff>
    </xdr:to>
    <xdr:sp macro="" textlink="">
      <xdr:nvSpPr>
        <xdr:cNvPr id="4180" name="Arrow: Down 4179">
          <a:extLst>
            <a:ext uri="{FF2B5EF4-FFF2-40B4-BE49-F238E27FC236}">
              <a16:creationId xmlns:a16="http://schemas.microsoft.com/office/drawing/2014/main" id="{B69C2561-3668-4AF8-89F6-0981F966A861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546</xdr:row>
      <xdr:rowOff>0</xdr:rowOff>
    </xdr:from>
    <xdr:to>
      <xdr:col>39</xdr:col>
      <xdr:colOff>83820</xdr:colOff>
      <xdr:row>546</xdr:row>
      <xdr:rowOff>114300</xdr:rowOff>
    </xdr:to>
    <xdr:sp macro="" textlink="">
      <xdr:nvSpPr>
        <xdr:cNvPr id="4182" name="Arrow: Down 4181">
          <a:extLst>
            <a:ext uri="{FF2B5EF4-FFF2-40B4-BE49-F238E27FC236}">
              <a16:creationId xmlns:a16="http://schemas.microsoft.com/office/drawing/2014/main" id="{E65E9E2B-0A81-4B67-80BC-D84662531409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546</xdr:row>
      <xdr:rowOff>0</xdr:rowOff>
    </xdr:from>
    <xdr:to>
      <xdr:col>45</xdr:col>
      <xdr:colOff>83820</xdr:colOff>
      <xdr:row>546</xdr:row>
      <xdr:rowOff>114300</xdr:rowOff>
    </xdr:to>
    <xdr:sp macro="" textlink="">
      <xdr:nvSpPr>
        <xdr:cNvPr id="4183" name="Arrow: Down 4182">
          <a:extLst>
            <a:ext uri="{FF2B5EF4-FFF2-40B4-BE49-F238E27FC236}">
              <a16:creationId xmlns:a16="http://schemas.microsoft.com/office/drawing/2014/main" id="{2181BBAF-B9D9-4487-BEC0-861AA73EBC07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546</xdr:row>
      <xdr:rowOff>0</xdr:rowOff>
    </xdr:from>
    <xdr:to>
      <xdr:col>60</xdr:col>
      <xdr:colOff>83820</xdr:colOff>
      <xdr:row>546</xdr:row>
      <xdr:rowOff>114300</xdr:rowOff>
    </xdr:to>
    <xdr:sp macro="" textlink="">
      <xdr:nvSpPr>
        <xdr:cNvPr id="4184" name="Arrow: Down 4183">
          <a:extLst>
            <a:ext uri="{FF2B5EF4-FFF2-40B4-BE49-F238E27FC236}">
              <a16:creationId xmlns:a16="http://schemas.microsoft.com/office/drawing/2014/main" id="{C91D8FF1-FA94-4587-84D1-0A5C57DDD1A9}"/>
            </a:ext>
          </a:extLst>
        </xdr:cNvPr>
        <xdr:cNvSpPr/>
      </xdr:nvSpPr>
      <xdr:spPr>
        <a:xfrm rot="10800000">
          <a:off x="190804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546</xdr:row>
      <xdr:rowOff>0</xdr:rowOff>
    </xdr:from>
    <xdr:to>
      <xdr:col>71</xdr:col>
      <xdr:colOff>83820</xdr:colOff>
      <xdr:row>546</xdr:row>
      <xdr:rowOff>114300</xdr:rowOff>
    </xdr:to>
    <xdr:sp macro="" textlink="">
      <xdr:nvSpPr>
        <xdr:cNvPr id="4186" name="Arrow: Down 4185">
          <a:extLst>
            <a:ext uri="{FF2B5EF4-FFF2-40B4-BE49-F238E27FC236}">
              <a16:creationId xmlns:a16="http://schemas.microsoft.com/office/drawing/2014/main" id="{B05CE5BF-A6D6-4FAB-A1A8-71D6DE1430D0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547</xdr:row>
      <xdr:rowOff>0</xdr:rowOff>
    </xdr:from>
    <xdr:to>
      <xdr:col>11</xdr:col>
      <xdr:colOff>83820</xdr:colOff>
      <xdr:row>547</xdr:row>
      <xdr:rowOff>114300</xdr:rowOff>
    </xdr:to>
    <xdr:sp macro="" textlink="">
      <xdr:nvSpPr>
        <xdr:cNvPr id="4187" name="Arrow: Down 4186">
          <a:extLst>
            <a:ext uri="{FF2B5EF4-FFF2-40B4-BE49-F238E27FC236}">
              <a16:creationId xmlns:a16="http://schemas.microsoft.com/office/drawing/2014/main" id="{709C1D6C-994B-40BC-9484-A4DC803FB542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547</xdr:row>
      <xdr:rowOff>0</xdr:rowOff>
    </xdr:from>
    <xdr:to>
      <xdr:col>5</xdr:col>
      <xdr:colOff>83820</xdr:colOff>
      <xdr:row>547</xdr:row>
      <xdr:rowOff>114300</xdr:rowOff>
    </xdr:to>
    <xdr:sp macro="" textlink="">
      <xdr:nvSpPr>
        <xdr:cNvPr id="4188" name="Arrow: Down 4187">
          <a:extLst>
            <a:ext uri="{FF2B5EF4-FFF2-40B4-BE49-F238E27FC236}">
              <a16:creationId xmlns:a16="http://schemas.microsoft.com/office/drawing/2014/main" id="{CD170E14-F348-4C61-B2C8-2BBDA34BC211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547</xdr:row>
      <xdr:rowOff>0</xdr:rowOff>
    </xdr:from>
    <xdr:to>
      <xdr:col>24</xdr:col>
      <xdr:colOff>83820</xdr:colOff>
      <xdr:row>547</xdr:row>
      <xdr:rowOff>114300</xdr:rowOff>
    </xdr:to>
    <xdr:sp macro="" textlink="">
      <xdr:nvSpPr>
        <xdr:cNvPr id="4189" name="Arrow: Down 4188">
          <a:extLst>
            <a:ext uri="{FF2B5EF4-FFF2-40B4-BE49-F238E27FC236}">
              <a16:creationId xmlns:a16="http://schemas.microsoft.com/office/drawing/2014/main" id="{FA835092-C95F-459C-A3D6-9A9670639018}"/>
            </a:ext>
          </a:extLst>
        </xdr:cNvPr>
        <xdr:cNvSpPr/>
      </xdr:nvSpPr>
      <xdr:spPr>
        <a:xfrm rot="10800000">
          <a:off x="83362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547</xdr:row>
      <xdr:rowOff>0</xdr:rowOff>
    </xdr:from>
    <xdr:to>
      <xdr:col>39</xdr:col>
      <xdr:colOff>83820</xdr:colOff>
      <xdr:row>547</xdr:row>
      <xdr:rowOff>114300</xdr:rowOff>
    </xdr:to>
    <xdr:sp macro="" textlink="">
      <xdr:nvSpPr>
        <xdr:cNvPr id="4190" name="Arrow: Down 4189">
          <a:extLst>
            <a:ext uri="{FF2B5EF4-FFF2-40B4-BE49-F238E27FC236}">
              <a16:creationId xmlns:a16="http://schemas.microsoft.com/office/drawing/2014/main" id="{6B5ACB71-AF59-4646-B441-89F84499F687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547</xdr:row>
      <xdr:rowOff>0</xdr:rowOff>
    </xdr:from>
    <xdr:to>
      <xdr:col>45</xdr:col>
      <xdr:colOff>83820</xdr:colOff>
      <xdr:row>547</xdr:row>
      <xdr:rowOff>114300</xdr:rowOff>
    </xdr:to>
    <xdr:sp macro="" textlink="">
      <xdr:nvSpPr>
        <xdr:cNvPr id="4191" name="Arrow: Down 4190">
          <a:extLst>
            <a:ext uri="{FF2B5EF4-FFF2-40B4-BE49-F238E27FC236}">
              <a16:creationId xmlns:a16="http://schemas.microsoft.com/office/drawing/2014/main" id="{F7A27C34-AAD4-43E1-9532-3C01FC594AC3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547</xdr:row>
      <xdr:rowOff>0</xdr:rowOff>
    </xdr:from>
    <xdr:to>
      <xdr:col>71</xdr:col>
      <xdr:colOff>83820</xdr:colOff>
      <xdr:row>547</xdr:row>
      <xdr:rowOff>114300</xdr:rowOff>
    </xdr:to>
    <xdr:sp macro="" textlink="">
      <xdr:nvSpPr>
        <xdr:cNvPr id="4193" name="Arrow: Down 4192">
          <a:extLst>
            <a:ext uri="{FF2B5EF4-FFF2-40B4-BE49-F238E27FC236}">
              <a16:creationId xmlns:a16="http://schemas.microsoft.com/office/drawing/2014/main" id="{3267F2B3-F702-476A-9495-43624F403D1E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547</xdr:row>
      <xdr:rowOff>0</xdr:rowOff>
    </xdr:from>
    <xdr:to>
      <xdr:col>60</xdr:col>
      <xdr:colOff>83820</xdr:colOff>
      <xdr:row>547</xdr:row>
      <xdr:rowOff>114300</xdr:rowOff>
    </xdr:to>
    <xdr:sp macro="" textlink="">
      <xdr:nvSpPr>
        <xdr:cNvPr id="4194" name="Arrow: Down 4193">
          <a:extLst>
            <a:ext uri="{FF2B5EF4-FFF2-40B4-BE49-F238E27FC236}">
              <a16:creationId xmlns:a16="http://schemas.microsoft.com/office/drawing/2014/main" id="{2B73A38D-FCCA-4FFB-80BA-13FBEB8FF0E9}"/>
            </a:ext>
          </a:extLst>
        </xdr:cNvPr>
        <xdr:cNvSpPr/>
      </xdr:nvSpPr>
      <xdr:spPr>
        <a:xfrm>
          <a:off x="19080480" y="10013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548</xdr:row>
      <xdr:rowOff>0</xdr:rowOff>
    </xdr:from>
    <xdr:to>
      <xdr:col>11</xdr:col>
      <xdr:colOff>83820</xdr:colOff>
      <xdr:row>548</xdr:row>
      <xdr:rowOff>114300</xdr:rowOff>
    </xdr:to>
    <xdr:sp macro="" textlink="">
      <xdr:nvSpPr>
        <xdr:cNvPr id="4195" name="Arrow: Down 4194">
          <a:extLst>
            <a:ext uri="{FF2B5EF4-FFF2-40B4-BE49-F238E27FC236}">
              <a16:creationId xmlns:a16="http://schemas.microsoft.com/office/drawing/2014/main" id="{364AEA6F-7E47-4EEC-8D8B-647FE010A627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548</xdr:row>
      <xdr:rowOff>0</xdr:rowOff>
    </xdr:from>
    <xdr:to>
      <xdr:col>5</xdr:col>
      <xdr:colOff>83820</xdr:colOff>
      <xdr:row>548</xdr:row>
      <xdr:rowOff>114300</xdr:rowOff>
    </xdr:to>
    <xdr:sp macro="" textlink="">
      <xdr:nvSpPr>
        <xdr:cNvPr id="4196" name="Arrow: Down 4195">
          <a:extLst>
            <a:ext uri="{FF2B5EF4-FFF2-40B4-BE49-F238E27FC236}">
              <a16:creationId xmlns:a16="http://schemas.microsoft.com/office/drawing/2014/main" id="{BCD5269C-CFC1-45AE-BAA7-DD7C6B5E1FC8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548</xdr:row>
      <xdr:rowOff>0</xdr:rowOff>
    </xdr:from>
    <xdr:to>
      <xdr:col>39</xdr:col>
      <xdr:colOff>83820</xdr:colOff>
      <xdr:row>548</xdr:row>
      <xdr:rowOff>114300</xdr:rowOff>
    </xdr:to>
    <xdr:sp macro="" textlink="">
      <xdr:nvSpPr>
        <xdr:cNvPr id="4198" name="Arrow: Down 4197">
          <a:extLst>
            <a:ext uri="{FF2B5EF4-FFF2-40B4-BE49-F238E27FC236}">
              <a16:creationId xmlns:a16="http://schemas.microsoft.com/office/drawing/2014/main" id="{8F705266-872E-4C56-8458-EB3CC1B80969}"/>
            </a:ext>
          </a:extLst>
        </xdr:cNvPr>
        <xdr:cNvSpPr/>
      </xdr:nvSpPr>
      <xdr:spPr>
        <a:xfrm>
          <a:off x="115443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548</xdr:row>
      <xdr:rowOff>0</xdr:rowOff>
    </xdr:from>
    <xdr:to>
      <xdr:col>45</xdr:col>
      <xdr:colOff>83820</xdr:colOff>
      <xdr:row>548</xdr:row>
      <xdr:rowOff>114300</xdr:rowOff>
    </xdr:to>
    <xdr:sp macro="" textlink="">
      <xdr:nvSpPr>
        <xdr:cNvPr id="4199" name="Arrow: Down 4198">
          <a:extLst>
            <a:ext uri="{FF2B5EF4-FFF2-40B4-BE49-F238E27FC236}">
              <a16:creationId xmlns:a16="http://schemas.microsoft.com/office/drawing/2014/main" id="{044B4E8D-F411-45BA-A253-7530B6B1CD68}"/>
            </a:ext>
          </a:extLst>
        </xdr:cNvPr>
        <xdr:cNvSpPr/>
      </xdr:nvSpPr>
      <xdr:spPr>
        <a:xfrm>
          <a:off x="134035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548</xdr:row>
      <xdr:rowOff>0</xdr:rowOff>
    </xdr:from>
    <xdr:to>
      <xdr:col>71</xdr:col>
      <xdr:colOff>83820</xdr:colOff>
      <xdr:row>548</xdr:row>
      <xdr:rowOff>114300</xdr:rowOff>
    </xdr:to>
    <xdr:sp macro="" textlink="">
      <xdr:nvSpPr>
        <xdr:cNvPr id="4200" name="Arrow: Down 4199">
          <a:extLst>
            <a:ext uri="{FF2B5EF4-FFF2-40B4-BE49-F238E27FC236}">
              <a16:creationId xmlns:a16="http://schemas.microsoft.com/office/drawing/2014/main" id="{EE88133B-F9E7-46B2-BF28-D318DC04A917}"/>
            </a:ext>
          </a:extLst>
        </xdr:cNvPr>
        <xdr:cNvSpPr/>
      </xdr:nvSpPr>
      <xdr:spPr>
        <a:xfrm rot="10800000">
          <a:off x="216331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548</xdr:row>
      <xdr:rowOff>0</xdr:rowOff>
    </xdr:from>
    <xdr:to>
      <xdr:col>60</xdr:col>
      <xdr:colOff>83820</xdr:colOff>
      <xdr:row>548</xdr:row>
      <xdr:rowOff>114300</xdr:rowOff>
    </xdr:to>
    <xdr:sp macro="" textlink="">
      <xdr:nvSpPr>
        <xdr:cNvPr id="4203" name="Arrow: Down 4202">
          <a:extLst>
            <a:ext uri="{FF2B5EF4-FFF2-40B4-BE49-F238E27FC236}">
              <a16:creationId xmlns:a16="http://schemas.microsoft.com/office/drawing/2014/main" id="{267D910E-1601-4A63-8D0F-EC8C1A1A9461}"/>
            </a:ext>
          </a:extLst>
        </xdr:cNvPr>
        <xdr:cNvSpPr/>
      </xdr:nvSpPr>
      <xdr:spPr>
        <a:xfrm rot="10800000">
          <a:off x="190804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549</xdr:row>
      <xdr:rowOff>0</xdr:rowOff>
    </xdr:from>
    <xdr:to>
      <xdr:col>39</xdr:col>
      <xdr:colOff>83820</xdr:colOff>
      <xdr:row>549</xdr:row>
      <xdr:rowOff>114300</xdr:rowOff>
    </xdr:to>
    <xdr:sp macro="" textlink="">
      <xdr:nvSpPr>
        <xdr:cNvPr id="4207" name="Arrow: Down 4206">
          <a:extLst>
            <a:ext uri="{FF2B5EF4-FFF2-40B4-BE49-F238E27FC236}">
              <a16:creationId xmlns:a16="http://schemas.microsoft.com/office/drawing/2014/main" id="{8BC772A9-D031-41CD-90C7-640A3B303E0A}"/>
            </a:ext>
          </a:extLst>
        </xdr:cNvPr>
        <xdr:cNvSpPr/>
      </xdr:nvSpPr>
      <xdr:spPr>
        <a:xfrm>
          <a:off x="115443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549</xdr:row>
      <xdr:rowOff>0</xdr:rowOff>
    </xdr:from>
    <xdr:to>
      <xdr:col>45</xdr:col>
      <xdr:colOff>83820</xdr:colOff>
      <xdr:row>549</xdr:row>
      <xdr:rowOff>114300</xdr:rowOff>
    </xdr:to>
    <xdr:sp macro="" textlink="">
      <xdr:nvSpPr>
        <xdr:cNvPr id="4208" name="Arrow: Down 4207">
          <a:extLst>
            <a:ext uri="{FF2B5EF4-FFF2-40B4-BE49-F238E27FC236}">
              <a16:creationId xmlns:a16="http://schemas.microsoft.com/office/drawing/2014/main" id="{FFE8CF5A-5E24-41A5-8ABB-9CC191FC11C6}"/>
            </a:ext>
          </a:extLst>
        </xdr:cNvPr>
        <xdr:cNvSpPr/>
      </xdr:nvSpPr>
      <xdr:spPr>
        <a:xfrm>
          <a:off x="134035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549</xdr:row>
      <xdr:rowOff>0</xdr:rowOff>
    </xdr:from>
    <xdr:to>
      <xdr:col>11</xdr:col>
      <xdr:colOff>83820</xdr:colOff>
      <xdr:row>549</xdr:row>
      <xdr:rowOff>114300</xdr:rowOff>
    </xdr:to>
    <xdr:sp macro="" textlink="">
      <xdr:nvSpPr>
        <xdr:cNvPr id="4211" name="Arrow: Down 4210">
          <a:extLst>
            <a:ext uri="{FF2B5EF4-FFF2-40B4-BE49-F238E27FC236}">
              <a16:creationId xmlns:a16="http://schemas.microsoft.com/office/drawing/2014/main" id="{3D471F65-3C9B-4117-974E-166EBE7D3523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549</xdr:row>
      <xdr:rowOff>0</xdr:rowOff>
    </xdr:from>
    <xdr:to>
      <xdr:col>5</xdr:col>
      <xdr:colOff>83820</xdr:colOff>
      <xdr:row>549</xdr:row>
      <xdr:rowOff>114300</xdr:rowOff>
    </xdr:to>
    <xdr:sp macro="" textlink="">
      <xdr:nvSpPr>
        <xdr:cNvPr id="4212" name="Arrow: Down 4211">
          <a:extLst>
            <a:ext uri="{FF2B5EF4-FFF2-40B4-BE49-F238E27FC236}">
              <a16:creationId xmlns:a16="http://schemas.microsoft.com/office/drawing/2014/main" id="{F3119D76-288F-481B-87F0-54EA07C8C77B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548</xdr:row>
      <xdr:rowOff>0</xdr:rowOff>
    </xdr:from>
    <xdr:to>
      <xdr:col>24</xdr:col>
      <xdr:colOff>83820</xdr:colOff>
      <xdr:row>548</xdr:row>
      <xdr:rowOff>114300</xdr:rowOff>
    </xdr:to>
    <xdr:sp macro="" textlink="">
      <xdr:nvSpPr>
        <xdr:cNvPr id="4213" name="Arrow: Down 4212">
          <a:extLst>
            <a:ext uri="{FF2B5EF4-FFF2-40B4-BE49-F238E27FC236}">
              <a16:creationId xmlns:a16="http://schemas.microsoft.com/office/drawing/2014/main" id="{815D2A2E-4300-4CAA-8750-4E2EE792A144}"/>
            </a:ext>
          </a:extLst>
        </xdr:cNvPr>
        <xdr:cNvSpPr/>
      </xdr:nvSpPr>
      <xdr:spPr>
        <a:xfrm>
          <a:off x="8336280" y="10031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549</xdr:row>
      <xdr:rowOff>0</xdr:rowOff>
    </xdr:from>
    <xdr:to>
      <xdr:col>24</xdr:col>
      <xdr:colOff>83820</xdr:colOff>
      <xdr:row>549</xdr:row>
      <xdr:rowOff>114300</xdr:rowOff>
    </xdr:to>
    <xdr:sp macro="" textlink="">
      <xdr:nvSpPr>
        <xdr:cNvPr id="4214" name="Arrow: Down 4213">
          <a:extLst>
            <a:ext uri="{FF2B5EF4-FFF2-40B4-BE49-F238E27FC236}">
              <a16:creationId xmlns:a16="http://schemas.microsoft.com/office/drawing/2014/main" id="{1365CF51-2057-403D-921E-94DE56D62C54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549</xdr:row>
      <xdr:rowOff>0</xdr:rowOff>
    </xdr:from>
    <xdr:to>
      <xdr:col>71</xdr:col>
      <xdr:colOff>83820</xdr:colOff>
      <xdr:row>549</xdr:row>
      <xdr:rowOff>114300</xdr:rowOff>
    </xdr:to>
    <xdr:sp macro="" textlink="">
      <xdr:nvSpPr>
        <xdr:cNvPr id="4215" name="Arrow: Down 4214">
          <a:extLst>
            <a:ext uri="{FF2B5EF4-FFF2-40B4-BE49-F238E27FC236}">
              <a16:creationId xmlns:a16="http://schemas.microsoft.com/office/drawing/2014/main" id="{94806BCD-B1FF-4F77-908F-F260F887E7CE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549</xdr:row>
      <xdr:rowOff>0</xdr:rowOff>
    </xdr:from>
    <xdr:to>
      <xdr:col>60</xdr:col>
      <xdr:colOff>83820</xdr:colOff>
      <xdr:row>549</xdr:row>
      <xdr:rowOff>114300</xdr:rowOff>
    </xdr:to>
    <xdr:sp macro="" textlink="">
      <xdr:nvSpPr>
        <xdr:cNvPr id="4216" name="Arrow: Down 4215">
          <a:extLst>
            <a:ext uri="{FF2B5EF4-FFF2-40B4-BE49-F238E27FC236}">
              <a16:creationId xmlns:a16="http://schemas.microsoft.com/office/drawing/2014/main" id="{74A394AA-F750-4107-A9D5-210E434BF5D6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550</xdr:row>
      <xdr:rowOff>0</xdr:rowOff>
    </xdr:from>
    <xdr:to>
      <xdr:col>39</xdr:col>
      <xdr:colOff>83820</xdr:colOff>
      <xdr:row>550</xdr:row>
      <xdr:rowOff>114300</xdr:rowOff>
    </xdr:to>
    <xdr:sp macro="" textlink="">
      <xdr:nvSpPr>
        <xdr:cNvPr id="4217" name="Arrow: Down 4216">
          <a:extLst>
            <a:ext uri="{FF2B5EF4-FFF2-40B4-BE49-F238E27FC236}">
              <a16:creationId xmlns:a16="http://schemas.microsoft.com/office/drawing/2014/main" id="{732A4FE6-3717-45B8-8FD3-A5DD6DF90190}"/>
            </a:ext>
          </a:extLst>
        </xdr:cNvPr>
        <xdr:cNvSpPr/>
      </xdr:nvSpPr>
      <xdr:spPr>
        <a:xfrm>
          <a:off x="1154430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550</xdr:row>
      <xdr:rowOff>0</xdr:rowOff>
    </xdr:from>
    <xdr:to>
      <xdr:col>45</xdr:col>
      <xdr:colOff>83820</xdr:colOff>
      <xdr:row>550</xdr:row>
      <xdr:rowOff>114300</xdr:rowOff>
    </xdr:to>
    <xdr:sp macro="" textlink="">
      <xdr:nvSpPr>
        <xdr:cNvPr id="4218" name="Arrow: Down 4217">
          <a:extLst>
            <a:ext uri="{FF2B5EF4-FFF2-40B4-BE49-F238E27FC236}">
              <a16:creationId xmlns:a16="http://schemas.microsoft.com/office/drawing/2014/main" id="{9973BB7B-8DE1-4770-97E1-0048E310429D}"/>
            </a:ext>
          </a:extLst>
        </xdr:cNvPr>
        <xdr:cNvSpPr/>
      </xdr:nvSpPr>
      <xdr:spPr>
        <a:xfrm>
          <a:off x="1340358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550</xdr:row>
      <xdr:rowOff>0</xdr:rowOff>
    </xdr:from>
    <xdr:to>
      <xdr:col>11</xdr:col>
      <xdr:colOff>83820</xdr:colOff>
      <xdr:row>550</xdr:row>
      <xdr:rowOff>114300</xdr:rowOff>
    </xdr:to>
    <xdr:sp macro="" textlink="">
      <xdr:nvSpPr>
        <xdr:cNvPr id="4219" name="Arrow: Down 4218">
          <a:extLst>
            <a:ext uri="{FF2B5EF4-FFF2-40B4-BE49-F238E27FC236}">
              <a16:creationId xmlns:a16="http://schemas.microsoft.com/office/drawing/2014/main" id="{B44C4AAF-784C-40C6-B5B7-296B5B0DC3B7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550</xdr:row>
      <xdr:rowOff>0</xdr:rowOff>
    </xdr:from>
    <xdr:to>
      <xdr:col>5</xdr:col>
      <xdr:colOff>83820</xdr:colOff>
      <xdr:row>550</xdr:row>
      <xdr:rowOff>114300</xdr:rowOff>
    </xdr:to>
    <xdr:sp macro="" textlink="">
      <xdr:nvSpPr>
        <xdr:cNvPr id="4220" name="Arrow: Down 4219">
          <a:extLst>
            <a:ext uri="{FF2B5EF4-FFF2-40B4-BE49-F238E27FC236}">
              <a16:creationId xmlns:a16="http://schemas.microsoft.com/office/drawing/2014/main" id="{D99FE29B-A377-4B1A-9380-95C7B6A97768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550</xdr:row>
      <xdr:rowOff>0</xdr:rowOff>
    </xdr:from>
    <xdr:to>
      <xdr:col>24</xdr:col>
      <xdr:colOff>83820</xdr:colOff>
      <xdr:row>550</xdr:row>
      <xdr:rowOff>114300</xdr:rowOff>
    </xdr:to>
    <xdr:sp macro="" textlink="">
      <xdr:nvSpPr>
        <xdr:cNvPr id="4221" name="Arrow: Down 4220">
          <a:extLst>
            <a:ext uri="{FF2B5EF4-FFF2-40B4-BE49-F238E27FC236}">
              <a16:creationId xmlns:a16="http://schemas.microsoft.com/office/drawing/2014/main" id="{B371870D-8FFF-48B3-A9FC-DE609F2BD257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550</xdr:row>
      <xdr:rowOff>0</xdr:rowOff>
    </xdr:from>
    <xdr:to>
      <xdr:col>71</xdr:col>
      <xdr:colOff>83820</xdr:colOff>
      <xdr:row>550</xdr:row>
      <xdr:rowOff>114300</xdr:rowOff>
    </xdr:to>
    <xdr:sp macro="" textlink="">
      <xdr:nvSpPr>
        <xdr:cNvPr id="4222" name="Arrow: Down 4221">
          <a:extLst>
            <a:ext uri="{FF2B5EF4-FFF2-40B4-BE49-F238E27FC236}">
              <a16:creationId xmlns:a16="http://schemas.microsoft.com/office/drawing/2014/main" id="{9706BD28-9250-4BE5-9E8F-755BE3CCA7F7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550</xdr:row>
      <xdr:rowOff>0</xdr:rowOff>
    </xdr:from>
    <xdr:to>
      <xdr:col>60</xdr:col>
      <xdr:colOff>83820</xdr:colOff>
      <xdr:row>550</xdr:row>
      <xdr:rowOff>114300</xdr:rowOff>
    </xdr:to>
    <xdr:sp macro="" textlink="">
      <xdr:nvSpPr>
        <xdr:cNvPr id="4223" name="Arrow: Down 4222">
          <a:extLst>
            <a:ext uri="{FF2B5EF4-FFF2-40B4-BE49-F238E27FC236}">
              <a16:creationId xmlns:a16="http://schemas.microsoft.com/office/drawing/2014/main" id="{7C0742A2-9B84-4D24-8FD3-D6261D965580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551</xdr:row>
      <xdr:rowOff>0</xdr:rowOff>
    </xdr:from>
    <xdr:to>
      <xdr:col>71</xdr:col>
      <xdr:colOff>83820</xdr:colOff>
      <xdr:row>551</xdr:row>
      <xdr:rowOff>114300</xdr:rowOff>
    </xdr:to>
    <xdr:sp macro="" textlink="">
      <xdr:nvSpPr>
        <xdr:cNvPr id="4007" name="Arrow: Down 4006">
          <a:extLst>
            <a:ext uri="{FF2B5EF4-FFF2-40B4-BE49-F238E27FC236}">
              <a16:creationId xmlns:a16="http://schemas.microsoft.com/office/drawing/2014/main" id="{3F1BE49C-664E-4E63-8E08-4E5B5356A736}"/>
            </a:ext>
          </a:extLst>
        </xdr:cNvPr>
        <xdr:cNvSpPr/>
      </xdr:nvSpPr>
      <xdr:spPr>
        <a:xfrm>
          <a:off x="2180082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551</xdr:row>
      <xdr:rowOff>0</xdr:rowOff>
    </xdr:from>
    <xdr:to>
      <xdr:col>60</xdr:col>
      <xdr:colOff>83820</xdr:colOff>
      <xdr:row>551</xdr:row>
      <xdr:rowOff>114300</xdr:rowOff>
    </xdr:to>
    <xdr:sp macro="" textlink="">
      <xdr:nvSpPr>
        <xdr:cNvPr id="4012" name="Arrow: Down 4011">
          <a:extLst>
            <a:ext uri="{FF2B5EF4-FFF2-40B4-BE49-F238E27FC236}">
              <a16:creationId xmlns:a16="http://schemas.microsoft.com/office/drawing/2014/main" id="{ECF28CC1-EF64-4075-B207-37D4239F7EB8}"/>
            </a:ext>
          </a:extLst>
        </xdr:cNvPr>
        <xdr:cNvSpPr/>
      </xdr:nvSpPr>
      <xdr:spPr>
        <a:xfrm>
          <a:off x="1908048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83820</xdr:colOff>
      <xdr:row>551</xdr:row>
      <xdr:rowOff>114300</xdr:rowOff>
    </xdr:to>
    <xdr:sp macro="" textlink="">
      <xdr:nvSpPr>
        <xdr:cNvPr id="4014" name="Arrow: Down 4013">
          <a:extLst>
            <a:ext uri="{FF2B5EF4-FFF2-40B4-BE49-F238E27FC236}">
              <a16:creationId xmlns:a16="http://schemas.microsoft.com/office/drawing/2014/main" id="{3F8F07AF-2332-49C5-9E86-D5EBA5CFAE87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551</xdr:row>
      <xdr:rowOff>0</xdr:rowOff>
    </xdr:from>
    <xdr:to>
      <xdr:col>11</xdr:col>
      <xdr:colOff>83820</xdr:colOff>
      <xdr:row>551</xdr:row>
      <xdr:rowOff>114300</xdr:rowOff>
    </xdr:to>
    <xdr:sp macro="" textlink="">
      <xdr:nvSpPr>
        <xdr:cNvPr id="4024" name="Arrow: Down 4023">
          <a:extLst>
            <a:ext uri="{FF2B5EF4-FFF2-40B4-BE49-F238E27FC236}">
              <a16:creationId xmlns:a16="http://schemas.microsoft.com/office/drawing/2014/main" id="{F44222E8-E190-4856-858A-E189051B22F0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551</xdr:row>
      <xdr:rowOff>0</xdr:rowOff>
    </xdr:from>
    <xdr:to>
      <xdr:col>24</xdr:col>
      <xdr:colOff>83820</xdr:colOff>
      <xdr:row>551</xdr:row>
      <xdr:rowOff>114300</xdr:rowOff>
    </xdr:to>
    <xdr:sp macro="" textlink="">
      <xdr:nvSpPr>
        <xdr:cNvPr id="4031" name="Arrow: Down 4030">
          <a:extLst>
            <a:ext uri="{FF2B5EF4-FFF2-40B4-BE49-F238E27FC236}">
              <a16:creationId xmlns:a16="http://schemas.microsoft.com/office/drawing/2014/main" id="{808ABD74-60D9-4F58-9417-40A4F9A74C61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551</xdr:row>
      <xdr:rowOff>0</xdr:rowOff>
    </xdr:from>
    <xdr:to>
      <xdr:col>39</xdr:col>
      <xdr:colOff>83820</xdr:colOff>
      <xdr:row>551</xdr:row>
      <xdr:rowOff>114300</xdr:rowOff>
    </xdr:to>
    <xdr:sp macro="" textlink="">
      <xdr:nvSpPr>
        <xdr:cNvPr id="4036" name="Arrow: Down 4035">
          <a:extLst>
            <a:ext uri="{FF2B5EF4-FFF2-40B4-BE49-F238E27FC236}">
              <a16:creationId xmlns:a16="http://schemas.microsoft.com/office/drawing/2014/main" id="{0B9F704A-6FC6-4B48-A9BA-00EC399C4C2C}"/>
            </a:ext>
          </a:extLst>
        </xdr:cNvPr>
        <xdr:cNvSpPr/>
      </xdr:nvSpPr>
      <xdr:spPr>
        <a:xfrm rot="10800000">
          <a:off x="1154430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551</xdr:row>
      <xdr:rowOff>0</xdr:rowOff>
    </xdr:from>
    <xdr:to>
      <xdr:col>45</xdr:col>
      <xdr:colOff>83820</xdr:colOff>
      <xdr:row>551</xdr:row>
      <xdr:rowOff>114300</xdr:rowOff>
    </xdr:to>
    <xdr:sp macro="" textlink="">
      <xdr:nvSpPr>
        <xdr:cNvPr id="4039" name="Arrow: Down 4038">
          <a:extLst>
            <a:ext uri="{FF2B5EF4-FFF2-40B4-BE49-F238E27FC236}">
              <a16:creationId xmlns:a16="http://schemas.microsoft.com/office/drawing/2014/main" id="{D23D6EDF-CAF1-49C7-B4BA-84BD6F7DF86A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83820</xdr:colOff>
      <xdr:row>552</xdr:row>
      <xdr:rowOff>114300</xdr:rowOff>
    </xdr:to>
    <xdr:sp macro="" textlink="">
      <xdr:nvSpPr>
        <xdr:cNvPr id="4042" name="Arrow: Down 4041">
          <a:extLst>
            <a:ext uri="{FF2B5EF4-FFF2-40B4-BE49-F238E27FC236}">
              <a16:creationId xmlns:a16="http://schemas.microsoft.com/office/drawing/2014/main" id="{1A85CC08-5086-4625-892F-4D5C8EC99DF4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552</xdr:row>
      <xdr:rowOff>0</xdr:rowOff>
    </xdr:from>
    <xdr:to>
      <xdr:col>11</xdr:col>
      <xdr:colOff>83820</xdr:colOff>
      <xdr:row>552</xdr:row>
      <xdr:rowOff>114300</xdr:rowOff>
    </xdr:to>
    <xdr:sp macro="" textlink="">
      <xdr:nvSpPr>
        <xdr:cNvPr id="4043" name="Arrow: Down 4042">
          <a:extLst>
            <a:ext uri="{FF2B5EF4-FFF2-40B4-BE49-F238E27FC236}">
              <a16:creationId xmlns:a16="http://schemas.microsoft.com/office/drawing/2014/main" id="{8DAC566F-0FAB-419B-A10C-2662851ABA42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552</xdr:row>
      <xdr:rowOff>0</xdr:rowOff>
    </xdr:from>
    <xdr:to>
      <xdr:col>24</xdr:col>
      <xdr:colOff>83820</xdr:colOff>
      <xdr:row>552</xdr:row>
      <xdr:rowOff>114300</xdr:rowOff>
    </xdr:to>
    <xdr:sp macro="" textlink="">
      <xdr:nvSpPr>
        <xdr:cNvPr id="4045" name="Arrow: Down 4044">
          <a:extLst>
            <a:ext uri="{FF2B5EF4-FFF2-40B4-BE49-F238E27FC236}">
              <a16:creationId xmlns:a16="http://schemas.microsoft.com/office/drawing/2014/main" id="{2CB62A4B-3110-4F79-B74D-D01F38C1D6B7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552</xdr:row>
      <xdr:rowOff>0</xdr:rowOff>
    </xdr:from>
    <xdr:to>
      <xdr:col>45</xdr:col>
      <xdr:colOff>83820</xdr:colOff>
      <xdr:row>552</xdr:row>
      <xdr:rowOff>114300</xdr:rowOff>
    </xdr:to>
    <xdr:sp macro="" textlink="">
      <xdr:nvSpPr>
        <xdr:cNvPr id="4050" name="Arrow: Down 4049">
          <a:extLst>
            <a:ext uri="{FF2B5EF4-FFF2-40B4-BE49-F238E27FC236}">
              <a16:creationId xmlns:a16="http://schemas.microsoft.com/office/drawing/2014/main" id="{47E98A70-4A59-46BF-9EF9-CFA36CBA9BBB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552</xdr:row>
      <xdr:rowOff>0</xdr:rowOff>
    </xdr:from>
    <xdr:to>
      <xdr:col>39</xdr:col>
      <xdr:colOff>83820</xdr:colOff>
      <xdr:row>552</xdr:row>
      <xdr:rowOff>114300</xdr:rowOff>
    </xdr:to>
    <xdr:sp macro="" textlink="">
      <xdr:nvSpPr>
        <xdr:cNvPr id="4054" name="Arrow: Down 4053">
          <a:extLst>
            <a:ext uri="{FF2B5EF4-FFF2-40B4-BE49-F238E27FC236}">
              <a16:creationId xmlns:a16="http://schemas.microsoft.com/office/drawing/2014/main" id="{966BD73A-0004-4A98-8DD1-D29AC35D1C3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552</xdr:row>
      <xdr:rowOff>0</xdr:rowOff>
    </xdr:from>
    <xdr:to>
      <xdr:col>71</xdr:col>
      <xdr:colOff>83820</xdr:colOff>
      <xdr:row>552</xdr:row>
      <xdr:rowOff>114300</xdr:rowOff>
    </xdr:to>
    <xdr:sp macro="" textlink="">
      <xdr:nvSpPr>
        <xdr:cNvPr id="4064" name="Arrow: Down 4063">
          <a:extLst>
            <a:ext uri="{FF2B5EF4-FFF2-40B4-BE49-F238E27FC236}">
              <a16:creationId xmlns:a16="http://schemas.microsoft.com/office/drawing/2014/main" id="{D4BC5CB7-4248-4C70-BBCD-8F65BC3A5471}"/>
            </a:ext>
          </a:extLst>
        </xdr:cNvPr>
        <xdr:cNvSpPr/>
      </xdr:nvSpPr>
      <xdr:spPr>
        <a:xfrm rot="10800000">
          <a:off x="2180082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552</xdr:row>
      <xdr:rowOff>0</xdr:rowOff>
    </xdr:from>
    <xdr:to>
      <xdr:col>60</xdr:col>
      <xdr:colOff>83820</xdr:colOff>
      <xdr:row>552</xdr:row>
      <xdr:rowOff>114300</xdr:rowOff>
    </xdr:to>
    <xdr:sp macro="" textlink="">
      <xdr:nvSpPr>
        <xdr:cNvPr id="4065" name="Arrow: Down 4064">
          <a:extLst>
            <a:ext uri="{FF2B5EF4-FFF2-40B4-BE49-F238E27FC236}">
              <a16:creationId xmlns:a16="http://schemas.microsoft.com/office/drawing/2014/main" id="{6082EED6-1106-402E-9F2A-0F6181428D11}"/>
            </a:ext>
          </a:extLst>
        </xdr:cNvPr>
        <xdr:cNvSpPr/>
      </xdr:nvSpPr>
      <xdr:spPr>
        <a:xfrm rot="10800000">
          <a:off x="190804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553</xdr:row>
      <xdr:rowOff>0</xdr:rowOff>
    </xdr:from>
    <xdr:to>
      <xdr:col>5</xdr:col>
      <xdr:colOff>83820</xdr:colOff>
      <xdr:row>553</xdr:row>
      <xdr:rowOff>114300</xdr:rowOff>
    </xdr:to>
    <xdr:sp macro="" textlink="">
      <xdr:nvSpPr>
        <xdr:cNvPr id="4066" name="Arrow: Down 4065">
          <a:extLst>
            <a:ext uri="{FF2B5EF4-FFF2-40B4-BE49-F238E27FC236}">
              <a16:creationId xmlns:a16="http://schemas.microsoft.com/office/drawing/2014/main" id="{70ECC618-381D-472D-984F-079C1FEB4E6C}"/>
            </a:ext>
          </a:extLst>
        </xdr:cNvPr>
        <xdr:cNvSpPr/>
      </xdr:nvSpPr>
      <xdr:spPr>
        <a:xfrm rot="10800000">
          <a:off x="192786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553</xdr:row>
      <xdr:rowOff>0</xdr:rowOff>
    </xdr:from>
    <xdr:to>
      <xdr:col>11</xdr:col>
      <xdr:colOff>83820</xdr:colOff>
      <xdr:row>553</xdr:row>
      <xdr:rowOff>114300</xdr:rowOff>
    </xdr:to>
    <xdr:sp macro="" textlink="">
      <xdr:nvSpPr>
        <xdr:cNvPr id="4067" name="Arrow: Down 4066">
          <a:extLst>
            <a:ext uri="{FF2B5EF4-FFF2-40B4-BE49-F238E27FC236}">
              <a16:creationId xmlns:a16="http://schemas.microsoft.com/office/drawing/2014/main" id="{FEE6291B-2EE2-48E8-93FC-04CEBC07A7F4}"/>
            </a:ext>
          </a:extLst>
        </xdr:cNvPr>
        <xdr:cNvSpPr/>
      </xdr:nvSpPr>
      <xdr:spPr>
        <a:xfrm rot="10800000">
          <a:off x="36957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553</xdr:row>
      <xdr:rowOff>0</xdr:rowOff>
    </xdr:from>
    <xdr:to>
      <xdr:col>24</xdr:col>
      <xdr:colOff>83820</xdr:colOff>
      <xdr:row>553</xdr:row>
      <xdr:rowOff>114300</xdr:rowOff>
    </xdr:to>
    <xdr:sp macro="" textlink="">
      <xdr:nvSpPr>
        <xdr:cNvPr id="4072" name="Arrow: Down 4071">
          <a:extLst>
            <a:ext uri="{FF2B5EF4-FFF2-40B4-BE49-F238E27FC236}">
              <a16:creationId xmlns:a16="http://schemas.microsoft.com/office/drawing/2014/main" id="{2E16F14F-42F8-41DB-99DF-24A821FB3234}"/>
            </a:ext>
          </a:extLst>
        </xdr:cNvPr>
        <xdr:cNvSpPr/>
      </xdr:nvSpPr>
      <xdr:spPr>
        <a:xfrm rot="10800000">
          <a:off x="83362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553</xdr:row>
      <xdr:rowOff>0</xdr:rowOff>
    </xdr:from>
    <xdr:to>
      <xdr:col>39</xdr:col>
      <xdr:colOff>83820</xdr:colOff>
      <xdr:row>553</xdr:row>
      <xdr:rowOff>114300</xdr:rowOff>
    </xdr:to>
    <xdr:sp macro="" textlink="">
      <xdr:nvSpPr>
        <xdr:cNvPr id="4079" name="Arrow: Down 4078">
          <a:extLst>
            <a:ext uri="{FF2B5EF4-FFF2-40B4-BE49-F238E27FC236}">
              <a16:creationId xmlns:a16="http://schemas.microsoft.com/office/drawing/2014/main" id="{A468932E-39CE-448F-8652-7234889711C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553</xdr:row>
      <xdr:rowOff>0</xdr:rowOff>
    </xdr:from>
    <xdr:to>
      <xdr:col>45</xdr:col>
      <xdr:colOff>83820</xdr:colOff>
      <xdr:row>553</xdr:row>
      <xdr:rowOff>114300</xdr:rowOff>
    </xdr:to>
    <xdr:sp macro="" textlink="">
      <xdr:nvSpPr>
        <xdr:cNvPr id="4089" name="Arrow: Down 4088">
          <a:extLst>
            <a:ext uri="{FF2B5EF4-FFF2-40B4-BE49-F238E27FC236}">
              <a16:creationId xmlns:a16="http://schemas.microsoft.com/office/drawing/2014/main" id="{41728D4F-67EF-4FF6-9486-59B1D355E75B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553</xdr:row>
      <xdr:rowOff>0</xdr:rowOff>
    </xdr:from>
    <xdr:to>
      <xdr:col>71</xdr:col>
      <xdr:colOff>83820</xdr:colOff>
      <xdr:row>553</xdr:row>
      <xdr:rowOff>114300</xdr:rowOff>
    </xdr:to>
    <xdr:sp macro="" textlink="">
      <xdr:nvSpPr>
        <xdr:cNvPr id="4093" name="Arrow: Down 4092">
          <a:extLst>
            <a:ext uri="{FF2B5EF4-FFF2-40B4-BE49-F238E27FC236}">
              <a16:creationId xmlns:a16="http://schemas.microsoft.com/office/drawing/2014/main" id="{527C66CF-7B95-4FE6-A765-48315CE90450}"/>
            </a:ext>
          </a:extLst>
        </xdr:cNvPr>
        <xdr:cNvSpPr/>
      </xdr:nvSpPr>
      <xdr:spPr>
        <a:xfrm>
          <a:off x="2180082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553</xdr:row>
      <xdr:rowOff>0</xdr:rowOff>
    </xdr:from>
    <xdr:to>
      <xdr:col>60</xdr:col>
      <xdr:colOff>83820</xdr:colOff>
      <xdr:row>553</xdr:row>
      <xdr:rowOff>114300</xdr:rowOff>
    </xdr:to>
    <xdr:sp macro="" textlink="">
      <xdr:nvSpPr>
        <xdr:cNvPr id="4095" name="Arrow: Down 4094">
          <a:extLst>
            <a:ext uri="{FF2B5EF4-FFF2-40B4-BE49-F238E27FC236}">
              <a16:creationId xmlns:a16="http://schemas.microsoft.com/office/drawing/2014/main" id="{B8505BFA-9AE4-472C-829D-E94464CD8377}"/>
            </a:ext>
          </a:extLst>
        </xdr:cNvPr>
        <xdr:cNvSpPr/>
      </xdr:nvSpPr>
      <xdr:spPr>
        <a:xfrm>
          <a:off x="1908048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554</xdr:row>
      <xdr:rowOff>0</xdr:rowOff>
    </xdr:from>
    <xdr:to>
      <xdr:col>39</xdr:col>
      <xdr:colOff>83820</xdr:colOff>
      <xdr:row>554</xdr:row>
      <xdr:rowOff>114300</xdr:rowOff>
    </xdr:to>
    <xdr:sp macro="" textlink="">
      <xdr:nvSpPr>
        <xdr:cNvPr id="4113" name="Arrow: Down 4112">
          <a:extLst>
            <a:ext uri="{FF2B5EF4-FFF2-40B4-BE49-F238E27FC236}">
              <a16:creationId xmlns:a16="http://schemas.microsoft.com/office/drawing/2014/main" id="{55A205CE-F9E9-4248-8F88-99A5925274DE}"/>
            </a:ext>
          </a:extLst>
        </xdr:cNvPr>
        <xdr:cNvSpPr/>
      </xdr:nvSpPr>
      <xdr:spPr>
        <a:xfrm>
          <a:off x="1154430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554</xdr:row>
      <xdr:rowOff>0</xdr:rowOff>
    </xdr:from>
    <xdr:to>
      <xdr:col>45</xdr:col>
      <xdr:colOff>83820</xdr:colOff>
      <xdr:row>554</xdr:row>
      <xdr:rowOff>114300</xdr:rowOff>
    </xdr:to>
    <xdr:sp macro="" textlink="">
      <xdr:nvSpPr>
        <xdr:cNvPr id="4114" name="Arrow: Down 4113">
          <a:extLst>
            <a:ext uri="{FF2B5EF4-FFF2-40B4-BE49-F238E27FC236}">
              <a16:creationId xmlns:a16="http://schemas.microsoft.com/office/drawing/2014/main" id="{67FC6698-22A9-4B02-8595-04D83D68CEBA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554</xdr:row>
      <xdr:rowOff>0</xdr:rowOff>
    </xdr:from>
    <xdr:to>
      <xdr:col>60</xdr:col>
      <xdr:colOff>83820</xdr:colOff>
      <xdr:row>554</xdr:row>
      <xdr:rowOff>114300</xdr:rowOff>
    </xdr:to>
    <xdr:sp macro="" textlink="">
      <xdr:nvSpPr>
        <xdr:cNvPr id="4120" name="Arrow: Down 4119">
          <a:extLst>
            <a:ext uri="{FF2B5EF4-FFF2-40B4-BE49-F238E27FC236}">
              <a16:creationId xmlns:a16="http://schemas.microsoft.com/office/drawing/2014/main" id="{70FF43D8-8323-47EC-8B1F-7400EDE17E86}"/>
            </a:ext>
          </a:extLst>
        </xdr:cNvPr>
        <xdr:cNvSpPr/>
      </xdr:nvSpPr>
      <xdr:spPr>
        <a:xfrm rot="10800000">
          <a:off x="190804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554</xdr:row>
      <xdr:rowOff>0</xdr:rowOff>
    </xdr:from>
    <xdr:to>
      <xdr:col>71</xdr:col>
      <xdr:colOff>83820</xdr:colOff>
      <xdr:row>554</xdr:row>
      <xdr:rowOff>114300</xdr:rowOff>
    </xdr:to>
    <xdr:sp macro="" textlink="">
      <xdr:nvSpPr>
        <xdr:cNvPr id="4122" name="Arrow: Down 4121">
          <a:extLst>
            <a:ext uri="{FF2B5EF4-FFF2-40B4-BE49-F238E27FC236}">
              <a16:creationId xmlns:a16="http://schemas.microsoft.com/office/drawing/2014/main" id="{CD77488B-C13A-4B1A-95C3-60ABE6EE9274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554</xdr:row>
      <xdr:rowOff>0</xdr:rowOff>
    </xdr:from>
    <xdr:to>
      <xdr:col>5</xdr:col>
      <xdr:colOff>83820</xdr:colOff>
      <xdr:row>554</xdr:row>
      <xdr:rowOff>114300</xdr:rowOff>
    </xdr:to>
    <xdr:sp macro="" textlink="">
      <xdr:nvSpPr>
        <xdr:cNvPr id="4127" name="Arrow: Down 4126">
          <a:extLst>
            <a:ext uri="{FF2B5EF4-FFF2-40B4-BE49-F238E27FC236}">
              <a16:creationId xmlns:a16="http://schemas.microsoft.com/office/drawing/2014/main" id="{EC554AE6-41BE-4CC9-9DB9-A519195F0FB0}"/>
            </a:ext>
          </a:extLst>
        </xdr:cNvPr>
        <xdr:cNvSpPr/>
      </xdr:nvSpPr>
      <xdr:spPr>
        <a:xfrm>
          <a:off x="192786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554</xdr:row>
      <xdr:rowOff>0</xdr:rowOff>
    </xdr:from>
    <xdr:to>
      <xdr:col>11</xdr:col>
      <xdr:colOff>83820</xdr:colOff>
      <xdr:row>554</xdr:row>
      <xdr:rowOff>114300</xdr:rowOff>
    </xdr:to>
    <xdr:sp macro="" textlink="">
      <xdr:nvSpPr>
        <xdr:cNvPr id="4131" name="Arrow: Down 4130">
          <a:extLst>
            <a:ext uri="{FF2B5EF4-FFF2-40B4-BE49-F238E27FC236}">
              <a16:creationId xmlns:a16="http://schemas.microsoft.com/office/drawing/2014/main" id="{1F7CC743-FD1F-4F0C-8BBA-32F377D87D71}"/>
            </a:ext>
          </a:extLst>
        </xdr:cNvPr>
        <xdr:cNvSpPr/>
      </xdr:nvSpPr>
      <xdr:spPr>
        <a:xfrm>
          <a:off x="369570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554</xdr:row>
      <xdr:rowOff>0</xdr:rowOff>
    </xdr:from>
    <xdr:to>
      <xdr:col>24</xdr:col>
      <xdr:colOff>83820</xdr:colOff>
      <xdr:row>554</xdr:row>
      <xdr:rowOff>114300</xdr:rowOff>
    </xdr:to>
    <xdr:sp macro="" textlink="">
      <xdr:nvSpPr>
        <xdr:cNvPr id="4132" name="Arrow: Down 4131">
          <a:extLst>
            <a:ext uri="{FF2B5EF4-FFF2-40B4-BE49-F238E27FC236}">
              <a16:creationId xmlns:a16="http://schemas.microsoft.com/office/drawing/2014/main" id="{E60CA56D-1493-4347-9416-BC635B9A8D2E}"/>
            </a:ext>
          </a:extLst>
        </xdr:cNvPr>
        <xdr:cNvSpPr/>
      </xdr:nvSpPr>
      <xdr:spPr>
        <a:xfrm>
          <a:off x="833628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555</xdr:row>
      <xdr:rowOff>0</xdr:rowOff>
    </xdr:from>
    <xdr:to>
      <xdr:col>45</xdr:col>
      <xdr:colOff>83820</xdr:colOff>
      <xdr:row>555</xdr:row>
      <xdr:rowOff>114300</xdr:rowOff>
    </xdr:to>
    <xdr:sp macro="" textlink="">
      <xdr:nvSpPr>
        <xdr:cNvPr id="4134" name="Arrow: Down 4133">
          <a:extLst>
            <a:ext uri="{FF2B5EF4-FFF2-40B4-BE49-F238E27FC236}">
              <a16:creationId xmlns:a16="http://schemas.microsoft.com/office/drawing/2014/main" id="{E5E859B1-7ED9-4C6D-A482-147365F8E72A}"/>
            </a:ext>
          </a:extLst>
        </xdr:cNvPr>
        <xdr:cNvSpPr/>
      </xdr:nvSpPr>
      <xdr:spPr>
        <a:xfrm>
          <a:off x="134035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555</xdr:row>
      <xdr:rowOff>0</xdr:rowOff>
    </xdr:from>
    <xdr:to>
      <xdr:col>71</xdr:col>
      <xdr:colOff>83820</xdr:colOff>
      <xdr:row>555</xdr:row>
      <xdr:rowOff>114300</xdr:rowOff>
    </xdr:to>
    <xdr:sp macro="" textlink="">
      <xdr:nvSpPr>
        <xdr:cNvPr id="4136" name="Arrow: Down 4135">
          <a:extLst>
            <a:ext uri="{FF2B5EF4-FFF2-40B4-BE49-F238E27FC236}">
              <a16:creationId xmlns:a16="http://schemas.microsoft.com/office/drawing/2014/main" id="{9DEC84D2-EDAA-4BF6-8906-E971F460E2A7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555</xdr:row>
      <xdr:rowOff>0</xdr:rowOff>
    </xdr:from>
    <xdr:to>
      <xdr:col>60</xdr:col>
      <xdr:colOff>83820</xdr:colOff>
      <xdr:row>555</xdr:row>
      <xdr:rowOff>114300</xdr:rowOff>
    </xdr:to>
    <xdr:sp macro="" textlink="">
      <xdr:nvSpPr>
        <xdr:cNvPr id="4143" name="Arrow: Down 4142">
          <a:extLst>
            <a:ext uri="{FF2B5EF4-FFF2-40B4-BE49-F238E27FC236}">
              <a16:creationId xmlns:a16="http://schemas.microsoft.com/office/drawing/2014/main" id="{4D71918D-964F-47DF-BA5C-DD664EC16FC9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555</xdr:row>
      <xdr:rowOff>0</xdr:rowOff>
    </xdr:from>
    <xdr:to>
      <xdr:col>39</xdr:col>
      <xdr:colOff>83820</xdr:colOff>
      <xdr:row>555</xdr:row>
      <xdr:rowOff>114300</xdr:rowOff>
    </xdr:to>
    <xdr:sp macro="" textlink="">
      <xdr:nvSpPr>
        <xdr:cNvPr id="4159" name="Arrow: Down 4158">
          <a:extLst>
            <a:ext uri="{FF2B5EF4-FFF2-40B4-BE49-F238E27FC236}">
              <a16:creationId xmlns:a16="http://schemas.microsoft.com/office/drawing/2014/main" id="{378ADFED-301B-409F-BEEC-0FB6180CA257}"/>
            </a:ext>
          </a:extLst>
        </xdr:cNvPr>
        <xdr:cNvSpPr/>
      </xdr:nvSpPr>
      <xdr:spPr>
        <a:xfrm rot="10800000">
          <a:off x="1154430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555</xdr:row>
      <xdr:rowOff>0</xdr:rowOff>
    </xdr:from>
    <xdr:to>
      <xdr:col>11</xdr:col>
      <xdr:colOff>83820</xdr:colOff>
      <xdr:row>555</xdr:row>
      <xdr:rowOff>114300</xdr:rowOff>
    </xdr:to>
    <xdr:sp macro="" textlink="">
      <xdr:nvSpPr>
        <xdr:cNvPr id="4165" name="Arrow: Down 4164">
          <a:extLst>
            <a:ext uri="{FF2B5EF4-FFF2-40B4-BE49-F238E27FC236}">
              <a16:creationId xmlns:a16="http://schemas.microsoft.com/office/drawing/2014/main" id="{5706A1C2-A246-44EF-8BE9-B77A61454822}"/>
            </a:ext>
          </a:extLst>
        </xdr:cNvPr>
        <xdr:cNvSpPr/>
      </xdr:nvSpPr>
      <xdr:spPr>
        <a:xfrm rot="10800000">
          <a:off x="369570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555</xdr:row>
      <xdr:rowOff>0</xdr:rowOff>
    </xdr:from>
    <xdr:to>
      <xdr:col>5</xdr:col>
      <xdr:colOff>83820</xdr:colOff>
      <xdr:row>555</xdr:row>
      <xdr:rowOff>114300</xdr:rowOff>
    </xdr:to>
    <xdr:sp macro="" textlink="">
      <xdr:nvSpPr>
        <xdr:cNvPr id="4167" name="Arrow: Down 4166">
          <a:extLst>
            <a:ext uri="{FF2B5EF4-FFF2-40B4-BE49-F238E27FC236}">
              <a16:creationId xmlns:a16="http://schemas.microsoft.com/office/drawing/2014/main" id="{BC5C8D3F-7BD5-42C1-B1B4-90EC0FA704AA}"/>
            </a:ext>
          </a:extLst>
        </xdr:cNvPr>
        <xdr:cNvSpPr/>
      </xdr:nvSpPr>
      <xdr:spPr>
        <a:xfrm rot="10800000">
          <a:off x="192786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555</xdr:row>
      <xdr:rowOff>0</xdr:rowOff>
    </xdr:from>
    <xdr:to>
      <xdr:col>24</xdr:col>
      <xdr:colOff>83820</xdr:colOff>
      <xdr:row>555</xdr:row>
      <xdr:rowOff>114300</xdr:rowOff>
    </xdr:to>
    <xdr:sp macro="" textlink="">
      <xdr:nvSpPr>
        <xdr:cNvPr id="4168" name="Arrow: Down 4167">
          <a:extLst>
            <a:ext uri="{FF2B5EF4-FFF2-40B4-BE49-F238E27FC236}">
              <a16:creationId xmlns:a16="http://schemas.microsoft.com/office/drawing/2014/main" id="{0B1756DC-8F65-476C-BD5B-BF1FBBD1E003}"/>
            </a:ext>
          </a:extLst>
        </xdr:cNvPr>
        <xdr:cNvSpPr/>
      </xdr:nvSpPr>
      <xdr:spPr>
        <a:xfrm rot="10800000">
          <a:off x="83362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556</xdr:row>
      <xdr:rowOff>0</xdr:rowOff>
    </xdr:from>
    <xdr:to>
      <xdr:col>45</xdr:col>
      <xdr:colOff>83820</xdr:colOff>
      <xdr:row>556</xdr:row>
      <xdr:rowOff>114300</xdr:rowOff>
    </xdr:to>
    <xdr:sp macro="" textlink="">
      <xdr:nvSpPr>
        <xdr:cNvPr id="4175" name="Arrow: Down 4174">
          <a:extLst>
            <a:ext uri="{FF2B5EF4-FFF2-40B4-BE49-F238E27FC236}">
              <a16:creationId xmlns:a16="http://schemas.microsoft.com/office/drawing/2014/main" id="{D8D76B3A-BDC5-474D-9935-E38935BFD452}"/>
            </a:ext>
          </a:extLst>
        </xdr:cNvPr>
        <xdr:cNvSpPr/>
      </xdr:nvSpPr>
      <xdr:spPr>
        <a:xfrm>
          <a:off x="134035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556</xdr:row>
      <xdr:rowOff>0</xdr:rowOff>
    </xdr:from>
    <xdr:to>
      <xdr:col>60</xdr:col>
      <xdr:colOff>83820</xdr:colOff>
      <xdr:row>556</xdr:row>
      <xdr:rowOff>114300</xdr:rowOff>
    </xdr:to>
    <xdr:sp macro="" textlink="">
      <xdr:nvSpPr>
        <xdr:cNvPr id="4177" name="Arrow: Down 4176">
          <a:extLst>
            <a:ext uri="{FF2B5EF4-FFF2-40B4-BE49-F238E27FC236}">
              <a16:creationId xmlns:a16="http://schemas.microsoft.com/office/drawing/2014/main" id="{3F389269-C5B1-4999-8F76-3E8C04E5958A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556</xdr:row>
      <xdr:rowOff>0</xdr:rowOff>
    </xdr:from>
    <xdr:to>
      <xdr:col>71</xdr:col>
      <xdr:colOff>83820</xdr:colOff>
      <xdr:row>556</xdr:row>
      <xdr:rowOff>114300</xdr:rowOff>
    </xdr:to>
    <xdr:sp macro="" textlink="">
      <xdr:nvSpPr>
        <xdr:cNvPr id="4201" name="Arrow: Down 4200">
          <a:extLst>
            <a:ext uri="{FF2B5EF4-FFF2-40B4-BE49-F238E27FC236}">
              <a16:creationId xmlns:a16="http://schemas.microsoft.com/office/drawing/2014/main" id="{49B1028B-5DDB-45FF-943A-681D59E6C9F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556</xdr:row>
      <xdr:rowOff>0</xdr:rowOff>
    </xdr:from>
    <xdr:to>
      <xdr:col>39</xdr:col>
      <xdr:colOff>83820</xdr:colOff>
      <xdr:row>556</xdr:row>
      <xdr:rowOff>114300</xdr:rowOff>
    </xdr:to>
    <xdr:sp macro="" textlink="">
      <xdr:nvSpPr>
        <xdr:cNvPr id="4202" name="Arrow: Down 4201">
          <a:extLst>
            <a:ext uri="{FF2B5EF4-FFF2-40B4-BE49-F238E27FC236}">
              <a16:creationId xmlns:a16="http://schemas.microsoft.com/office/drawing/2014/main" id="{731A0293-0F57-4330-96CA-D757A6BC989E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556</xdr:row>
      <xdr:rowOff>0</xdr:rowOff>
    </xdr:from>
    <xdr:to>
      <xdr:col>11</xdr:col>
      <xdr:colOff>83820</xdr:colOff>
      <xdr:row>556</xdr:row>
      <xdr:rowOff>114300</xdr:rowOff>
    </xdr:to>
    <xdr:sp macro="" textlink="">
      <xdr:nvSpPr>
        <xdr:cNvPr id="4204" name="Arrow: Down 4203">
          <a:extLst>
            <a:ext uri="{FF2B5EF4-FFF2-40B4-BE49-F238E27FC236}">
              <a16:creationId xmlns:a16="http://schemas.microsoft.com/office/drawing/2014/main" id="{1960AC75-15F9-480C-AE2D-16F99995052D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556</xdr:row>
      <xdr:rowOff>0</xdr:rowOff>
    </xdr:from>
    <xdr:to>
      <xdr:col>5</xdr:col>
      <xdr:colOff>83820</xdr:colOff>
      <xdr:row>556</xdr:row>
      <xdr:rowOff>114300</xdr:rowOff>
    </xdr:to>
    <xdr:sp macro="" textlink="">
      <xdr:nvSpPr>
        <xdr:cNvPr id="4206" name="Arrow: Down 4205">
          <a:extLst>
            <a:ext uri="{FF2B5EF4-FFF2-40B4-BE49-F238E27FC236}">
              <a16:creationId xmlns:a16="http://schemas.microsoft.com/office/drawing/2014/main" id="{2D65D0F2-B9BD-48E8-B567-C301FFD89F27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557</xdr:row>
      <xdr:rowOff>0</xdr:rowOff>
    </xdr:from>
    <xdr:to>
      <xdr:col>45</xdr:col>
      <xdr:colOff>83820</xdr:colOff>
      <xdr:row>557</xdr:row>
      <xdr:rowOff>114300</xdr:rowOff>
    </xdr:to>
    <xdr:sp macro="" textlink="">
      <xdr:nvSpPr>
        <xdr:cNvPr id="4228" name="Arrow: Down 4227">
          <a:extLst>
            <a:ext uri="{FF2B5EF4-FFF2-40B4-BE49-F238E27FC236}">
              <a16:creationId xmlns:a16="http://schemas.microsoft.com/office/drawing/2014/main" id="{66054BC6-88DB-4584-B8DF-8A2E68C13922}"/>
            </a:ext>
          </a:extLst>
        </xdr:cNvPr>
        <xdr:cNvSpPr/>
      </xdr:nvSpPr>
      <xdr:spPr>
        <a:xfrm>
          <a:off x="1340358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557</xdr:row>
      <xdr:rowOff>0</xdr:rowOff>
    </xdr:from>
    <xdr:to>
      <xdr:col>60</xdr:col>
      <xdr:colOff>83820</xdr:colOff>
      <xdr:row>557</xdr:row>
      <xdr:rowOff>114300</xdr:rowOff>
    </xdr:to>
    <xdr:sp macro="" textlink="">
      <xdr:nvSpPr>
        <xdr:cNvPr id="4229" name="Arrow: Down 4228">
          <a:extLst>
            <a:ext uri="{FF2B5EF4-FFF2-40B4-BE49-F238E27FC236}">
              <a16:creationId xmlns:a16="http://schemas.microsoft.com/office/drawing/2014/main" id="{19FA6589-3F53-48C7-B392-ACCD9A75B83B}"/>
            </a:ext>
          </a:extLst>
        </xdr:cNvPr>
        <xdr:cNvSpPr/>
      </xdr:nvSpPr>
      <xdr:spPr>
        <a:xfrm>
          <a:off x="190804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557</xdr:row>
      <xdr:rowOff>0</xdr:rowOff>
    </xdr:from>
    <xdr:to>
      <xdr:col>71</xdr:col>
      <xdr:colOff>83820</xdr:colOff>
      <xdr:row>557</xdr:row>
      <xdr:rowOff>114300</xdr:rowOff>
    </xdr:to>
    <xdr:sp macro="" textlink="">
      <xdr:nvSpPr>
        <xdr:cNvPr id="4230" name="Arrow: Down 4229">
          <a:extLst>
            <a:ext uri="{FF2B5EF4-FFF2-40B4-BE49-F238E27FC236}">
              <a16:creationId xmlns:a16="http://schemas.microsoft.com/office/drawing/2014/main" id="{5E200F6D-0E53-4F05-B26C-9B6F3FFBF13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557</xdr:row>
      <xdr:rowOff>0</xdr:rowOff>
    </xdr:from>
    <xdr:to>
      <xdr:col>39</xdr:col>
      <xdr:colOff>83820</xdr:colOff>
      <xdr:row>557</xdr:row>
      <xdr:rowOff>114300</xdr:rowOff>
    </xdr:to>
    <xdr:sp macro="" textlink="">
      <xdr:nvSpPr>
        <xdr:cNvPr id="4231" name="Arrow: Down 4230">
          <a:extLst>
            <a:ext uri="{FF2B5EF4-FFF2-40B4-BE49-F238E27FC236}">
              <a16:creationId xmlns:a16="http://schemas.microsoft.com/office/drawing/2014/main" id="{9821263A-2470-4C9B-83D1-039248F4E671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557</xdr:row>
      <xdr:rowOff>0</xdr:rowOff>
    </xdr:from>
    <xdr:to>
      <xdr:col>11</xdr:col>
      <xdr:colOff>83820</xdr:colOff>
      <xdr:row>557</xdr:row>
      <xdr:rowOff>114300</xdr:rowOff>
    </xdr:to>
    <xdr:sp macro="" textlink="">
      <xdr:nvSpPr>
        <xdr:cNvPr id="4232" name="Arrow: Down 4231">
          <a:extLst>
            <a:ext uri="{FF2B5EF4-FFF2-40B4-BE49-F238E27FC236}">
              <a16:creationId xmlns:a16="http://schemas.microsoft.com/office/drawing/2014/main" id="{AE35C4D6-2468-4F1E-87EB-D6DA881410D0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557</xdr:row>
      <xdr:rowOff>0</xdr:rowOff>
    </xdr:from>
    <xdr:to>
      <xdr:col>5</xdr:col>
      <xdr:colOff>83820</xdr:colOff>
      <xdr:row>557</xdr:row>
      <xdr:rowOff>114300</xdr:rowOff>
    </xdr:to>
    <xdr:sp macro="" textlink="">
      <xdr:nvSpPr>
        <xdr:cNvPr id="4233" name="Arrow: Down 4232">
          <a:extLst>
            <a:ext uri="{FF2B5EF4-FFF2-40B4-BE49-F238E27FC236}">
              <a16:creationId xmlns:a16="http://schemas.microsoft.com/office/drawing/2014/main" id="{C0F00F2D-1EC2-469F-A92A-DE987E9BF31B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556</xdr:row>
      <xdr:rowOff>0</xdr:rowOff>
    </xdr:from>
    <xdr:to>
      <xdr:col>24</xdr:col>
      <xdr:colOff>83820</xdr:colOff>
      <xdr:row>556</xdr:row>
      <xdr:rowOff>114300</xdr:rowOff>
    </xdr:to>
    <xdr:sp macro="" textlink="">
      <xdr:nvSpPr>
        <xdr:cNvPr id="4234" name="Arrow: Down 4233">
          <a:extLst>
            <a:ext uri="{FF2B5EF4-FFF2-40B4-BE49-F238E27FC236}">
              <a16:creationId xmlns:a16="http://schemas.microsoft.com/office/drawing/2014/main" id="{B3F69D1D-5579-4AA7-A54B-F620EE34FC90}"/>
            </a:ext>
          </a:extLst>
        </xdr:cNvPr>
        <xdr:cNvSpPr/>
      </xdr:nvSpPr>
      <xdr:spPr>
        <a:xfrm>
          <a:off x="83362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557</xdr:row>
      <xdr:rowOff>0</xdr:rowOff>
    </xdr:from>
    <xdr:to>
      <xdr:col>24</xdr:col>
      <xdr:colOff>83820</xdr:colOff>
      <xdr:row>557</xdr:row>
      <xdr:rowOff>114300</xdr:rowOff>
    </xdr:to>
    <xdr:sp macro="" textlink="">
      <xdr:nvSpPr>
        <xdr:cNvPr id="4235" name="Arrow: Down 4234">
          <a:extLst>
            <a:ext uri="{FF2B5EF4-FFF2-40B4-BE49-F238E27FC236}">
              <a16:creationId xmlns:a16="http://schemas.microsoft.com/office/drawing/2014/main" id="{1E3160F6-B9B0-4957-BACB-EA02FF61D126}"/>
            </a:ext>
          </a:extLst>
        </xdr:cNvPr>
        <xdr:cNvSpPr/>
      </xdr:nvSpPr>
      <xdr:spPr>
        <a:xfrm>
          <a:off x="83362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558</xdr:row>
      <xdr:rowOff>0</xdr:rowOff>
    </xdr:from>
    <xdr:to>
      <xdr:col>60</xdr:col>
      <xdr:colOff>83820</xdr:colOff>
      <xdr:row>558</xdr:row>
      <xdr:rowOff>114300</xdr:rowOff>
    </xdr:to>
    <xdr:sp macro="" textlink="">
      <xdr:nvSpPr>
        <xdr:cNvPr id="3988" name="Arrow: Down 3987">
          <a:extLst>
            <a:ext uri="{FF2B5EF4-FFF2-40B4-BE49-F238E27FC236}">
              <a16:creationId xmlns:a16="http://schemas.microsoft.com/office/drawing/2014/main" id="{3500C353-D6C7-4F7E-BE93-680DD74F64CD}"/>
            </a:ext>
          </a:extLst>
        </xdr:cNvPr>
        <xdr:cNvSpPr/>
      </xdr:nvSpPr>
      <xdr:spPr>
        <a:xfrm>
          <a:off x="190804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558</xdr:row>
      <xdr:rowOff>0</xdr:rowOff>
    </xdr:from>
    <xdr:to>
      <xdr:col>71</xdr:col>
      <xdr:colOff>83820</xdr:colOff>
      <xdr:row>558</xdr:row>
      <xdr:rowOff>114300</xdr:rowOff>
    </xdr:to>
    <xdr:sp macro="" textlink="">
      <xdr:nvSpPr>
        <xdr:cNvPr id="4023" name="Arrow: Down 4022">
          <a:extLst>
            <a:ext uri="{FF2B5EF4-FFF2-40B4-BE49-F238E27FC236}">
              <a16:creationId xmlns:a16="http://schemas.microsoft.com/office/drawing/2014/main" id="{309F210D-FC43-4EA8-9241-C5939EE28E31}"/>
            </a:ext>
          </a:extLst>
        </xdr:cNvPr>
        <xdr:cNvSpPr/>
      </xdr:nvSpPr>
      <xdr:spPr>
        <a:xfrm>
          <a:off x="2180082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558</xdr:row>
      <xdr:rowOff>0</xdr:rowOff>
    </xdr:from>
    <xdr:to>
      <xdr:col>39</xdr:col>
      <xdr:colOff>83820</xdr:colOff>
      <xdr:row>558</xdr:row>
      <xdr:rowOff>114300</xdr:rowOff>
    </xdr:to>
    <xdr:sp macro="" textlink="">
      <xdr:nvSpPr>
        <xdr:cNvPr id="4025" name="Arrow: Down 4024">
          <a:extLst>
            <a:ext uri="{FF2B5EF4-FFF2-40B4-BE49-F238E27FC236}">
              <a16:creationId xmlns:a16="http://schemas.microsoft.com/office/drawing/2014/main" id="{C8B2505B-447F-4733-9768-E256271CCB17}"/>
            </a:ext>
          </a:extLst>
        </xdr:cNvPr>
        <xdr:cNvSpPr/>
      </xdr:nvSpPr>
      <xdr:spPr>
        <a:xfrm>
          <a:off x="11544300" y="10196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558</xdr:row>
      <xdr:rowOff>0</xdr:rowOff>
    </xdr:from>
    <xdr:to>
      <xdr:col>45</xdr:col>
      <xdr:colOff>83820</xdr:colOff>
      <xdr:row>558</xdr:row>
      <xdr:rowOff>114300</xdr:rowOff>
    </xdr:to>
    <xdr:sp macro="" textlink="">
      <xdr:nvSpPr>
        <xdr:cNvPr id="4048" name="Arrow: Down 4047">
          <a:extLst>
            <a:ext uri="{FF2B5EF4-FFF2-40B4-BE49-F238E27FC236}">
              <a16:creationId xmlns:a16="http://schemas.microsoft.com/office/drawing/2014/main" id="{61AC0E1F-D13A-42D4-853A-096FD42C7EB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558</xdr:row>
      <xdr:rowOff>0</xdr:rowOff>
    </xdr:from>
    <xdr:to>
      <xdr:col>11</xdr:col>
      <xdr:colOff>83820</xdr:colOff>
      <xdr:row>558</xdr:row>
      <xdr:rowOff>114300</xdr:rowOff>
    </xdr:to>
    <xdr:sp macro="" textlink="">
      <xdr:nvSpPr>
        <xdr:cNvPr id="4087" name="Arrow: Down 4086">
          <a:extLst>
            <a:ext uri="{FF2B5EF4-FFF2-40B4-BE49-F238E27FC236}">
              <a16:creationId xmlns:a16="http://schemas.microsoft.com/office/drawing/2014/main" id="{EBBC01CE-9805-4464-ABB3-11AD056E44CD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558</xdr:row>
      <xdr:rowOff>0</xdr:rowOff>
    </xdr:from>
    <xdr:to>
      <xdr:col>5</xdr:col>
      <xdr:colOff>83820</xdr:colOff>
      <xdr:row>558</xdr:row>
      <xdr:rowOff>114300</xdr:rowOff>
    </xdr:to>
    <xdr:sp macro="" textlink="">
      <xdr:nvSpPr>
        <xdr:cNvPr id="4094" name="Arrow: Down 4093">
          <a:extLst>
            <a:ext uri="{FF2B5EF4-FFF2-40B4-BE49-F238E27FC236}">
              <a16:creationId xmlns:a16="http://schemas.microsoft.com/office/drawing/2014/main" id="{1ACFE65F-B761-4517-B88E-A2A61D4ECB5F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558</xdr:row>
      <xdr:rowOff>0</xdr:rowOff>
    </xdr:from>
    <xdr:to>
      <xdr:col>24</xdr:col>
      <xdr:colOff>83820</xdr:colOff>
      <xdr:row>558</xdr:row>
      <xdr:rowOff>114300</xdr:rowOff>
    </xdr:to>
    <xdr:sp macro="" textlink="">
      <xdr:nvSpPr>
        <xdr:cNvPr id="4097" name="Arrow: Down 4096">
          <a:extLst>
            <a:ext uri="{FF2B5EF4-FFF2-40B4-BE49-F238E27FC236}">
              <a16:creationId xmlns:a16="http://schemas.microsoft.com/office/drawing/2014/main" id="{6177C830-E8A1-41EC-88E0-CF6D53F57032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559</xdr:row>
      <xdr:rowOff>0</xdr:rowOff>
    </xdr:from>
    <xdr:to>
      <xdr:col>39</xdr:col>
      <xdr:colOff>83820</xdr:colOff>
      <xdr:row>559</xdr:row>
      <xdr:rowOff>114300</xdr:rowOff>
    </xdr:to>
    <xdr:sp macro="" textlink="">
      <xdr:nvSpPr>
        <xdr:cNvPr id="4115" name="Arrow: Down 4114">
          <a:extLst>
            <a:ext uri="{FF2B5EF4-FFF2-40B4-BE49-F238E27FC236}">
              <a16:creationId xmlns:a16="http://schemas.microsoft.com/office/drawing/2014/main" id="{A0C9EC2C-D407-4D91-A57F-63C88771CDB3}"/>
            </a:ext>
          </a:extLst>
        </xdr:cNvPr>
        <xdr:cNvSpPr/>
      </xdr:nvSpPr>
      <xdr:spPr>
        <a:xfrm>
          <a:off x="115443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559</xdr:row>
      <xdr:rowOff>0</xdr:rowOff>
    </xdr:from>
    <xdr:to>
      <xdr:col>45</xdr:col>
      <xdr:colOff>83820</xdr:colOff>
      <xdr:row>559</xdr:row>
      <xdr:rowOff>114300</xdr:rowOff>
    </xdr:to>
    <xdr:sp macro="" textlink="">
      <xdr:nvSpPr>
        <xdr:cNvPr id="4116" name="Arrow: Down 4115">
          <a:extLst>
            <a:ext uri="{FF2B5EF4-FFF2-40B4-BE49-F238E27FC236}">
              <a16:creationId xmlns:a16="http://schemas.microsoft.com/office/drawing/2014/main" id="{BA4B4A88-4878-488C-BFD6-FDF0838403F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559</xdr:row>
      <xdr:rowOff>0</xdr:rowOff>
    </xdr:from>
    <xdr:to>
      <xdr:col>11</xdr:col>
      <xdr:colOff>83820</xdr:colOff>
      <xdr:row>559</xdr:row>
      <xdr:rowOff>114300</xdr:rowOff>
    </xdr:to>
    <xdr:sp macro="" textlink="">
      <xdr:nvSpPr>
        <xdr:cNvPr id="4118" name="Arrow: Down 4117">
          <a:extLst>
            <a:ext uri="{FF2B5EF4-FFF2-40B4-BE49-F238E27FC236}">
              <a16:creationId xmlns:a16="http://schemas.microsoft.com/office/drawing/2014/main" id="{E5B8F73A-B43E-41DB-8CE0-943CFDFA8AA0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559</xdr:row>
      <xdr:rowOff>0</xdr:rowOff>
    </xdr:from>
    <xdr:to>
      <xdr:col>5</xdr:col>
      <xdr:colOff>83820</xdr:colOff>
      <xdr:row>559</xdr:row>
      <xdr:rowOff>114300</xdr:rowOff>
    </xdr:to>
    <xdr:sp macro="" textlink="">
      <xdr:nvSpPr>
        <xdr:cNvPr id="4121" name="Arrow: Down 4120">
          <a:extLst>
            <a:ext uri="{FF2B5EF4-FFF2-40B4-BE49-F238E27FC236}">
              <a16:creationId xmlns:a16="http://schemas.microsoft.com/office/drawing/2014/main" id="{D9F141CA-9ED8-46BD-A55E-94BF014FF3D1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559</xdr:row>
      <xdr:rowOff>0</xdr:rowOff>
    </xdr:from>
    <xdr:to>
      <xdr:col>24</xdr:col>
      <xdr:colOff>83820</xdr:colOff>
      <xdr:row>559</xdr:row>
      <xdr:rowOff>114300</xdr:rowOff>
    </xdr:to>
    <xdr:sp macro="" textlink="">
      <xdr:nvSpPr>
        <xdr:cNvPr id="4124" name="Arrow: Down 4123">
          <a:extLst>
            <a:ext uri="{FF2B5EF4-FFF2-40B4-BE49-F238E27FC236}">
              <a16:creationId xmlns:a16="http://schemas.microsoft.com/office/drawing/2014/main" id="{52722E18-665A-41BE-9CFD-FADB17058FEB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559</xdr:row>
      <xdr:rowOff>0</xdr:rowOff>
    </xdr:from>
    <xdr:to>
      <xdr:col>60</xdr:col>
      <xdr:colOff>83820</xdr:colOff>
      <xdr:row>559</xdr:row>
      <xdr:rowOff>114300</xdr:rowOff>
    </xdr:to>
    <xdr:sp macro="" textlink="">
      <xdr:nvSpPr>
        <xdr:cNvPr id="4129" name="Arrow: Down 4128">
          <a:extLst>
            <a:ext uri="{FF2B5EF4-FFF2-40B4-BE49-F238E27FC236}">
              <a16:creationId xmlns:a16="http://schemas.microsoft.com/office/drawing/2014/main" id="{28F26DFC-D7C3-4F4C-AEC7-887084CB74B1}"/>
            </a:ext>
          </a:extLst>
        </xdr:cNvPr>
        <xdr:cNvSpPr/>
      </xdr:nvSpPr>
      <xdr:spPr>
        <a:xfrm rot="10800000">
          <a:off x="190804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559</xdr:row>
      <xdr:rowOff>0</xdr:rowOff>
    </xdr:from>
    <xdr:to>
      <xdr:col>71</xdr:col>
      <xdr:colOff>83820</xdr:colOff>
      <xdr:row>559</xdr:row>
      <xdr:rowOff>114300</xdr:rowOff>
    </xdr:to>
    <xdr:sp macro="" textlink="">
      <xdr:nvSpPr>
        <xdr:cNvPr id="4133" name="Arrow: Down 4132">
          <a:extLst>
            <a:ext uri="{FF2B5EF4-FFF2-40B4-BE49-F238E27FC236}">
              <a16:creationId xmlns:a16="http://schemas.microsoft.com/office/drawing/2014/main" id="{23BF7AF6-EA0E-48A0-A7C0-B1DDB390BFBB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560</xdr:row>
      <xdr:rowOff>0</xdr:rowOff>
    </xdr:from>
    <xdr:to>
      <xdr:col>39</xdr:col>
      <xdr:colOff>83820</xdr:colOff>
      <xdr:row>560</xdr:row>
      <xdr:rowOff>114300</xdr:rowOff>
    </xdr:to>
    <xdr:sp macro="" textlink="">
      <xdr:nvSpPr>
        <xdr:cNvPr id="4135" name="Arrow: Down 4134">
          <a:extLst>
            <a:ext uri="{FF2B5EF4-FFF2-40B4-BE49-F238E27FC236}">
              <a16:creationId xmlns:a16="http://schemas.microsoft.com/office/drawing/2014/main" id="{5E13C9B0-4194-4500-8EBE-C7DB40887B62}"/>
            </a:ext>
          </a:extLst>
        </xdr:cNvPr>
        <xdr:cNvSpPr/>
      </xdr:nvSpPr>
      <xdr:spPr>
        <a:xfrm>
          <a:off x="115443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560</xdr:row>
      <xdr:rowOff>0</xdr:rowOff>
    </xdr:from>
    <xdr:to>
      <xdr:col>45</xdr:col>
      <xdr:colOff>83820</xdr:colOff>
      <xdr:row>560</xdr:row>
      <xdr:rowOff>114300</xdr:rowOff>
    </xdr:to>
    <xdr:sp macro="" textlink="">
      <xdr:nvSpPr>
        <xdr:cNvPr id="4137" name="Arrow: Down 4136">
          <a:extLst>
            <a:ext uri="{FF2B5EF4-FFF2-40B4-BE49-F238E27FC236}">
              <a16:creationId xmlns:a16="http://schemas.microsoft.com/office/drawing/2014/main" id="{575BC176-73B7-43C0-8E4B-BE9E5C797FC2}"/>
            </a:ext>
          </a:extLst>
        </xdr:cNvPr>
        <xdr:cNvSpPr/>
      </xdr:nvSpPr>
      <xdr:spPr>
        <a:xfrm rot="10800000">
          <a:off x="13403580" y="10232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560</xdr:row>
      <xdr:rowOff>0</xdr:rowOff>
    </xdr:from>
    <xdr:to>
      <xdr:col>11</xdr:col>
      <xdr:colOff>83820</xdr:colOff>
      <xdr:row>560</xdr:row>
      <xdr:rowOff>114300</xdr:rowOff>
    </xdr:to>
    <xdr:sp macro="" textlink="">
      <xdr:nvSpPr>
        <xdr:cNvPr id="4140" name="Arrow: Down 4139">
          <a:extLst>
            <a:ext uri="{FF2B5EF4-FFF2-40B4-BE49-F238E27FC236}">
              <a16:creationId xmlns:a16="http://schemas.microsoft.com/office/drawing/2014/main" id="{B0A9E2E5-8778-467D-922C-1DE85A2910D8}"/>
            </a:ext>
          </a:extLst>
        </xdr:cNvPr>
        <xdr:cNvSpPr/>
      </xdr:nvSpPr>
      <xdr:spPr>
        <a:xfrm rot="10800000">
          <a:off x="36957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560</xdr:row>
      <xdr:rowOff>0</xdr:rowOff>
    </xdr:from>
    <xdr:to>
      <xdr:col>5</xdr:col>
      <xdr:colOff>83820</xdr:colOff>
      <xdr:row>560</xdr:row>
      <xdr:rowOff>114300</xdr:rowOff>
    </xdr:to>
    <xdr:sp macro="" textlink="">
      <xdr:nvSpPr>
        <xdr:cNvPr id="4141" name="Arrow: Down 4140">
          <a:extLst>
            <a:ext uri="{FF2B5EF4-FFF2-40B4-BE49-F238E27FC236}">
              <a16:creationId xmlns:a16="http://schemas.microsoft.com/office/drawing/2014/main" id="{084581B3-7B66-4CDD-9396-10BA51310CA7}"/>
            </a:ext>
          </a:extLst>
        </xdr:cNvPr>
        <xdr:cNvSpPr/>
      </xdr:nvSpPr>
      <xdr:spPr>
        <a:xfrm rot="10800000">
          <a:off x="192786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560</xdr:row>
      <xdr:rowOff>0</xdr:rowOff>
    </xdr:from>
    <xdr:to>
      <xdr:col>24</xdr:col>
      <xdr:colOff>83820</xdr:colOff>
      <xdr:row>560</xdr:row>
      <xdr:rowOff>114300</xdr:rowOff>
    </xdr:to>
    <xdr:sp macro="" textlink="">
      <xdr:nvSpPr>
        <xdr:cNvPr id="4148" name="Arrow: Down 4147">
          <a:extLst>
            <a:ext uri="{FF2B5EF4-FFF2-40B4-BE49-F238E27FC236}">
              <a16:creationId xmlns:a16="http://schemas.microsoft.com/office/drawing/2014/main" id="{D4B8B61C-73E0-4BDE-A7D6-130AB7918083}"/>
            </a:ext>
          </a:extLst>
        </xdr:cNvPr>
        <xdr:cNvSpPr/>
      </xdr:nvSpPr>
      <xdr:spPr>
        <a:xfrm rot="10800000">
          <a:off x="83362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560</xdr:row>
      <xdr:rowOff>0</xdr:rowOff>
    </xdr:from>
    <xdr:to>
      <xdr:col>71</xdr:col>
      <xdr:colOff>83820</xdr:colOff>
      <xdr:row>560</xdr:row>
      <xdr:rowOff>114300</xdr:rowOff>
    </xdr:to>
    <xdr:sp macro="" textlink="">
      <xdr:nvSpPr>
        <xdr:cNvPr id="4176" name="Arrow: Down 4175">
          <a:extLst>
            <a:ext uri="{FF2B5EF4-FFF2-40B4-BE49-F238E27FC236}">
              <a16:creationId xmlns:a16="http://schemas.microsoft.com/office/drawing/2014/main" id="{765B049A-D8C2-41DA-B760-CAAC543C93E5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560</xdr:row>
      <xdr:rowOff>0</xdr:rowOff>
    </xdr:from>
    <xdr:to>
      <xdr:col>60</xdr:col>
      <xdr:colOff>83820</xdr:colOff>
      <xdr:row>560</xdr:row>
      <xdr:rowOff>114300</xdr:rowOff>
    </xdr:to>
    <xdr:sp macro="" textlink="">
      <xdr:nvSpPr>
        <xdr:cNvPr id="4181" name="Arrow: Down 4180">
          <a:extLst>
            <a:ext uri="{FF2B5EF4-FFF2-40B4-BE49-F238E27FC236}">
              <a16:creationId xmlns:a16="http://schemas.microsoft.com/office/drawing/2014/main" id="{E04FAEB5-A102-4FF7-95ED-8F61C064D778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561</xdr:row>
      <xdr:rowOff>0</xdr:rowOff>
    </xdr:from>
    <xdr:to>
      <xdr:col>39</xdr:col>
      <xdr:colOff>83820</xdr:colOff>
      <xdr:row>561</xdr:row>
      <xdr:rowOff>114300</xdr:rowOff>
    </xdr:to>
    <xdr:sp macro="" textlink="">
      <xdr:nvSpPr>
        <xdr:cNvPr id="4225" name="Arrow: Down 4224">
          <a:extLst>
            <a:ext uri="{FF2B5EF4-FFF2-40B4-BE49-F238E27FC236}">
              <a16:creationId xmlns:a16="http://schemas.microsoft.com/office/drawing/2014/main" id="{C07A260E-97CD-41DA-A051-58A1FE0B0657}"/>
            </a:ext>
          </a:extLst>
        </xdr:cNvPr>
        <xdr:cNvSpPr/>
      </xdr:nvSpPr>
      <xdr:spPr>
        <a:xfrm>
          <a:off x="1154430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561</xdr:row>
      <xdr:rowOff>0</xdr:rowOff>
    </xdr:from>
    <xdr:to>
      <xdr:col>71</xdr:col>
      <xdr:colOff>83820</xdr:colOff>
      <xdr:row>561</xdr:row>
      <xdr:rowOff>114300</xdr:rowOff>
    </xdr:to>
    <xdr:sp macro="" textlink="">
      <xdr:nvSpPr>
        <xdr:cNvPr id="4238" name="Arrow: Down 4237">
          <a:extLst>
            <a:ext uri="{FF2B5EF4-FFF2-40B4-BE49-F238E27FC236}">
              <a16:creationId xmlns:a16="http://schemas.microsoft.com/office/drawing/2014/main" id="{E9AAE472-0DB9-435F-84ED-5288CA2F491B}"/>
            </a:ext>
          </a:extLst>
        </xdr:cNvPr>
        <xdr:cNvSpPr/>
      </xdr:nvSpPr>
      <xdr:spPr>
        <a:xfrm rot="10800000">
          <a:off x="2180082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561</xdr:row>
      <xdr:rowOff>0</xdr:rowOff>
    </xdr:from>
    <xdr:to>
      <xdr:col>60</xdr:col>
      <xdr:colOff>83820</xdr:colOff>
      <xdr:row>561</xdr:row>
      <xdr:rowOff>114300</xdr:rowOff>
    </xdr:to>
    <xdr:sp macro="" textlink="">
      <xdr:nvSpPr>
        <xdr:cNvPr id="4239" name="Arrow: Down 4238">
          <a:extLst>
            <a:ext uri="{FF2B5EF4-FFF2-40B4-BE49-F238E27FC236}">
              <a16:creationId xmlns:a16="http://schemas.microsoft.com/office/drawing/2014/main" id="{5B95014D-0A21-4138-B378-38D83A1025D6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561</xdr:row>
      <xdr:rowOff>0</xdr:rowOff>
    </xdr:from>
    <xdr:to>
      <xdr:col>45</xdr:col>
      <xdr:colOff>83820</xdr:colOff>
      <xdr:row>561</xdr:row>
      <xdr:rowOff>114300</xdr:rowOff>
    </xdr:to>
    <xdr:sp macro="" textlink="">
      <xdr:nvSpPr>
        <xdr:cNvPr id="4241" name="Arrow: Down 4240">
          <a:extLst>
            <a:ext uri="{FF2B5EF4-FFF2-40B4-BE49-F238E27FC236}">
              <a16:creationId xmlns:a16="http://schemas.microsoft.com/office/drawing/2014/main" id="{E409F970-D899-4C6C-836D-02151C0661EC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561</xdr:row>
      <xdr:rowOff>0</xdr:rowOff>
    </xdr:from>
    <xdr:to>
      <xdr:col>24</xdr:col>
      <xdr:colOff>83820</xdr:colOff>
      <xdr:row>561</xdr:row>
      <xdr:rowOff>114300</xdr:rowOff>
    </xdr:to>
    <xdr:sp macro="" textlink="">
      <xdr:nvSpPr>
        <xdr:cNvPr id="4242" name="Arrow: Down 4241">
          <a:extLst>
            <a:ext uri="{FF2B5EF4-FFF2-40B4-BE49-F238E27FC236}">
              <a16:creationId xmlns:a16="http://schemas.microsoft.com/office/drawing/2014/main" id="{08103327-553A-44FD-831C-CE0FCEC872C2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561</xdr:row>
      <xdr:rowOff>0</xdr:rowOff>
    </xdr:from>
    <xdr:to>
      <xdr:col>11</xdr:col>
      <xdr:colOff>83820</xdr:colOff>
      <xdr:row>561</xdr:row>
      <xdr:rowOff>114300</xdr:rowOff>
    </xdr:to>
    <xdr:sp macro="" textlink="">
      <xdr:nvSpPr>
        <xdr:cNvPr id="4243" name="Arrow: Down 4242">
          <a:extLst>
            <a:ext uri="{FF2B5EF4-FFF2-40B4-BE49-F238E27FC236}">
              <a16:creationId xmlns:a16="http://schemas.microsoft.com/office/drawing/2014/main" id="{A791F59D-F33A-4338-BFF6-D07990667E73}"/>
            </a:ext>
          </a:extLst>
        </xdr:cNvPr>
        <xdr:cNvSpPr/>
      </xdr:nvSpPr>
      <xdr:spPr>
        <a:xfrm>
          <a:off x="369570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561</xdr:row>
      <xdr:rowOff>0</xdr:rowOff>
    </xdr:from>
    <xdr:to>
      <xdr:col>5</xdr:col>
      <xdr:colOff>83820</xdr:colOff>
      <xdr:row>561</xdr:row>
      <xdr:rowOff>114300</xdr:rowOff>
    </xdr:to>
    <xdr:sp macro="" textlink="">
      <xdr:nvSpPr>
        <xdr:cNvPr id="4244" name="Arrow: Down 4243">
          <a:extLst>
            <a:ext uri="{FF2B5EF4-FFF2-40B4-BE49-F238E27FC236}">
              <a16:creationId xmlns:a16="http://schemas.microsoft.com/office/drawing/2014/main" id="{C25E86E4-F973-48B6-A39E-B52D545BE1C0}"/>
            </a:ext>
          </a:extLst>
        </xdr:cNvPr>
        <xdr:cNvSpPr/>
      </xdr:nvSpPr>
      <xdr:spPr>
        <a:xfrm>
          <a:off x="192786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562</xdr:row>
      <xdr:rowOff>0</xdr:rowOff>
    </xdr:from>
    <xdr:to>
      <xdr:col>39</xdr:col>
      <xdr:colOff>83820</xdr:colOff>
      <xdr:row>562</xdr:row>
      <xdr:rowOff>114300</xdr:rowOff>
    </xdr:to>
    <xdr:sp macro="" textlink="">
      <xdr:nvSpPr>
        <xdr:cNvPr id="4245" name="Arrow: Down 4244">
          <a:extLst>
            <a:ext uri="{FF2B5EF4-FFF2-40B4-BE49-F238E27FC236}">
              <a16:creationId xmlns:a16="http://schemas.microsoft.com/office/drawing/2014/main" id="{3B422BD2-DE37-4F71-82DD-B6BFA4FE86E1}"/>
            </a:ext>
          </a:extLst>
        </xdr:cNvPr>
        <xdr:cNvSpPr/>
      </xdr:nvSpPr>
      <xdr:spPr>
        <a:xfrm>
          <a:off x="1154430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562</xdr:row>
      <xdr:rowOff>0</xdr:rowOff>
    </xdr:from>
    <xdr:to>
      <xdr:col>60</xdr:col>
      <xdr:colOff>83820</xdr:colOff>
      <xdr:row>562</xdr:row>
      <xdr:rowOff>114300</xdr:rowOff>
    </xdr:to>
    <xdr:sp macro="" textlink="">
      <xdr:nvSpPr>
        <xdr:cNvPr id="4247" name="Arrow: Down 4246">
          <a:extLst>
            <a:ext uri="{FF2B5EF4-FFF2-40B4-BE49-F238E27FC236}">
              <a16:creationId xmlns:a16="http://schemas.microsoft.com/office/drawing/2014/main" id="{601179A2-1F58-4DBE-844B-96FA14FA7F96}"/>
            </a:ext>
          </a:extLst>
        </xdr:cNvPr>
        <xdr:cNvSpPr/>
      </xdr:nvSpPr>
      <xdr:spPr>
        <a:xfrm>
          <a:off x="1908048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562</xdr:row>
      <xdr:rowOff>0</xdr:rowOff>
    </xdr:from>
    <xdr:to>
      <xdr:col>45</xdr:col>
      <xdr:colOff>83820</xdr:colOff>
      <xdr:row>562</xdr:row>
      <xdr:rowOff>114300</xdr:rowOff>
    </xdr:to>
    <xdr:sp macro="" textlink="">
      <xdr:nvSpPr>
        <xdr:cNvPr id="4248" name="Arrow: Down 4247">
          <a:extLst>
            <a:ext uri="{FF2B5EF4-FFF2-40B4-BE49-F238E27FC236}">
              <a16:creationId xmlns:a16="http://schemas.microsoft.com/office/drawing/2014/main" id="{B4A0D824-A0B8-49F2-AECB-C6EC967F52A6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562</xdr:row>
      <xdr:rowOff>0</xdr:rowOff>
    </xdr:from>
    <xdr:to>
      <xdr:col>24</xdr:col>
      <xdr:colOff>83820</xdr:colOff>
      <xdr:row>562</xdr:row>
      <xdr:rowOff>114300</xdr:rowOff>
    </xdr:to>
    <xdr:sp macro="" textlink="">
      <xdr:nvSpPr>
        <xdr:cNvPr id="4249" name="Arrow: Down 4248">
          <a:extLst>
            <a:ext uri="{FF2B5EF4-FFF2-40B4-BE49-F238E27FC236}">
              <a16:creationId xmlns:a16="http://schemas.microsoft.com/office/drawing/2014/main" id="{5F94AED3-AA27-4748-8ED5-64C8B2A4B998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562</xdr:row>
      <xdr:rowOff>0</xdr:rowOff>
    </xdr:from>
    <xdr:to>
      <xdr:col>71</xdr:col>
      <xdr:colOff>83820</xdr:colOff>
      <xdr:row>562</xdr:row>
      <xdr:rowOff>114300</xdr:rowOff>
    </xdr:to>
    <xdr:sp macro="" textlink="">
      <xdr:nvSpPr>
        <xdr:cNvPr id="4253" name="Arrow: Down 4252">
          <a:extLst>
            <a:ext uri="{FF2B5EF4-FFF2-40B4-BE49-F238E27FC236}">
              <a16:creationId xmlns:a16="http://schemas.microsoft.com/office/drawing/2014/main" id="{505ABE69-65F8-47DE-B271-1846564546F4}"/>
            </a:ext>
          </a:extLst>
        </xdr:cNvPr>
        <xdr:cNvSpPr/>
      </xdr:nvSpPr>
      <xdr:spPr>
        <a:xfrm>
          <a:off x="2180082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563</xdr:row>
      <xdr:rowOff>0</xdr:rowOff>
    </xdr:from>
    <xdr:to>
      <xdr:col>39</xdr:col>
      <xdr:colOff>83820</xdr:colOff>
      <xdr:row>563</xdr:row>
      <xdr:rowOff>114300</xdr:rowOff>
    </xdr:to>
    <xdr:sp macro="" textlink="">
      <xdr:nvSpPr>
        <xdr:cNvPr id="4254" name="Arrow: Down 4253">
          <a:extLst>
            <a:ext uri="{FF2B5EF4-FFF2-40B4-BE49-F238E27FC236}">
              <a16:creationId xmlns:a16="http://schemas.microsoft.com/office/drawing/2014/main" id="{8483F905-CC8F-4E56-AA1B-628367C1E682}"/>
            </a:ext>
          </a:extLst>
        </xdr:cNvPr>
        <xdr:cNvSpPr/>
      </xdr:nvSpPr>
      <xdr:spPr>
        <a:xfrm>
          <a:off x="115443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563</xdr:row>
      <xdr:rowOff>0</xdr:rowOff>
    </xdr:from>
    <xdr:to>
      <xdr:col>11</xdr:col>
      <xdr:colOff>83820</xdr:colOff>
      <xdr:row>563</xdr:row>
      <xdr:rowOff>114300</xdr:rowOff>
    </xdr:to>
    <xdr:sp macro="" textlink="">
      <xdr:nvSpPr>
        <xdr:cNvPr id="4258" name="Arrow: Down 4257">
          <a:extLst>
            <a:ext uri="{FF2B5EF4-FFF2-40B4-BE49-F238E27FC236}">
              <a16:creationId xmlns:a16="http://schemas.microsoft.com/office/drawing/2014/main" id="{45225777-BE55-48A9-97AE-3F10C05F56EE}"/>
            </a:ext>
          </a:extLst>
        </xdr:cNvPr>
        <xdr:cNvSpPr/>
      </xdr:nvSpPr>
      <xdr:spPr>
        <a:xfrm>
          <a:off x="369570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563</xdr:row>
      <xdr:rowOff>0</xdr:rowOff>
    </xdr:from>
    <xdr:to>
      <xdr:col>5</xdr:col>
      <xdr:colOff>83820</xdr:colOff>
      <xdr:row>563</xdr:row>
      <xdr:rowOff>114300</xdr:rowOff>
    </xdr:to>
    <xdr:sp macro="" textlink="">
      <xdr:nvSpPr>
        <xdr:cNvPr id="4259" name="Arrow: Down 4258">
          <a:extLst>
            <a:ext uri="{FF2B5EF4-FFF2-40B4-BE49-F238E27FC236}">
              <a16:creationId xmlns:a16="http://schemas.microsoft.com/office/drawing/2014/main" id="{540C3506-DAE7-4979-AD70-88B140E31B39}"/>
            </a:ext>
          </a:extLst>
        </xdr:cNvPr>
        <xdr:cNvSpPr/>
      </xdr:nvSpPr>
      <xdr:spPr>
        <a:xfrm>
          <a:off x="192786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562</xdr:row>
      <xdr:rowOff>0</xdr:rowOff>
    </xdr:from>
    <xdr:to>
      <xdr:col>5</xdr:col>
      <xdr:colOff>83820</xdr:colOff>
      <xdr:row>562</xdr:row>
      <xdr:rowOff>114300</xdr:rowOff>
    </xdr:to>
    <xdr:sp macro="" textlink="">
      <xdr:nvSpPr>
        <xdr:cNvPr id="4261" name="Arrow: Down 4260">
          <a:extLst>
            <a:ext uri="{FF2B5EF4-FFF2-40B4-BE49-F238E27FC236}">
              <a16:creationId xmlns:a16="http://schemas.microsoft.com/office/drawing/2014/main" id="{F49C29CE-6A6D-4650-AA74-BA3AA9103A2A}"/>
            </a:ext>
          </a:extLst>
        </xdr:cNvPr>
        <xdr:cNvSpPr/>
      </xdr:nvSpPr>
      <xdr:spPr>
        <a:xfrm rot="10800000">
          <a:off x="192786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562</xdr:row>
      <xdr:rowOff>0</xdr:rowOff>
    </xdr:from>
    <xdr:to>
      <xdr:col>11</xdr:col>
      <xdr:colOff>83820</xdr:colOff>
      <xdr:row>562</xdr:row>
      <xdr:rowOff>114300</xdr:rowOff>
    </xdr:to>
    <xdr:sp macro="" textlink="">
      <xdr:nvSpPr>
        <xdr:cNvPr id="4262" name="Arrow: Down 4261">
          <a:extLst>
            <a:ext uri="{FF2B5EF4-FFF2-40B4-BE49-F238E27FC236}">
              <a16:creationId xmlns:a16="http://schemas.microsoft.com/office/drawing/2014/main" id="{543EC9DB-ED50-4673-B0AD-3CDD0DB4B79F}"/>
            </a:ext>
          </a:extLst>
        </xdr:cNvPr>
        <xdr:cNvSpPr/>
      </xdr:nvSpPr>
      <xdr:spPr>
        <a:xfrm rot="10800000">
          <a:off x="36957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563</xdr:row>
      <xdr:rowOff>0</xdr:rowOff>
    </xdr:from>
    <xdr:to>
      <xdr:col>24</xdr:col>
      <xdr:colOff>83820</xdr:colOff>
      <xdr:row>563</xdr:row>
      <xdr:rowOff>114300</xdr:rowOff>
    </xdr:to>
    <xdr:sp macro="" textlink="">
      <xdr:nvSpPr>
        <xdr:cNvPr id="4264" name="Arrow: Down 4263">
          <a:extLst>
            <a:ext uri="{FF2B5EF4-FFF2-40B4-BE49-F238E27FC236}">
              <a16:creationId xmlns:a16="http://schemas.microsoft.com/office/drawing/2014/main" id="{629137CE-1A57-4D18-A139-BB0FA0C52E92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563</xdr:row>
      <xdr:rowOff>0</xdr:rowOff>
    </xdr:from>
    <xdr:to>
      <xdr:col>45</xdr:col>
      <xdr:colOff>83820</xdr:colOff>
      <xdr:row>563</xdr:row>
      <xdr:rowOff>114300</xdr:rowOff>
    </xdr:to>
    <xdr:sp macro="" textlink="">
      <xdr:nvSpPr>
        <xdr:cNvPr id="4268" name="Arrow: Down 4267">
          <a:extLst>
            <a:ext uri="{FF2B5EF4-FFF2-40B4-BE49-F238E27FC236}">
              <a16:creationId xmlns:a16="http://schemas.microsoft.com/office/drawing/2014/main" id="{9A6FD4CD-BE84-4A7A-85E8-264D059FA282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563</xdr:row>
      <xdr:rowOff>0</xdr:rowOff>
    </xdr:from>
    <xdr:to>
      <xdr:col>60</xdr:col>
      <xdr:colOff>83820</xdr:colOff>
      <xdr:row>563</xdr:row>
      <xdr:rowOff>114300</xdr:rowOff>
    </xdr:to>
    <xdr:sp macro="" textlink="">
      <xdr:nvSpPr>
        <xdr:cNvPr id="4269" name="Arrow: Down 4268">
          <a:extLst>
            <a:ext uri="{FF2B5EF4-FFF2-40B4-BE49-F238E27FC236}">
              <a16:creationId xmlns:a16="http://schemas.microsoft.com/office/drawing/2014/main" id="{C97C9CA0-05D5-4023-AB29-D5DC87A0DCFB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563</xdr:row>
      <xdr:rowOff>0</xdr:rowOff>
    </xdr:from>
    <xdr:to>
      <xdr:col>71</xdr:col>
      <xdr:colOff>83820</xdr:colOff>
      <xdr:row>563</xdr:row>
      <xdr:rowOff>114300</xdr:rowOff>
    </xdr:to>
    <xdr:sp macro="" textlink="">
      <xdr:nvSpPr>
        <xdr:cNvPr id="4270" name="Arrow: Down 4269">
          <a:extLst>
            <a:ext uri="{FF2B5EF4-FFF2-40B4-BE49-F238E27FC236}">
              <a16:creationId xmlns:a16="http://schemas.microsoft.com/office/drawing/2014/main" id="{556C9D69-0436-4D0E-8D4B-E9265947AE68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564</xdr:row>
      <xdr:rowOff>0</xdr:rowOff>
    </xdr:from>
    <xdr:to>
      <xdr:col>39</xdr:col>
      <xdr:colOff>83820</xdr:colOff>
      <xdr:row>564</xdr:row>
      <xdr:rowOff>114300</xdr:rowOff>
    </xdr:to>
    <xdr:sp macro="" textlink="">
      <xdr:nvSpPr>
        <xdr:cNvPr id="4278" name="Arrow: Down 4277">
          <a:extLst>
            <a:ext uri="{FF2B5EF4-FFF2-40B4-BE49-F238E27FC236}">
              <a16:creationId xmlns:a16="http://schemas.microsoft.com/office/drawing/2014/main" id="{0FB9FF00-60B8-43A6-98B5-489A3E6BEE48}"/>
            </a:ext>
          </a:extLst>
        </xdr:cNvPr>
        <xdr:cNvSpPr/>
      </xdr:nvSpPr>
      <xdr:spPr>
        <a:xfrm>
          <a:off x="1154430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564</xdr:row>
      <xdr:rowOff>0</xdr:rowOff>
    </xdr:from>
    <xdr:to>
      <xdr:col>11</xdr:col>
      <xdr:colOff>83820</xdr:colOff>
      <xdr:row>564</xdr:row>
      <xdr:rowOff>114300</xdr:rowOff>
    </xdr:to>
    <xdr:sp macro="" textlink="">
      <xdr:nvSpPr>
        <xdr:cNvPr id="4279" name="Arrow: Down 4278">
          <a:extLst>
            <a:ext uri="{FF2B5EF4-FFF2-40B4-BE49-F238E27FC236}">
              <a16:creationId xmlns:a16="http://schemas.microsoft.com/office/drawing/2014/main" id="{C4667A97-988D-4608-826D-7897637123BA}"/>
            </a:ext>
          </a:extLst>
        </xdr:cNvPr>
        <xdr:cNvSpPr/>
      </xdr:nvSpPr>
      <xdr:spPr>
        <a:xfrm>
          <a:off x="369570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564</xdr:row>
      <xdr:rowOff>0</xdr:rowOff>
    </xdr:from>
    <xdr:to>
      <xdr:col>5</xdr:col>
      <xdr:colOff>83820</xdr:colOff>
      <xdr:row>564</xdr:row>
      <xdr:rowOff>114300</xdr:rowOff>
    </xdr:to>
    <xdr:sp macro="" textlink="">
      <xdr:nvSpPr>
        <xdr:cNvPr id="4280" name="Arrow: Down 4279">
          <a:extLst>
            <a:ext uri="{FF2B5EF4-FFF2-40B4-BE49-F238E27FC236}">
              <a16:creationId xmlns:a16="http://schemas.microsoft.com/office/drawing/2014/main" id="{C23F5592-CF3F-486C-90FE-FC03CF707095}"/>
            </a:ext>
          </a:extLst>
        </xdr:cNvPr>
        <xdr:cNvSpPr/>
      </xdr:nvSpPr>
      <xdr:spPr>
        <a:xfrm>
          <a:off x="192786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564</xdr:row>
      <xdr:rowOff>0</xdr:rowOff>
    </xdr:from>
    <xdr:to>
      <xdr:col>24</xdr:col>
      <xdr:colOff>83820</xdr:colOff>
      <xdr:row>564</xdr:row>
      <xdr:rowOff>114300</xdr:rowOff>
    </xdr:to>
    <xdr:sp macro="" textlink="">
      <xdr:nvSpPr>
        <xdr:cNvPr id="4281" name="Arrow: Down 4280">
          <a:extLst>
            <a:ext uri="{FF2B5EF4-FFF2-40B4-BE49-F238E27FC236}">
              <a16:creationId xmlns:a16="http://schemas.microsoft.com/office/drawing/2014/main" id="{F0AE6811-7EEA-41BD-A58F-CE9C6F263A23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564</xdr:row>
      <xdr:rowOff>0</xdr:rowOff>
    </xdr:from>
    <xdr:to>
      <xdr:col>45</xdr:col>
      <xdr:colOff>83820</xdr:colOff>
      <xdr:row>564</xdr:row>
      <xdr:rowOff>114300</xdr:rowOff>
    </xdr:to>
    <xdr:sp macro="" textlink="">
      <xdr:nvSpPr>
        <xdr:cNvPr id="4282" name="Arrow: Down 4281">
          <a:extLst>
            <a:ext uri="{FF2B5EF4-FFF2-40B4-BE49-F238E27FC236}">
              <a16:creationId xmlns:a16="http://schemas.microsoft.com/office/drawing/2014/main" id="{B1EDBCF7-0C2E-4B2A-9DBD-F7710D248823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564</xdr:row>
      <xdr:rowOff>0</xdr:rowOff>
    </xdr:from>
    <xdr:to>
      <xdr:col>60</xdr:col>
      <xdr:colOff>83820</xdr:colOff>
      <xdr:row>564</xdr:row>
      <xdr:rowOff>114300</xdr:rowOff>
    </xdr:to>
    <xdr:sp macro="" textlink="">
      <xdr:nvSpPr>
        <xdr:cNvPr id="4283" name="Arrow: Down 4282">
          <a:extLst>
            <a:ext uri="{FF2B5EF4-FFF2-40B4-BE49-F238E27FC236}">
              <a16:creationId xmlns:a16="http://schemas.microsoft.com/office/drawing/2014/main" id="{9EF8B859-23BD-4726-95C3-C114E0C05646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564</xdr:row>
      <xdr:rowOff>0</xdr:rowOff>
    </xdr:from>
    <xdr:to>
      <xdr:col>71</xdr:col>
      <xdr:colOff>83820</xdr:colOff>
      <xdr:row>564</xdr:row>
      <xdr:rowOff>114300</xdr:rowOff>
    </xdr:to>
    <xdr:sp macro="" textlink="">
      <xdr:nvSpPr>
        <xdr:cNvPr id="4284" name="Arrow: Down 4283">
          <a:extLst>
            <a:ext uri="{FF2B5EF4-FFF2-40B4-BE49-F238E27FC236}">
              <a16:creationId xmlns:a16="http://schemas.microsoft.com/office/drawing/2014/main" id="{1D3A6142-45C5-4CBF-89E0-4AE610FAAA26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565</xdr:row>
      <xdr:rowOff>0</xdr:rowOff>
    </xdr:from>
    <xdr:to>
      <xdr:col>60</xdr:col>
      <xdr:colOff>83820</xdr:colOff>
      <xdr:row>565</xdr:row>
      <xdr:rowOff>114300</xdr:rowOff>
    </xdr:to>
    <xdr:sp macro="" textlink="">
      <xdr:nvSpPr>
        <xdr:cNvPr id="4098" name="Arrow: Down 4097">
          <a:extLst>
            <a:ext uri="{FF2B5EF4-FFF2-40B4-BE49-F238E27FC236}">
              <a16:creationId xmlns:a16="http://schemas.microsoft.com/office/drawing/2014/main" id="{170BB767-52E6-4DC2-B26F-5709CAE6F866}"/>
            </a:ext>
          </a:extLst>
        </xdr:cNvPr>
        <xdr:cNvSpPr/>
      </xdr:nvSpPr>
      <xdr:spPr>
        <a:xfrm>
          <a:off x="1908048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565</xdr:row>
      <xdr:rowOff>0</xdr:rowOff>
    </xdr:from>
    <xdr:to>
      <xdr:col>71</xdr:col>
      <xdr:colOff>83820</xdr:colOff>
      <xdr:row>565</xdr:row>
      <xdr:rowOff>114300</xdr:rowOff>
    </xdr:to>
    <xdr:sp macro="" textlink="">
      <xdr:nvSpPr>
        <xdr:cNvPr id="4099" name="Arrow: Down 4098">
          <a:extLst>
            <a:ext uri="{FF2B5EF4-FFF2-40B4-BE49-F238E27FC236}">
              <a16:creationId xmlns:a16="http://schemas.microsoft.com/office/drawing/2014/main" id="{914F4A35-E09B-42DB-8865-E5F431685290}"/>
            </a:ext>
          </a:extLst>
        </xdr:cNvPr>
        <xdr:cNvSpPr/>
      </xdr:nvSpPr>
      <xdr:spPr>
        <a:xfrm>
          <a:off x="2180082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565</xdr:row>
      <xdr:rowOff>0</xdr:rowOff>
    </xdr:from>
    <xdr:to>
      <xdr:col>11</xdr:col>
      <xdr:colOff>83820</xdr:colOff>
      <xdr:row>565</xdr:row>
      <xdr:rowOff>114300</xdr:rowOff>
    </xdr:to>
    <xdr:sp macro="" textlink="">
      <xdr:nvSpPr>
        <xdr:cNvPr id="4101" name="Arrow: Down 4100">
          <a:extLst>
            <a:ext uri="{FF2B5EF4-FFF2-40B4-BE49-F238E27FC236}">
              <a16:creationId xmlns:a16="http://schemas.microsoft.com/office/drawing/2014/main" id="{2D9E1C33-A4BF-4A8F-9AE6-6786D78A4D70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565</xdr:row>
      <xdr:rowOff>0</xdr:rowOff>
    </xdr:from>
    <xdr:to>
      <xdr:col>5</xdr:col>
      <xdr:colOff>83820</xdr:colOff>
      <xdr:row>565</xdr:row>
      <xdr:rowOff>114300</xdr:rowOff>
    </xdr:to>
    <xdr:sp macro="" textlink="">
      <xdr:nvSpPr>
        <xdr:cNvPr id="4105" name="Arrow: Down 4104">
          <a:extLst>
            <a:ext uri="{FF2B5EF4-FFF2-40B4-BE49-F238E27FC236}">
              <a16:creationId xmlns:a16="http://schemas.microsoft.com/office/drawing/2014/main" id="{99313BE3-ACB9-4E1B-BCEC-E30C8B02BD36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565</xdr:row>
      <xdr:rowOff>0</xdr:rowOff>
    </xdr:from>
    <xdr:to>
      <xdr:col>24</xdr:col>
      <xdr:colOff>83820</xdr:colOff>
      <xdr:row>565</xdr:row>
      <xdr:rowOff>114300</xdr:rowOff>
    </xdr:to>
    <xdr:sp macro="" textlink="">
      <xdr:nvSpPr>
        <xdr:cNvPr id="4109" name="Arrow: Down 4108">
          <a:extLst>
            <a:ext uri="{FF2B5EF4-FFF2-40B4-BE49-F238E27FC236}">
              <a16:creationId xmlns:a16="http://schemas.microsoft.com/office/drawing/2014/main" id="{DF3D406B-5D22-4941-967C-88FEBFD65598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565</xdr:row>
      <xdr:rowOff>0</xdr:rowOff>
    </xdr:from>
    <xdr:to>
      <xdr:col>39</xdr:col>
      <xdr:colOff>83820</xdr:colOff>
      <xdr:row>565</xdr:row>
      <xdr:rowOff>114300</xdr:rowOff>
    </xdr:to>
    <xdr:sp macro="" textlink="">
      <xdr:nvSpPr>
        <xdr:cNvPr id="4111" name="Arrow: Down 4110">
          <a:extLst>
            <a:ext uri="{FF2B5EF4-FFF2-40B4-BE49-F238E27FC236}">
              <a16:creationId xmlns:a16="http://schemas.microsoft.com/office/drawing/2014/main" id="{098AD3CD-8042-4E9B-858A-10E197D9CCB1}"/>
            </a:ext>
          </a:extLst>
        </xdr:cNvPr>
        <xdr:cNvSpPr/>
      </xdr:nvSpPr>
      <xdr:spPr>
        <a:xfrm rot="10800000">
          <a:off x="1154430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565</xdr:row>
      <xdr:rowOff>0</xdr:rowOff>
    </xdr:from>
    <xdr:to>
      <xdr:col>45</xdr:col>
      <xdr:colOff>83820</xdr:colOff>
      <xdr:row>565</xdr:row>
      <xdr:rowOff>114300</xdr:rowOff>
    </xdr:to>
    <xdr:sp macro="" textlink="">
      <xdr:nvSpPr>
        <xdr:cNvPr id="4164" name="Arrow: Down 4163">
          <a:extLst>
            <a:ext uri="{FF2B5EF4-FFF2-40B4-BE49-F238E27FC236}">
              <a16:creationId xmlns:a16="http://schemas.microsoft.com/office/drawing/2014/main" id="{D5F6C103-6F97-4BEF-B89B-23C6940065F9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566</xdr:row>
      <xdr:rowOff>0</xdr:rowOff>
    </xdr:from>
    <xdr:to>
      <xdr:col>11</xdr:col>
      <xdr:colOff>83820</xdr:colOff>
      <xdr:row>566</xdr:row>
      <xdr:rowOff>114300</xdr:rowOff>
    </xdr:to>
    <xdr:sp macro="" textlink="">
      <xdr:nvSpPr>
        <xdr:cNvPr id="4197" name="Arrow: Down 4196">
          <a:extLst>
            <a:ext uri="{FF2B5EF4-FFF2-40B4-BE49-F238E27FC236}">
              <a16:creationId xmlns:a16="http://schemas.microsoft.com/office/drawing/2014/main" id="{D246AE4A-ADB7-4CBD-A7DD-9D1DBAEC1E27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566</xdr:row>
      <xdr:rowOff>0</xdr:rowOff>
    </xdr:from>
    <xdr:to>
      <xdr:col>5</xdr:col>
      <xdr:colOff>83820</xdr:colOff>
      <xdr:row>566</xdr:row>
      <xdr:rowOff>114300</xdr:rowOff>
    </xdr:to>
    <xdr:sp macro="" textlink="">
      <xdr:nvSpPr>
        <xdr:cNvPr id="4205" name="Arrow: Down 4204">
          <a:extLst>
            <a:ext uri="{FF2B5EF4-FFF2-40B4-BE49-F238E27FC236}">
              <a16:creationId xmlns:a16="http://schemas.microsoft.com/office/drawing/2014/main" id="{792146A6-1E16-440B-BEBF-25A8D2D9742F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566</xdr:row>
      <xdr:rowOff>0</xdr:rowOff>
    </xdr:from>
    <xdr:to>
      <xdr:col>24</xdr:col>
      <xdr:colOff>83820</xdr:colOff>
      <xdr:row>566</xdr:row>
      <xdr:rowOff>114300</xdr:rowOff>
    </xdr:to>
    <xdr:sp macro="" textlink="">
      <xdr:nvSpPr>
        <xdr:cNvPr id="4209" name="Arrow: Down 4208">
          <a:extLst>
            <a:ext uri="{FF2B5EF4-FFF2-40B4-BE49-F238E27FC236}">
              <a16:creationId xmlns:a16="http://schemas.microsoft.com/office/drawing/2014/main" id="{BF609688-01DD-4E16-8BF0-803A8E020184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566</xdr:row>
      <xdr:rowOff>0</xdr:rowOff>
    </xdr:from>
    <xdr:to>
      <xdr:col>45</xdr:col>
      <xdr:colOff>83820</xdr:colOff>
      <xdr:row>566</xdr:row>
      <xdr:rowOff>114300</xdr:rowOff>
    </xdr:to>
    <xdr:sp macro="" textlink="">
      <xdr:nvSpPr>
        <xdr:cNvPr id="4224" name="Arrow: Down 4223">
          <a:extLst>
            <a:ext uri="{FF2B5EF4-FFF2-40B4-BE49-F238E27FC236}">
              <a16:creationId xmlns:a16="http://schemas.microsoft.com/office/drawing/2014/main" id="{CFA16F8E-F65E-4E85-A9A8-4F7C7DC4F821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566</xdr:row>
      <xdr:rowOff>0</xdr:rowOff>
    </xdr:from>
    <xdr:to>
      <xdr:col>60</xdr:col>
      <xdr:colOff>83820</xdr:colOff>
      <xdr:row>566</xdr:row>
      <xdr:rowOff>114300</xdr:rowOff>
    </xdr:to>
    <xdr:sp macro="" textlink="">
      <xdr:nvSpPr>
        <xdr:cNvPr id="4226" name="Arrow: Down 4225">
          <a:extLst>
            <a:ext uri="{FF2B5EF4-FFF2-40B4-BE49-F238E27FC236}">
              <a16:creationId xmlns:a16="http://schemas.microsoft.com/office/drawing/2014/main" id="{939C09B8-4D4E-4BBC-B2C2-B0C71115B7E0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566</xdr:row>
      <xdr:rowOff>0</xdr:rowOff>
    </xdr:from>
    <xdr:to>
      <xdr:col>71</xdr:col>
      <xdr:colOff>83820</xdr:colOff>
      <xdr:row>566</xdr:row>
      <xdr:rowOff>114300</xdr:rowOff>
    </xdr:to>
    <xdr:sp macro="" textlink="">
      <xdr:nvSpPr>
        <xdr:cNvPr id="4236" name="Arrow: Down 4235">
          <a:extLst>
            <a:ext uri="{FF2B5EF4-FFF2-40B4-BE49-F238E27FC236}">
              <a16:creationId xmlns:a16="http://schemas.microsoft.com/office/drawing/2014/main" id="{EDA59F2D-53B8-4FA8-9735-41055DAA99A0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567</xdr:row>
      <xdr:rowOff>0</xdr:rowOff>
    </xdr:from>
    <xdr:to>
      <xdr:col>11</xdr:col>
      <xdr:colOff>83820</xdr:colOff>
      <xdr:row>567</xdr:row>
      <xdr:rowOff>114300</xdr:rowOff>
    </xdr:to>
    <xdr:sp macro="" textlink="">
      <xdr:nvSpPr>
        <xdr:cNvPr id="4237" name="Arrow: Down 4236">
          <a:extLst>
            <a:ext uri="{FF2B5EF4-FFF2-40B4-BE49-F238E27FC236}">
              <a16:creationId xmlns:a16="http://schemas.microsoft.com/office/drawing/2014/main" id="{7234A361-55A8-4D4D-900C-B48F53C8AA94}"/>
            </a:ext>
          </a:extLst>
        </xdr:cNvPr>
        <xdr:cNvSpPr/>
      </xdr:nvSpPr>
      <xdr:spPr>
        <a:xfrm rot="10800000">
          <a:off x="36957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567</xdr:row>
      <xdr:rowOff>0</xdr:rowOff>
    </xdr:from>
    <xdr:to>
      <xdr:col>5</xdr:col>
      <xdr:colOff>83820</xdr:colOff>
      <xdr:row>567</xdr:row>
      <xdr:rowOff>114300</xdr:rowOff>
    </xdr:to>
    <xdr:sp macro="" textlink="">
      <xdr:nvSpPr>
        <xdr:cNvPr id="4240" name="Arrow: Down 4239">
          <a:extLst>
            <a:ext uri="{FF2B5EF4-FFF2-40B4-BE49-F238E27FC236}">
              <a16:creationId xmlns:a16="http://schemas.microsoft.com/office/drawing/2014/main" id="{5A47923D-FA53-4605-8B47-133FEC9A25BD}"/>
            </a:ext>
          </a:extLst>
        </xdr:cNvPr>
        <xdr:cNvSpPr/>
      </xdr:nvSpPr>
      <xdr:spPr>
        <a:xfrm rot="10800000">
          <a:off x="192786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567</xdr:row>
      <xdr:rowOff>0</xdr:rowOff>
    </xdr:from>
    <xdr:to>
      <xdr:col>24</xdr:col>
      <xdr:colOff>83820</xdr:colOff>
      <xdr:row>567</xdr:row>
      <xdr:rowOff>114300</xdr:rowOff>
    </xdr:to>
    <xdr:sp macro="" textlink="">
      <xdr:nvSpPr>
        <xdr:cNvPr id="4246" name="Arrow: Down 4245">
          <a:extLst>
            <a:ext uri="{FF2B5EF4-FFF2-40B4-BE49-F238E27FC236}">
              <a16:creationId xmlns:a16="http://schemas.microsoft.com/office/drawing/2014/main" id="{F342F09F-F7E7-4866-AE93-A0F432BE4CC6}"/>
            </a:ext>
          </a:extLst>
        </xdr:cNvPr>
        <xdr:cNvSpPr/>
      </xdr:nvSpPr>
      <xdr:spPr>
        <a:xfrm rot="10800000">
          <a:off x="83362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567</xdr:row>
      <xdr:rowOff>0</xdr:rowOff>
    </xdr:from>
    <xdr:to>
      <xdr:col>45</xdr:col>
      <xdr:colOff>83820</xdr:colOff>
      <xdr:row>567</xdr:row>
      <xdr:rowOff>114300</xdr:rowOff>
    </xdr:to>
    <xdr:sp macro="" textlink="">
      <xdr:nvSpPr>
        <xdr:cNvPr id="4251" name="Arrow: Down 4250">
          <a:extLst>
            <a:ext uri="{FF2B5EF4-FFF2-40B4-BE49-F238E27FC236}">
              <a16:creationId xmlns:a16="http://schemas.microsoft.com/office/drawing/2014/main" id="{E0D0C925-C7CF-4FE3-8B6F-26A2B28235B6}"/>
            </a:ext>
          </a:extLst>
        </xdr:cNvPr>
        <xdr:cNvSpPr/>
      </xdr:nvSpPr>
      <xdr:spPr>
        <a:xfrm rot="10800000">
          <a:off x="13403580" y="10360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567</xdr:row>
      <xdr:rowOff>0</xdr:rowOff>
    </xdr:from>
    <xdr:to>
      <xdr:col>60</xdr:col>
      <xdr:colOff>83820</xdr:colOff>
      <xdr:row>567</xdr:row>
      <xdr:rowOff>114300</xdr:rowOff>
    </xdr:to>
    <xdr:sp macro="" textlink="">
      <xdr:nvSpPr>
        <xdr:cNvPr id="4252" name="Arrow: Down 4251">
          <a:extLst>
            <a:ext uri="{FF2B5EF4-FFF2-40B4-BE49-F238E27FC236}">
              <a16:creationId xmlns:a16="http://schemas.microsoft.com/office/drawing/2014/main" id="{E7ED6014-A1AC-4AC7-AA82-1D088D25A1A5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567</xdr:row>
      <xdr:rowOff>0</xdr:rowOff>
    </xdr:from>
    <xdr:to>
      <xdr:col>71</xdr:col>
      <xdr:colOff>83820</xdr:colOff>
      <xdr:row>567</xdr:row>
      <xdr:rowOff>114300</xdr:rowOff>
    </xdr:to>
    <xdr:sp macro="" textlink="">
      <xdr:nvSpPr>
        <xdr:cNvPr id="4255" name="Arrow: Down 4254">
          <a:extLst>
            <a:ext uri="{FF2B5EF4-FFF2-40B4-BE49-F238E27FC236}">
              <a16:creationId xmlns:a16="http://schemas.microsoft.com/office/drawing/2014/main" id="{ADB12ABC-9060-4611-9053-DA1D00D73228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568</xdr:row>
      <xdr:rowOff>0</xdr:rowOff>
    </xdr:from>
    <xdr:to>
      <xdr:col>24</xdr:col>
      <xdr:colOff>83820</xdr:colOff>
      <xdr:row>568</xdr:row>
      <xdr:rowOff>114300</xdr:rowOff>
    </xdr:to>
    <xdr:sp macro="" textlink="">
      <xdr:nvSpPr>
        <xdr:cNvPr id="4260" name="Arrow: Down 4259">
          <a:extLst>
            <a:ext uri="{FF2B5EF4-FFF2-40B4-BE49-F238E27FC236}">
              <a16:creationId xmlns:a16="http://schemas.microsoft.com/office/drawing/2014/main" id="{316F7F29-F659-4E1E-B3D4-C2B947162EF6}"/>
            </a:ext>
          </a:extLst>
        </xdr:cNvPr>
        <xdr:cNvSpPr/>
      </xdr:nvSpPr>
      <xdr:spPr>
        <a:xfrm rot="10800000">
          <a:off x="833628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566</xdr:row>
      <xdr:rowOff>0</xdr:rowOff>
    </xdr:from>
    <xdr:to>
      <xdr:col>39</xdr:col>
      <xdr:colOff>83820</xdr:colOff>
      <xdr:row>566</xdr:row>
      <xdr:rowOff>114300</xdr:rowOff>
    </xdr:to>
    <xdr:sp macro="" textlink="">
      <xdr:nvSpPr>
        <xdr:cNvPr id="4271" name="Arrow: Down 4270">
          <a:extLst>
            <a:ext uri="{FF2B5EF4-FFF2-40B4-BE49-F238E27FC236}">
              <a16:creationId xmlns:a16="http://schemas.microsoft.com/office/drawing/2014/main" id="{4CAAE5D2-BF54-4AEE-96EA-C108AA39EAC7}"/>
            </a:ext>
          </a:extLst>
        </xdr:cNvPr>
        <xdr:cNvSpPr/>
      </xdr:nvSpPr>
      <xdr:spPr>
        <a:xfrm>
          <a:off x="115443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568</xdr:row>
      <xdr:rowOff>0</xdr:rowOff>
    </xdr:from>
    <xdr:to>
      <xdr:col>39</xdr:col>
      <xdr:colOff>83820</xdr:colOff>
      <xdr:row>568</xdr:row>
      <xdr:rowOff>114300</xdr:rowOff>
    </xdr:to>
    <xdr:sp macro="" textlink="">
      <xdr:nvSpPr>
        <xdr:cNvPr id="4272" name="Arrow: Down 4271">
          <a:extLst>
            <a:ext uri="{FF2B5EF4-FFF2-40B4-BE49-F238E27FC236}">
              <a16:creationId xmlns:a16="http://schemas.microsoft.com/office/drawing/2014/main" id="{792FBDF8-3881-4FF3-8274-27F5909E59AF}"/>
            </a:ext>
          </a:extLst>
        </xdr:cNvPr>
        <xdr:cNvSpPr/>
      </xdr:nvSpPr>
      <xdr:spPr>
        <a:xfrm>
          <a:off x="115443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567</xdr:row>
      <xdr:rowOff>0</xdr:rowOff>
    </xdr:from>
    <xdr:to>
      <xdr:col>39</xdr:col>
      <xdr:colOff>83820</xdr:colOff>
      <xdr:row>567</xdr:row>
      <xdr:rowOff>114300</xdr:rowOff>
    </xdr:to>
    <xdr:sp macro="" textlink="">
      <xdr:nvSpPr>
        <xdr:cNvPr id="4273" name="Arrow: Down 4272">
          <a:extLst>
            <a:ext uri="{FF2B5EF4-FFF2-40B4-BE49-F238E27FC236}">
              <a16:creationId xmlns:a16="http://schemas.microsoft.com/office/drawing/2014/main" id="{6780BACE-2356-4674-9655-416B7EE781E8}"/>
            </a:ext>
          </a:extLst>
        </xdr:cNvPr>
        <xdr:cNvSpPr/>
      </xdr:nvSpPr>
      <xdr:spPr>
        <a:xfrm>
          <a:off x="1154430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568</xdr:row>
      <xdr:rowOff>0</xdr:rowOff>
    </xdr:from>
    <xdr:to>
      <xdr:col>45</xdr:col>
      <xdr:colOff>83820</xdr:colOff>
      <xdr:row>568</xdr:row>
      <xdr:rowOff>114300</xdr:rowOff>
    </xdr:to>
    <xdr:sp macro="" textlink="">
      <xdr:nvSpPr>
        <xdr:cNvPr id="4274" name="Arrow: Down 4273">
          <a:extLst>
            <a:ext uri="{FF2B5EF4-FFF2-40B4-BE49-F238E27FC236}">
              <a16:creationId xmlns:a16="http://schemas.microsoft.com/office/drawing/2014/main" id="{B09D9500-209A-474F-8AC1-D89AB8209C7F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568</xdr:row>
      <xdr:rowOff>0</xdr:rowOff>
    </xdr:from>
    <xdr:to>
      <xdr:col>60</xdr:col>
      <xdr:colOff>83820</xdr:colOff>
      <xdr:row>568</xdr:row>
      <xdr:rowOff>114300</xdr:rowOff>
    </xdr:to>
    <xdr:sp macro="" textlink="">
      <xdr:nvSpPr>
        <xdr:cNvPr id="4276" name="Arrow: Down 4275">
          <a:extLst>
            <a:ext uri="{FF2B5EF4-FFF2-40B4-BE49-F238E27FC236}">
              <a16:creationId xmlns:a16="http://schemas.microsoft.com/office/drawing/2014/main" id="{C69E20B4-C458-409E-A8CA-4CD980538107}"/>
            </a:ext>
          </a:extLst>
        </xdr:cNvPr>
        <xdr:cNvSpPr/>
      </xdr:nvSpPr>
      <xdr:spPr>
        <a:xfrm>
          <a:off x="1908048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568</xdr:row>
      <xdr:rowOff>0</xdr:rowOff>
    </xdr:from>
    <xdr:to>
      <xdr:col>71</xdr:col>
      <xdr:colOff>83820</xdr:colOff>
      <xdr:row>568</xdr:row>
      <xdr:rowOff>114300</xdr:rowOff>
    </xdr:to>
    <xdr:sp macro="" textlink="">
      <xdr:nvSpPr>
        <xdr:cNvPr id="4277" name="Arrow: Down 4276">
          <a:extLst>
            <a:ext uri="{FF2B5EF4-FFF2-40B4-BE49-F238E27FC236}">
              <a16:creationId xmlns:a16="http://schemas.microsoft.com/office/drawing/2014/main" id="{E6CDAD7D-24A7-40D8-B3F7-D17F45EABE6E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569</xdr:row>
      <xdr:rowOff>0</xdr:rowOff>
    </xdr:from>
    <xdr:to>
      <xdr:col>11</xdr:col>
      <xdr:colOff>83820</xdr:colOff>
      <xdr:row>569</xdr:row>
      <xdr:rowOff>114300</xdr:rowOff>
    </xdr:to>
    <xdr:sp macro="" textlink="">
      <xdr:nvSpPr>
        <xdr:cNvPr id="4285" name="Arrow: Down 4284">
          <a:extLst>
            <a:ext uri="{FF2B5EF4-FFF2-40B4-BE49-F238E27FC236}">
              <a16:creationId xmlns:a16="http://schemas.microsoft.com/office/drawing/2014/main" id="{A70CEE5C-90B6-4224-A24B-8462D9619356}"/>
            </a:ext>
          </a:extLst>
        </xdr:cNvPr>
        <xdr:cNvSpPr/>
      </xdr:nvSpPr>
      <xdr:spPr>
        <a:xfrm rot="10800000">
          <a:off x="36957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569</xdr:row>
      <xdr:rowOff>0</xdr:rowOff>
    </xdr:from>
    <xdr:to>
      <xdr:col>5</xdr:col>
      <xdr:colOff>83820</xdr:colOff>
      <xdr:row>569</xdr:row>
      <xdr:rowOff>114300</xdr:rowOff>
    </xdr:to>
    <xdr:sp macro="" textlink="">
      <xdr:nvSpPr>
        <xdr:cNvPr id="4286" name="Arrow: Down 4285">
          <a:extLst>
            <a:ext uri="{FF2B5EF4-FFF2-40B4-BE49-F238E27FC236}">
              <a16:creationId xmlns:a16="http://schemas.microsoft.com/office/drawing/2014/main" id="{068472AF-BDAA-40FB-92E0-D2AE79E8F4CE}"/>
            </a:ext>
          </a:extLst>
        </xdr:cNvPr>
        <xdr:cNvSpPr/>
      </xdr:nvSpPr>
      <xdr:spPr>
        <a:xfrm rot="10800000">
          <a:off x="192786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569</xdr:row>
      <xdr:rowOff>0</xdr:rowOff>
    </xdr:from>
    <xdr:to>
      <xdr:col>24</xdr:col>
      <xdr:colOff>83820</xdr:colOff>
      <xdr:row>569</xdr:row>
      <xdr:rowOff>114300</xdr:rowOff>
    </xdr:to>
    <xdr:sp macro="" textlink="">
      <xdr:nvSpPr>
        <xdr:cNvPr id="4287" name="Arrow: Down 4286">
          <a:extLst>
            <a:ext uri="{FF2B5EF4-FFF2-40B4-BE49-F238E27FC236}">
              <a16:creationId xmlns:a16="http://schemas.microsoft.com/office/drawing/2014/main" id="{25C29B6A-9E8F-46AF-A70F-0FF05C830FDA}"/>
            </a:ext>
          </a:extLst>
        </xdr:cNvPr>
        <xdr:cNvSpPr/>
      </xdr:nvSpPr>
      <xdr:spPr>
        <a:xfrm rot="10800000">
          <a:off x="83362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569</xdr:row>
      <xdr:rowOff>0</xdr:rowOff>
    </xdr:from>
    <xdr:to>
      <xdr:col>45</xdr:col>
      <xdr:colOff>83820</xdr:colOff>
      <xdr:row>569</xdr:row>
      <xdr:rowOff>114300</xdr:rowOff>
    </xdr:to>
    <xdr:sp macro="" textlink="">
      <xdr:nvSpPr>
        <xdr:cNvPr id="4289" name="Arrow: Down 4288">
          <a:extLst>
            <a:ext uri="{FF2B5EF4-FFF2-40B4-BE49-F238E27FC236}">
              <a16:creationId xmlns:a16="http://schemas.microsoft.com/office/drawing/2014/main" id="{87274945-84B6-4FAF-8AAE-8CBDCF73C8E5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569</xdr:row>
      <xdr:rowOff>0</xdr:rowOff>
    </xdr:from>
    <xdr:to>
      <xdr:col>71</xdr:col>
      <xdr:colOff>83820</xdr:colOff>
      <xdr:row>569</xdr:row>
      <xdr:rowOff>114300</xdr:rowOff>
    </xdr:to>
    <xdr:sp macro="" textlink="">
      <xdr:nvSpPr>
        <xdr:cNvPr id="4291" name="Arrow: Down 4290">
          <a:extLst>
            <a:ext uri="{FF2B5EF4-FFF2-40B4-BE49-F238E27FC236}">
              <a16:creationId xmlns:a16="http://schemas.microsoft.com/office/drawing/2014/main" id="{FF7876DD-B0A1-4894-BEB1-4BBA5B3122F2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568</xdr:row>
      <xdr:rowOff>0</xdr:rowOff>
    </xdr:from>
    <xdr:to>
      <xdr:col>11</xdr:col>
      <xdr:colOff>83820</xdr:colOff>
      <xdr:row>568</xdr:row>
      <xdr:rowOff>114300</xdr:rowOff>
    </xdr:to>
    <xdr:sp macro="" textlink="">
      <xdr:nvSpPr>
        <xdr:cNvPr id="4292" name="Arrow: Down 4291">
          <a:extLst>
            <a:ext uri="{FF2B5EF4-FFF2-40B4-BE49-F238E27FC236}">
              <a16:creationId xmlns:a16="http://schemas.microsoft.com/office/drawing/2014/main" id="{39CF9B9E-49C1-4778-BBE4-5DF3A016EE10}"/>
            </a:ext>
          </a:extLst>
        </xdr:cNvPr>
        <xdr:cNvSpPr/>
      </xdr:nvSpPr>
      <xdr:spPr>
        <a:xfrm>
          <a:off x="369570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568</xdr:row>
      <xdr:rowOff>0</xdr:rowOff>
    </xdr:from>
    <xdr:to>
      <xdr:col>5</xdr:col>
      <xdr:colOff>83820</xdr:colOff>
      <xdr:row>568</xdr:row>
      <xdr:rowOff>114300</xdr:rowOff>
    </xdr:to>
    <xdr:sp macro="" textlink="">
      <xdr:nvSpPr>
        <xdr:cNvPr id="4293" name="Arrow: Down 4292">
          <a:extLst>
            <a:ext uri="{FF2B5EF4-FFF2-40B4-BE49-F238E27FC236}">
              <a16:creationId xmlns:a16="http://schemas.microsoft.com/office/drawing/2014/main" id="{D9CC3FA4-27AD-44C4-A219-D2401EAD2D14}"/>
            </a:ext>
          </a:extLst>
        </xdr:cNvPr>
        <xdr:cNvSpPr/>
      </xdr:nvSpPr>
      <xdr:spPr>
        <a:xfrm>
          <a:off x="192786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569</xdr:row>
      <xdr:rowOff>0</xdr:rowOff>
    </xdr:from>
    <xdr:to>
      <xdr:col>39</xdr:col>
      <xdr:colOff>83820</xdr:colOff>
      <xdr:row>569</xdr:row>
      <xdr:rowOff>114300</xdr:rowOff>
    </xdr:to>
    <xdr:sp macro="" textlink="">
      <xdr:nvSpPr>
        <xdr:cNvPr id="4295" name="Arrow: Down 4294">
          <a:extLst>
            <a:ext uri="{FF2B5EF4-FFF2-40B4-BE49-F238E27FC236}">
              <a16:creationId xmlns:a16="http://schemas.microsoft.com/office/drawing/2014/main" id="{000F8D7E-9367-49A7-B26A-E9C6E91323D0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569</xdr:row>
      <xdr:rowOff>0</xdr:rowOff>
    </xdr:from>
    <xdr:to>
      <xdr:col>60</xdr:col>
      <xdr:colOff>83820</xdr:colOff>
      <xdr:row>569</xdr:row>
      <xdr:rowOff>114300</xdr:rowOff>
    </xdr:to>
    <xdr:sp macro="" textlink="">
      <xdr:nvSpPr>
        <xdr:cNvPr id="4296" name="Arrow: Down 4295">
          <a:extLst>
            <a:ext uri="{FF2B5EF4-FFF2-40B4-BE49-F238E27FC236}">
              <a16:creationId xmlns:a16="http://schemas.microsoft.com/office/drawing/2014/main" id="{A1359AED-7DF6-485B-879B-1FEE896F8390}"/>
            </a:ext>
          </a:extLst>
        </xdr:cNvPr>
        <xdr:cNvSpPr/>
      </xdr:nvSpPr>
      <xdr:spPr>
        <a:xfrm rot="10800000">
          <a:off x="190804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570</xdr:row>
      <xdr:rowOff>0</xdr:rowOff>
    </xdr:from>
    <xdr:to>
      <xdr:col>45</xdr:col>
      <xdr:colOff>83820</xdr:colOff>
      <xdr:row>570</xdr:row>
      <xdr:rowOff>114300</xdr:rowOff>
    </xdr:to>
    <xdr:sp macro="" textlink="">
      <xdr:nvSpPr>
        <xdr:cNvPr id="4110" name="Arrow: Down 4109">
          <a:extLst>
            <a:ext uri="{FF2B5EF4-FFF2-40B4-BE49-F238E27FC236}">
              <a16:creationId xmlns:a16="http://schemas.microsoft.com/office/drawing/2014/main" id="{BF9AFE3C-2C0E-4C21-A8BA-47806C9AAA7F}"/>
            </a:ext>
          </a:extLst>
        </xdr:cNvPr>
        <xdr:cNvSpPr/>
      </xdr:nvSpPr>
      <xdr:spPr>
        <a:xfrm>
          <a:off x="134035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570</xdr:row>
      <xdr:rowOff>0</xdr:rowOff>
    </xdr:from>
    <xdr:to>
      <xdr:col>39</xdr:col>
      <xdr:colOff>83820</xdr:colOff>
      <xdr:row>570</xdr:row>
      <xdr:rowOff>114300</xdr:rowOff>
    </xdr:to>
    <xdr:sp macro="" textlink="">
      <xdr:nvSpPr>
        <xdr:cNvPr id="4185" name="Arrow: Down 4184">
          <a:extLst>
            <a:ext uri="{FF2B5EF4-FFF2-40B4-BE49-F238E27FC236}">
              <a16:creationId xmlns:a16="http://schemas.microsoft.com/office/drawing/2014/main" id="{FF46476E-1350-4955-A37E-A138353248FC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570</xdr:row>
      <xdr:rowOff>0</xdr:rowOff>
    </xdr:from>
    <xdr:to>
      <xdr:col>71</xdr:col>
      <xdr:colOff>83820</xdr:colOff>
      <xdr:row>570</xdr:row>
      <xdr:rowOff>114300</xdr:rowOff>
    </xdr:to>
    <xdr:sp macro="" textlink="">
      <xdr:nvSpPr>
        <xdr:cNvPr id="4227" name="Arrow: Down 4226">
          <a:extLst>
            <a:ext uri="{FF2B5EF4-FFF2-40B4-BE49-F238E27FC236}">
              <a16:creationId xmlns:a16="http://schemas.microsoft.com/office/drawing/2014/main" id="{1A5C9C09-C626-4B23-868E-9809FC2F6E71}"/>
            </a:ext>
          </a:extLst>
        </xdr:cNvPr>
        <xdr:cNvSpPr/>
      </xdr:nvSpPr>
      <xdr:spPr>
        <a:xfrm rot="10800000">
          <a:off x="2180082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570</xdr:row>
      <xdr:rowOff>0</xdr:rowOff>
    </xdr:from>
    <xdr:to>
      <xdr:col>60</xdr:col>
      <xdr:colOff>83820</xdr:colOff>
      <xdr:row>570</xdr:row>
      <xdr:rowOff>114300</xdr:rowOff>
    </xdr:to>
    <xdr:sp macro="" textlink="">
      <xdr:nvSpPr>
        <xdr:cNvPr id="4257" name="Arrow: Down 4256">
          <a:extLst>
            <a:ext uri="{FF2B5EF4-FFF2-40B4-BE49-F238E27FC236}">
              <a16:creationId xmlns:a16="http://schemas.microsoft.com/office/drawing/2014/main" id="{648FA730-227B-44FF-B5B7-F8F7D9CEA6F9}"/>
            </a:ext>
          </a:extLst>
        </xdr:cNvPr>
        <xdr:cNvSpPr/>
      </xdr:nvSpPr>
      <xdr:spPr>
        <a:xfrm rot="10800000">
          <a:off x="190804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570</xdr:row>
      <xdr:rowOff>0</xdr:rowOff>
    </xdr:from>
    <xdr:to>
      <xdr:col>5</xdr:col>
      <xdr:colOff>83820</xdr:colOff>
      <xdr:row>570</xdr:row>
      <xdr:rowOff>114300</xdr:rowOff>
    </xdr:to>
    <xdr:sp macro="" textlink="">
      <xdr:nvSpPr>
        <xdr:cNvPr id="4265" name="Arrow: Down 4264">
          <a:extLst>
            <a:ext uri="{FF2B5EF4-FFF2-40B4-BE49-F238E27FC236}">
              <a16:creationId xmlns:a16="http://schemas.microsoft.com/office/drawing/2014/main" id="{B3F0CCE2-BA90-4DFD-BAFA-2B72252E57A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570</xdr:row>
      <xdr:rowOff>0</xdr:rowOff>
    </xdr:from>
    <xdr:to>
      <xdr:col>11</xdr:col>
      <xdr:colOff>83820</xdr:colOff>
      <xdr:row>570</xdr:row>
      <xdr:rowOff>114300</xdr:rowOff>
    </xdr:to>
    <xdr:sp macro="" textlink="">
      <xdr:nvSpPr>
        <xdr:cNvPr id="4275" name="Arrow: Down 4274">
          <a:extLst>
            <a:ext uri="{FF2B5EF4-FFF2-40B4-BE49-F238E27FC236}">
              <a16:creationId xmlns:a16="http://schemas.microsoft.com/office/drawing/2014/main" id="{94969366-CC5F-42C6-A916-525E56D177E1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570</xdr:row>
      <xdr:rowOff>0</xdr:rowOff>
    </xdr:from>
    <xdr:to>
      <xdr:col>24</xdr:col>
      <xdr:colOff>83820</xdr:colOff>
      <xdr:row>570</xdr:row>
      <xdr:rowOff>114300</xdr:rowOff>
    </xdr:to>
    <xdr:sp macro="" textlink="">
      <xdr:nvSpPr>
        <xdr:cNvPr id="4290" name="Arrow: Down 4289">
          <a:extLst>
            <a:ext uri="{FF2B5EF4-FFF2-40B4-BE49-F238E27FC236}">
              <a16:creationId xmlns:a16="http://schemas.microsoft.com/office/drawing/2014/main" id="{D229A583-9790-4063-8738-5CA0E543662B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571</xdr:row>
      <xdr:rowOff>0</xdr:rowOff>
    </xdr:from>
    <xdr:to>
      <xdr:col>45</xdr:col>
      <xdr:colOff>83820</xdr:colOff>
      <xdr:row>571</xdr:row>
      <xdr:rowOff>114300</xdr:rowOff>
    </xdr:to>
    <xdr:sp macro="" textlink="">
      <xdr:nvSpPr>
        <xdr:cNvPr id="4294" name="Arrow: Down 4293">
          <a:extLst>
            <a:ext uri="{FF2B5EF4-FFF2-40B4-BE49-F238E27FC236}">
              <a16:creationId xmlns:a16="http://schemas.microsoft.com/office/drawing/2014/main" id="{00C5189E-8114-4991-B758-1C09F8C2EFD4}"/>
            </a:ext>
          </a:extLst>
        </xdr:cNvPr>
        <xdr:cNvSpPr/>
      </xdr:nvSpPr>
      <xdr:spPr>
        <a:xfrm>
          <a:off x="134035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571</xdr:row>
      <xdr:rowOff>0</xdr:rowOff>
    </xdr:from>
    <xdr:to>
      <xdr:col>5</xdr:col>
      <xdr:colOff>83820</xdr:colOff>
      <xdr:row>571</xdr:row>
      <xdr:rowOff>114300</xdr:rowOff>
    </xdr:to>
    <xdr:sp macro="" textlink="">
      <xdr:nvSpPr>
        <xdr:cNvPr id="4300" name="Arrow: Down 4299">
          <a:extLst>
            <a:ext uri="{FF2B5EF4-FFF2-40B4-BE49-F238E27FC236}">
              <a16:creationId xmlns:a16="http://schemas.microsoft.com/office/drawing/2014/main" id="{04738A73-C770-420B-A4E1-CE01BCE0392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571</xdr:row>
      <xdr:rowOff>0</xdr:rowOff>
    </xdr:from>
    <xdr:to>
      <xdr:col>11</xdr:col>
      <xdr:colOff>83820</xdr:colOff>
      <xdr:row>571</xdr:row>
      <xdr:rowOff>114300</xdr:rowOff>
    </xdr:to>
    <xdr:sp macro="" textlink="">
      <xdr:nvSpPr>
        <xdr:cNvPr id="4301" name="Arrow: Down 4300">
          <a:extLst>
            <a:ext uri="{FF2B5EF4-FFF2-40B4-BE49-F238E27FC236}">
              <a16:creationId xmlns:a16="http://schemas.microsoft.com/office/drawing/2014/main" id="{9F66B826-4002-4E58-A810-834B48526540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571</xdr:row>
      <xdr:rowOff>0</xdr:rowOff>
    </xdr:from>
    <xdr:to>
      <xdr:col>24</xdr:col>
      <xdr:colOff>83820</xdr:colOff>
      <xdr:row>571</xdr:row>
      <xdr:rowOff>114300</xdr:rowOff>
    </xdr:to>
    <xdr:sp macro="" textlink="">
      <xdr:nvSpPr>
        <xdr:cNvPr id="4302" name="Arrow: Down 4301">
          <a:extLst>
            <a:ext uri="{FF2B5EF4-FFF2-40B4-BE49-F238E27FC236}">
              <a16:creationId xmlns:a16="http://schemas.microsoft.com/office/drawing/2014/main" id="{7DC0780B-0143-4065-AF3F-FB2F1CB94366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571</xdr:row>
      <xdr:rowOff>0</xdr:rowOff>
    </xdr:from>
    <xdr:to>
      <xdr:col>39</xdr:col>
      <xdr:colOff>83820</xdr:colOff>
      <xdr:row>571</xdr:row>
      <xdr:rowOff>114300</xdr:rowOff>
    </xdr:to>
    <xdr:sp macro="" textlink="">
      <xdr:nvSpPr>
        <xdr:cNvPr id="4303" name="Arrow: Down 4302">
          <a:extLst>
            <a:ext uri="{FF2B5EF4-FFF2-40B4-BE49-F238E27FC236}">
              <a16:creationId xmlns:a16="http://schemas.microsoft.com/office/drawing/2014/main" id="{D77AAF3F-8933-4B90-946F-C94463C3745F}"/>
            </a:ext>
          </a:extLst>
        </xdr:cNvPr>
        <xdr:cNvSpPr/>
      </xdr:nvSpPr>
      <xdr:spPr>
        <a:xfrm>
          <a:off x="11544300" y="10452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571</xdr:row>
      <xdr:rowOff>0</xdr:rowOff>
    </xdr:from>
    <xdr:to>
      <xdr:col>71</xdr:col>
      <xdr:colOff>83820</xdr:colOff>
      <xdr:row>571</xdr:row>
      <xdr:rowOff>114300</xdr:rowOff>
    </xdr:to>
    <xdr:sp macro="" textlink="">
      <xdr:nvSpPr>
        <xdr:cNvPr id="4304" name="Arrow: Down 4303">
          <a:extLst>
            <a:ext uri="{FF2B5EF4-FFF2-40B4-BE49-F238E27FC236}">
              <a16:creationId xmlns:a16="http://schemas.microsoft.com/office/drawing/2014/main" id="{1EDD676E-C4D8-4EAC-B163-5E34640C3807}"/>
            </a:ext>
          </a:extLst>
        </xdr:cNvPr>
        <xdr:cNvSpPr/>
      </xdr:nvSpPr>
      <xdr:spPr>
        <a:xfrm>
          <a:off x="2180082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571</xdr:row>
      <xdr:rowOff>0</xdr:rowOff>
    </xdr:from>
    <xdr:to>
      <xdr:col>60</xdr:col>
      <xdr:colOff>83820</xdr:colOff>
      <xdr:row>571</xdr:row>
      <xdr:rowOff>114300</xdr:rowOff>
    </xdr:to>
    <xdr:sp macro="" textlink="">
      <xdr:nvSpPr>
        <xdr:cNvPr id="4306" name="Arrow: Down 4305">
          <a:extLst>
            <a:ext uri="{FF2B5EF4-FFF2-40B4-BE49-F238E27FC236}">
              <a16:creationId xmlns:a16="http://schemas.microsoft.com/office/drawing/2014/main" id="{8E14B01E-1FF3-408C-9354-052C1A5F1734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572</xdr:row>
      <xdr:rowOff>0</xdr:rowOff>
    </xdr:from>
    <xdr:to>
      <xdr:col>71</xdr:col>
      <xdr:colOff>83820</xdr:colOff>
      <xdr:row>572</xdr:row>
      <xdr:rowOff>114300</xdr:rowOff>
    </xdr:to>
    <xdr:sp macro="" textlink="">
      <xdr:nvSpPr>
        <xdr:cNvPr id="4312" name="Arrow: Down 4311">
          <a:extLst>
            <a:ext uri="{FF2B5EF4-FFF2-40B4-BE49-F238E27FC236}">
              <a16:creationId xmlns:a16="http://schemas.microsoft.com/office/drawing/2014/main" id="{11710177-71D1-4175-B255-6CD123A0FFB2}"/>
            </a:ext>
          </a:extLst>
        </xdr:cNvPr>
        <xdr:cNvSpPr/>
      </xdr:nvSpPr>
      <xdr:spPr>
        <a:xfrm>
          <a:off x="2180082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572</xdr:row>
      <xdr:rowOff>0</xdr:rowOff>
    </xdr:from>
    <xdr:to>
      <xdr:col>60</xdr:col>
      <xdr:colOff>83820</xdr:colOff>
      <xdr:row>572</xdr:row>
      <xdr:rowOff>114300</xdr:rowOff>
    </xdr:to>
    <xdr:sp macro="" textlink="">
      <xdr:nvSpPr>
        <xdr:cNvPr id="4313" name="Arrow: Down 4312">
          <a:extLst>
            <a:ext uri="{FF2B5EF4-FFF2-40B4-BE49-F238E27FC236}">
              <a16:creationId xmlns:a16="http://schemas.microsoft.com/office/drawing/2014/main" id="{5D715DCA-9D1F-436F-800E-DBA013F43345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572</xdr:row>
      <xdr:rowOff>0</xdr:rowOff>
    </xdr:from>
    <xdr:to>
      <xdr:col>11</xdr:col>
      <xdr:colOff>83820</xdr:colOff>
      <xdr:row>572</xdr:row>
      <xdr:rowOff>114300</xdr:rowOff>
    </xdr:to>
    <xdr:sp macro="" textlink="">
      <xdr:nvSpPr>
        <xdr:cNvPr id="4314" name="Arrow: Down 4313">
          <a:extLst>
            <a:ext uri="{FF2B5EF4-FFF2-40B4-BE49-F238E27FC236}">
              <a16:creationId xmlns:a16="http://schemas.microsoft.com/office/drawing/2014/main" id="{1402CF84-4D5A-4505-9756-E0B79AD8B87E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572</xdr:row>
      <xdr:rowOff>0</xdr:rowOff>
    </xdr:from>
    <xdr:to>
      <xdr:col>5</xdr:col>
      <xdr:colOff>83820</xdr:colOff>
      <xdr:row>572</xdr:row>
      <xdr:rowOff>114300</xdr:rowOff>
    </xdr:to>
    <xdr:sp macro="" textlink="">
      <xdr:nvSpPr>
        <xdr:cNvPr id="4315" name="Arrow: Down 4314">
          <a:extLst>
            <a:ext uri="{FF2B5EF4-FFF2-40B4-BE49-F238E27FC236}">
              <a16:creationId xmlns:a16="http://schemas.microsoft.com/office/drawing/2014/main" id="{301467C9-3C90-4A14-982C-7E260C31E6EC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572</xdr:row>
      <xdr:rowOff>0</xdr:rowOff>
    </xdr:from>
    <xdr:to>
      <xdr:col>24</xdr:col>
      <xdr:colOff>83820</xdr:colOff>
      <xdr:row>572</xdr:row>
      <xdr:rowOff>114300</xdr:rowOff>
    </xdr:to>
    <xdr:sp macro="" textlink="">
      <xdr:nvSpPr>
        <xdr:cNvPr id="4317" name="Arrow: Down 4316">
          <a:extLst>
            <a:ext uri="{FF2B5EF4-FFF2-40B4-BE49-F238E27FC236}">
              <a16:creationId xmlns:a16="http://schemas.microsoft.com/office/drawing/2014/main" id="{BF777BD3-E75C-4B96-8F1F-F65F77C2BC49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572</xdr:row>
      <xdr:rowOff>0</xdr:rowOff>
    </xdr:from>
    <xdr:to>
      <xdr:col>39</xdr:col>
      <xdr:colOff>83820</xdr:colOff>
      <xdr:row>572</xdr:row>
      <xdr:rowOff>114300</xdr:rowOff>
    </xdr:to>
    <xdr:sp macro="" textlink="">
      <xdr:nvSpPr>
        <xdr:cNvPr id="4318" name="Arrow: Down 4317">
          <a:extLst>
            <a:ext uri="{FF2B5EF4-FFF2-40B4-BE49-F238E27FC236}">
              <a16:creationId xmlns:a16="http://schemas.microsoft.com/office/drawing/2014/main" id="{1674D12F-6C50-4507-BE00-AEE0C09B3E41}"/>
            </a:ext>
          </a:extLst>
        </xdr:cNvPr>
        <xdr:cNvSpPr/>
      </xdr:nvSpPr>
      <xdr:spPr>
        <a:xfrm rot="10800000">
          <a:off x="1154430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572</xdr:row>
      <xdr:rowOff>0</xdr:rowOff>
    </xdr:from>
    <xdr:to>
      <xdr:col>45</xdr:col>
      <xdr:colOff>83820</xdr:colOff>
      <xdr:row>572</xdr:row>
      <xdr:rowOff>114300</xdr:rowOff>
    </xdr:to>
    <xdr:sp macro="" textlink="">
      <xdr:nvSpPr>
        <xdr:cNvPr id="4320" name="Arrow: Down 4319">
          <a:extLst>
            <a:ext uri="{FF2B5EF4-FFF2-40B4-BE49-F238E27FC236}">
              <a16:creationId xmlns:a16="http://schemas.microsoft.com/office/drawing/2014/main" id="{C9491980-0966-42FE-BCEB-D88DAB8AF6B2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573</xdr:row>
      <xdr:rowOff>0</xdr:rowOff>
    </xdr:from>
    <xdr:to>
      <xdr:col>11</xdr:col>
      <xdr:colOff>83820</xdr:colOff>
      <xdr:row>573</xdr:row>
      <xdr:rowOff>114300</xdr:rowOff>
    </xdr:to>
    <xdr:sp macro="" textlink="">
      <xdr:nvSpPr>
        <xdr:cNvPr id="4323" name="Arrow: Down 4322">
          <a:extLst>
            <a:ext uri="{FF2B5EF4-FFF2-40B4-BE49-F238E27FC236}">
              <a16:creationId xmlns:a16="http://schemas.microsoft.com/office/drawing/2014/main" id="{88CB13CC-42EF-4F46-A1B8-F49D03AED917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573</xdr:row>
      <xdr:rowOff>0</xdr:rowOff>
    </xdr:from>
    <xdr:to>
      <xdr:col>5</xdr:col>
      <xdr:colOff>83820</xdr:colOff>
      <xdr:row>573</xdr:row>
      <xdr:rowOff>114300</xdr:rowOff>
    </xdr:to>
    <xdr:sp macro="" textlink="">
      <xdr:nvSpPr>
        <xdr:cNvPr id="4324" name="Arrow: Down 4323">
          <a:extLst>
            <a:ext uri="{FF2B5EF4-FFF2-40B4-BE49-F238E27FC236}">
              <a16:creationId xmlns:a16="http://schemas.microsoft.com/office/drawing/2014/main" id="{FED33F04-A8FC-4C2A-90E8-92A78B34D1D0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573</xdr:row>
      <xdr:rowOff>0</xdr:rowOff>
    </xdr:from>
    <xdr:to>
      <xdr:col>24</xdr:col>
      <xdr:colOff>83820</xdr:colOff>
      <xdr:row>573</xdr:row>
      <xdr:rowOff>114300</xdr:rowOff>
    </xdr:to>
    <xdr:sp macro="" textlink="">
      <xdr:nvSpPr>
        <xdr:cNvPr id="4325" name="Arrow: Down 4324">
          <a:extLst>
            <a:ext uri="{FF2B5EF4-FFF2-40B4-BE49-F238E27FC236}">
              <a16:creationId xmlns:a16="http://schemas.microsoft.com/office/drawing/2014/main" id="{439C9AB4-73C6-4B9B-9025-DDD2A58EAAB8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573</xdr:row>
      <xdr:rowOff>0</xdr:rowOff>
    </xdr:from>
    <xdr:to>
      <xdr:col>45</xdr:col>
      <xdr:colOff>83820</xdr:colOff>
      <xdr:row>573</xdr:row>
      <xdr:rowOff>114300</xdr:rowOff>
    </xdr:to>
    <xdr:sp macro="" textlink="">
      <xdr:nvSpPr>
        <xdr:cNvPr id="4327" name="Arrow: Down 4326">
          <a:extLst>
            <a:ext uri="{FF2B5EF4-FFF2-40B4-BE49-F238E27FC236}">
              <a16:creationId xmlns:a16="http://schemas.microsoft.com/office/drawing/2014/main" id="{4C9B70FA-2A25-49B0-81F7-2C34AA73B4B3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573</xdr:row>
      <xdr:rowOff>0</xdr:rowOff>
    </xdr:from>
    <xdr:to>
      <xdr:col>39</xdr:col>
      <xdr:colOff>83820</xdr:colOff>
      <xdr:row>573</xdr:row>
      <xdr:rowOff>114300</xdr:rowOff>
    </xdr:to>
    <xdr:sp macro="" textlink="">
      <xdr:nvSpPr>
        <xdr:cNvPr id="4328" name="Arrow: Down 4327">
          <a:extLst>
            <a:ext uri="{FF2B5EF4-FFF2-40B4-BE49-F238E27FC236}">
              <a16:creationId xmlns:a16="http://schemas.microsoft.com/office/drawing/2014/main" id="{35A3F5C4-E35F-4A99-AD44-7A032E414198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573</xdr:row>
      <xdr:rowOff>0</xdr:rowOff>
    </xdr:from>
    <xdr:to>
      <xdr:col>60</xdr:col>
      <xdr:colOff>83820</xdr:colOff>
      <xdr:row>573</xdr:row>
      <xdr:rowOff>114300</xdr:rowOff>
    </xdr:to>
    <xdr:sp macro="" textlink="">
      <xdr:nvSpPr>
        <xdr:cNvPr id="4329" name="Arrow: Down 4328">
          <a:extLst>
            <a:ext uri="{FF2B5EF4-FFF2-40B4-BE49-F238E27FC236}">
              <a16:creationId xmlns:a16="http://schemas.microsoft.com/office/drawing/2014/main" id="{EA8479D5-4171-477D-8251-8D8DABAA98A0}"/>
            </a:ext>
          </a:extLst>
        </xdr:cNvPr>
        <xdr:cNvSpPr/>
      </xdr:nvSpPr>
      <xdr:spPr>
        <a:xfrm rot="10800000">
          <a:off x="190804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573</xdr:row>
      <xdr:rowOff>0</xdr:rowOff>
    </xdr:from>
    <xdr:to>
      <xdr:col>71</xdr:col>
      <xdr:colOff>83820</xdr:colOff>
      <xdr:row>573</xdr:row>
      <xdr:rowOff>114300</xdr:rowOff>
    </xdr:to>
    <xdr:sp macro="" textlink="">
      <xdr:nvSpPr>
        <xdr:cNvPr id="4330" name="Arrow: Down 4329">
          <a:extLst>
            <a:ext uri="{FF2B5EF4-FFF2-40B4-BE49-F238E27FC236}">
              <a16:creationId xmlns:a16="http://schemas.microsoft.com/office/drawing/2014/main" id="{57AA132E-A777-499F-9B55-E9715BB0B0E8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574</xdr:row>
      <xdr:rowOff>0</xdr:rowOff>
    </xdr:from>
    <xdr:to>
      <xdr:col>11</xdr:col>
      <xdr:colOff>83820</xdr:colOff>
      <xdr:row>574</xdr:row>
      <xdr:rowOff>114300</xdr:rowOff>
    </xdr:to>
    <xdr:sp macro="" textlink="">
      <xdr:nvSpPr>
        <xdr:cNvPr id="4331" name="Arrow: Down 4330">
          <a:extLst>
            <a:ext uri="{FF2B5EF4-FFF2-40B4-BE49-F238E27FC236}">
              <a16:creationId xmlns:a16="http://schemas.microsoft.com/office/drawing/2014/main" id="{C3A0E379-16DE-4569-BDAD-A0F2E51A6B04}"/>
            </a:ext>
          </a:extLst>
        </xdr:cNvPr>
        <xdr:cNvSpPr/>
      </xdr:nvSpPr>
      <xdr:spPr>
        <a:xfrm rot="10800000">
          <a:off x="36957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574</xdr:row>
      <xdr:rowOff>0</xdr:rowOff>
    </xdr:from>
    <xdr:to>
      <xdr:col>5</xdr:col>
      <xdr:colOff>83820</xdr:colOff>
      <xdr:row>574</xdr:row>
      <xdr:rowOff>114300</xdr:rowOff>
    </xdr:to>
    <xdr:sp macro="" textlink="">
      <xdr:nvSpPr>
        <xdr:cNvPr id="4332" name="Arrow: Down 4331">
          <a:extLst>
            <a:ext uri="{FF2B5EF4-FFF2-40B4-BE49-F238E27FC236}">
              <a16:creationId xmlns:a16="http://schemas.microsoft.com/office/drawing/2014/main" id="{050A156A-57EE-4637-B944-13E8A0780AD5}"/>
            </a:ext>
          </a:extLst>
        </xdr:cNvPr>
        <xdr:cNvSpPr/>
      </xdr:nvSpPr>
      <xdr:spPr>
        <a:xfrm rot="10800000">
          <a:off x="192786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574</xdr:row>
      <xdr:rowOff>0</xdr:rowOff>
    </xdr:from>
    <xdr:to>
      <xdr:col>24</xdr:col>
      <xdr:colOff>83820</xdr:colOff>
      <xdr:row>574</xdr:row>
      <xdr:rowOff>114300</xdr:rowOff>
    </xdr:to>
    <xdr:sp macro="" textlink="">
      <xdr:nvSpPr>
        <xdr:cNvPr id="4333" name="Arrow: Down 4332">
          <a:extLst>
            <a:ext uri="{FF2B5EF4-FFF2-40B4-BE49-F238E27FC236}">
              <a16:creationId xmlns:a16="http://schemas.microsoft.com/office/drawing/2014/main" id="{F22BB1BA-FEC0-4B71-808A-8C26F9DD32AC}"/>
            </a:ext>
          </a:extLst>
        </xdr:cNvPr>
        <xdr:cNvSpPr/>
      </xdr:nvSpPr>
      <xdr:spPr>
        <a:xfrm rot="10800000">
          <a:off x="83362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574</xdr:row>
      <xdr:rowOff>0</xdr:rowOff>
    </xdr:from>
    <xdr:to>
      <xdr:col>45</xdr:col>
      <xdr:colOff>83820</xdr:colOff>
      <xdr:row>574</xdr:row>
      <xdr:rowOff>114300</xdr:rowOff>
    </xdr:to>
    <xdr:sp macro="" textlink="">
      <xdr:nvSpPr>
        <xdr:cNvPr id="4334" name="Arrow: Down 4333">
          <a:extLst>
            <a:ext uri="{FF2B5EF4-FFF2-40B4-BE49-F238E27FC236}">
              <a16:creationId xmlns:a16="http://schemas.microsoft.com/office/drawing/2014/main" id="{2382DDA1-D5C2-408C-9669-43898D080484}"/>
            </a:ext>
          </a:extLst>
        </xdr:cNvPr>
        <xdr:cNvSpPr/>
      </xdr:nvSpPr>
      <xdr:spPr>
        <a:xfrm rot="10800000">
          <a:off x="13403580" y="10488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574</xdr:row>
      <xdr:rowOff>0</xdr:rowOff>
    </xdr:from>
    <xdr:to>
      <xdr:col>39</xdr:col>
      <xdr:colOff>83820</xdr:colOff>
      <xdr:row>574</xdr:row>
      <xdr:rowOff>114300</xdr:rowOff>
    </xdr:to>
    <xdr:sp macro="" textlink="">
      <xdr:nvSpPr>
        <xdr:cNvPr id="4335" name="Arrow: Down 4334">
          <a:extLst>
            <a:ext uri="{FF2B5EF4-FFF2-40B4-BE49-F238E27FC236}">
              <a16:creationId xmlns:a16="http://schemas.microsoft.com/office/drawing/2014/main" id="{B24EE01A-60B9-4380-A82A-C002289EF011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574</xdr:row>
      <xdr:rowOff>0</xdr:rowOff>
    </xdr:from>
    <xdr:to>
      <xdr:col>71</xdr:col>
      <xdr:colOff>83820</xdr:colOff>
      <xdr:row>574</xdr:row>
      <xdr:rowOff>114300</xdr:rowOff>
    </xdr:to>
    <xdr:sp macro="" textlink="">
      <xdr:nvSpPr>
        <xdr:cNvPr id="4337" name="Arrow: Down 4336">
          <a:extLst>
            <a:ext uri="{FF2B5EF4-FFF2-40B4-BE49-F238E27FC236}">
              <a16:creationId xmlns:a16="http://schemas.microsoft.com/office/drawing/2014/main" id="{DEDAF4D3-AA28-4F1E-886C-68793B735386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574</xdr:row>
      <xdr:rowOff>0</xdr:rowOff>
    </xdr:from>
    <xdr:to>
      <xdr:col>60</xdr:col>
      <xdr:colOff>83820</xdr:colOff>
      <xdr:row>574</xdr:row>
      <xdr:rowOff>114300</xdr:rowOff>
    </xdr:to>
    <xdr:sp macro="" textlink="">
      <xdr:nvSpPr>
        <xdr:cNvPr id="4338" name="Arrow: Down 4337">
          <a:extLst>
            <a:ext uri="{FF2B5EF4-FFF2-40B4-BE49-F238E27FC236}">
              <a16:creationId xmlns:a16="http://schemas.microsoft.com/office/drawing/2014/main" id="{2EA0EF67-56D5-46DF-80FC-3D0125216242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575</xdr:row>
      <xdr:rowOff>0</xdr:rowOff>
    </xdr:from>
    <xdr:to>
      <xdr:col>11</xdr:col>
      <xdr:colOff>83820</xdr:colOff>
      <xdr:row>575</xdr:row>
      <xdr:rowOff>114300</xdr:rowOff>
    </xdr:to>
    <xdr:sp macro="" textlink="">
      <xdr:nvSpPr>
        <xdr:cNvPr id="4088" name="Arrow: Down 4087">
          <a:extLst>
            <a:ext uri="{FF2B5EF4-FFF2-40B4-BE49-F238E27FC236}">
              <a16:creationId xmlns:a16="http://schemas.microsoft.com/office/drawing/2014/main" id="{07798C98-D349-4D91-A4C3-9DD185208C03}"/>
            </a:ext>
          </a:extLst>
        </xdr:cNvPr>
        <xdr:cNvSpPr/>
      </xdr:nvSpPr>
      <xdr:spPr>
        <a:xfrm rot="10800000">
          <a:off x="36957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575</xdr:row>
      <xdr:rowOff>0</xdr:rowOff>
    </xdr:from>
    <xdr:to>
      <xdr:col>5</xdr:col>
      <xdr:colOff>83820</xdr:colOff>
      <xdr:row>575</xdr:row>
      <xdr:rowOff>114300</xdr:rowOff>
    </xdr:to>
    <xdr:sp macro="" textlink="">
      <xdr:nvSpPr>
        <xdr:cNvPr id="4107" name="Arrow: Down 4106">
          <a:extLst>
            <a:ext uri="{FF2B5EF4-FFF2-40B4-BE49-F238E27FC236}">
              <a16:creationId xmlns:a16="http://schemas.microsoft.com/office/drawing/2014/main" id="{162BD30D-2ECC-4B0D-AB05-5A3C566711C6}"/>
            </a:ext>
          </a:extLst>
        </xdr:cNvPr>
        <xdr:cNvSpPr/>
      </xdr:nvSpPr>
      <xdr:spPr>
        <a:xfrm rot="10800000">
          <a:off x="192786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575</xdr:row>
      <xdr:rowOff>0</xdr:rowOff>
    </xdr:from>
    <xdr:to>
      <xdr:col>39</xdr:col>
      <xdr:colOff>83820</xdr:colOff>
      <xdr:row>575</xdr:row>
      <xdr:rowOff>114300</xdr:rowOff>
    </xdr:to>
    <xdr:sp macro="" textlink="">
      <xdr:nvSpPr>
        <xdr:cNvPr id="4210" name="Arrow: Down 4209">
          <a:extLst>
            <a:ext uri="{FF2B5EF4-FFF2-40B4-BE49-F238E27FC236}">
              <a16:creationId xmlns:a16="http://schemas.microsoft.com/office/drawing/2014/main" id="{1385F6DA-7E90-486C-98D3-4A4FA34372B8}"/>
            </a:ext>
          </a:extLst>
        </xdr:cNvPr>
        <xdr:cNvSpPr/>
      </xdr:nvSpPr>
      <xdr:spPr>
        <a:xfrm>
          <a:off x="115443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575</xdr:row>
      <xdr:rowOff>0</xdr:rowOff>
    </xdr:from>
    <xdr:to>
      <xdr:col>60</xdr:col>
      <xdr:colOff>83820</xdr:colOff>
      <xdr:row>575</xdr:row>
      <xdr:rowOff>114300</xdr:rowOff>
    </xdr:to>
    <xdr:sp macro="" textlink="">
      <xdr:nvSpPr>
        <xdr:cNvPr id="4256" name="Arrow: Down 4255">
          <a:extLst>
            <a:ext uri="{FF2B5EF4-FFF2-40B4-BE49-F238E27FC236}">
              <a16:creationId xmlns:a16="http://schemas.microsoft.com/office/drawing/2014/main" id="{60C11F50-EEF1-45DE-B8F3-1004712CA715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575</xdr:row>
      <xdr:rowOff>0</xdr:rowOff>
    </xdr:from>
    <xdr:to>
      <xdr:col>24</xdr:col>
      <xdr:colOff>83820</xdr:colOff>
      <xdr:row>575</xdr:row>
      <xdr:rowOff>114300</xdr:rowOff>
    </xdr:to>
    <xdr:sp macro="" textlink="">
      <xdr:nvSpPr>
        <xdr:cNvPr id="4263" name="Arrow: Down 4262">
          <a:extLst>
            <a:ext uri="{FF2B5EF4-FFF2-40B4-BE49-F238E27FC236}">
              <a16:creationId xmlns:a16="http://schemas.microsoft.com/office/drawing/2014/main" id="{02B81230-50EE-4B49-B68A-6CF3F708A3B8}"/>
            </a:ext>
          </a:extLst>
        </xdr:cNvPr>
        <xdr:cNvSpPr/>
      </xdr:nvSpPr>
      <xdr:spPr>
        <a:xfrm>
          <a:off x="83362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575</xdr:row>
      <xdr:rowOff>0</xdr:rowOff>
    </xdr:from>
    <xdr:to>
      <xdr:col>45</xdr:col>
      <xdr:colOff>83820</xdr:colOff>
      <xdr:row>575</xdr:row>
      <xdr:rowOff>114300</xdr:rowOff>
    </xdr:to>
    <xdr:sp macro="" textlink="">
      <xdr:nvSpPr>
        <xdr:cNvPr id="4266" name="Arrow: Down 4265">
          <a:extLst>
            <a:ext uri="{FF2B5EF4-FFF2-40B4-BE49-F238E27FC236}">
              <a16:creationId xmlns:a16="http://schemas.microsoft.com/office/drawing/2014/main" id="{FCDF13DC-B4E4-46A0-9BB2-D7777E5C47A2}"/>
            </a:ext>
          </a:extLst>
        </xdr:cNvPr>
        <xdr:cNvSpPr/>
      </xdr:nvSpPr>
      <xdr:spPr>
        <a:xfrm>
          <a:off x="13403580" y="10525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575</xdr:row>
      <xdr:rowOff>0</xdr:rowOff>
    </xdr:from>
    <xdr:to>
      <xdr:col>71</xdr:col>
      <xdr:colOff>83820</xdr:colOff>
      <xdr:row>575</xdr:row>
      <xdr:rowOff>114300</xdr:rowOff>
    </xdr:to>
    <xdr:sp macro="" textlink="">
      <xdr:nvSpPr>
        <xdr:cNvPr id="4267" name="Arrow: Down 4266">
          <a:extLst>
            <a:ext uri="{FF2B5EF4-FFF2-40B4-BE49-F238E27FC236}">
              <a16:creationId xmlns:a16="http://schemas.microsoft.com/office/drawing/2014/main" id="{3FBCDE42-FCB2-4AEF-98D8-89EC5CDECEA3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576</xdr:row>
      <xdr:rowOff>0</xdr:rowOff>
    </xdr:from>
    <xdr:to>
      <xdr:col>60</xdr:col>
      <xdr:colOff>83820</xdr:colOff>
      <xdr:row>576</xdr:row>
      <xdr:rowOff>114300</xdr:rowOff>
    </xdr:to>
    <xdr:sp macro="" textlink="">
      <xdr:nvSpPr>
        <xdr:cNvPr id="4299" name="Arrow: Down 4298">
          <a:extLst>
            <a:ext uri="{FF2B5EF4-FFF2-40B4-BE49-F238E27FC236}">
              <a16:creationId xmlns:a16="http://schemas.microsoft.com/office/drawing/2014/main" id="{3B86023A-FB62-4A3A-9DE2-0217998D4AA5}"/>
            </a:ext>
          </a:extLst>
        </xdr:cNvPr>
        <xdr:cNvSpPr/>
      </xdr:nvSpPr>
      <xdr:spPr>
        <a:xfrm>
          <a:off x="190804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576</xdr:row>
      <xdr:rowOff>0</xdr:rowOff>
    </xdr:from>
    <xdr:to>
      <xdr:col>71</xdr:col>
      <xdr:colOff>83820</xdr:colOff>
      <xdr:row>576</xdr:row>
      <xdr:rowOff>114300</xdr:rowOff>
    </xdr:to>
    <xdr:sp macro="" textlink="">
      <xdr:nvSpPr>
        <xdr:cNvPr id="4308" name="Arrow: Down 4307">
          <a:extLst>
            <a:ext uri="{FF2B5EF4-FFF2-40B4-BE49-F238E27FC236}">
              <a16:creationId xmlns:a16="http://schemas.microsoft.com/office/drawing/2014/main" id="{C79E1682-2112-49DB-B49F-D7036FAD1702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576</xdr:row>
      <xdr:rowOff>0</xdr:rowOff>
    </xdr:from>
    <xdr:to>
      <xdr:col>24</xdr:col>
      <xdr:colOff>83820</xdr:colOff>
      <xdr:row>576</xdr:row>
      <xdr:rowOff>114300</xdr:rowOff>
    </xdr:to>
    <xdr:sp macro="" textlink="">
      <xdr:nvSpPr>
        <xdr:cNvPr id="4310" name="Arrow: Down 4309">
          <a:extLst>
            <a:ext uri="{FF2B5EF4-FFF2-40B4-BE49-F238E27FC236}">
              <a16:creationId xmlns:a16="http://schemas.microsoft.com/office/drawing/2014/main" id="{E3F38425-702E-42B9-834A-E5F87AB2432F}"/>
            </a:ext>
          </a:extLst>
        </xdr:cNvPr>
        <xdr:cNvSpPr/>
      </xdr:nvSpPr>
      <xdr:spPr>
        <a:xfrm rot="10800000">
          <a:off x="8336280" y="10543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576</xdr:row>
      <xdr:rowOff>0</xdr:rowOff>
    </xdr:from>
    <xdr:to>
      <xdr:col>11</xdr:col>
      <xdr:colOff>83820</xdr:colOff>
      <xdr:row>576</xdr:row>
      <xdr:rowOff>114300</xdr:rowOff>
    </xdr:to>
    <xdr:sp macro="" textlink="">
      <xdr:nvSpPr>
        <xdr:cNvPr id="4311" name="Arrow: Down 4310">
          <a:extLst>
            <a:ext uri="{FF2B5EF4-FFF2-40B4-BE49-F238E27FC236}">
              <a16:creationId xmlns:a16="http://schemas.microsoft.com/office/drawing/2014/main" id="{82378136-28E4-41B5-A750-AF8D97187AAA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83820</xdr:colOff>
      <xdr:row>576</xdr:row>
      <xdr:rowOff>114300</xdr:rowOff>
    </xdr:to>
    <xdr:sp macro="" textlink="">
      <xdr:nvSpPr>
        <xdr:cNvPr id="4316" name="Arrow: Down 4315">
          <a:extLst>
            <a:ext uri="{FF2B5EF4-FFF2-40B4-BE49-F238E27FC236}">
              <a16:creationId xmlns:a16="http://schemas.microsoft.com/office/drawing/2014/main" id="{509148CD-7B87-4314-928A-EBF1EF1A69B4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576</xdr:row>
      <xdr:rowOff>0</xdr:rowOff>
    </xdr:from>
    <xdr:to>
      <xdr:col>39</xdr:col>
      <xdr:colOff>83820</xdr:colOff>
      <xdr:row>576</xdr:row>
      <xdr:rowOff>114300</xdr:rowOff>
    </xdr:to>
    <xdr:sp macro="" textlink="">
      <xdr:nvSpPr>
        <xdr:cNvPr id="4319" name="Arrow: Down 4318">
          <a:extLst>
            <a:ext uri="{FF2B5EF4-FFF2-40B4-BE49-F238E27FC236}">
              <a16:creationId xmlns:a16="http://schemas.microsoft.com/office/drawing/2014/main" id="{EDEACB55-1F54-4A8B-B1FD-07DFA59FFA33}"/>
            </a:ext>
          </a:extLst>
        </xdr:cNvPr>
        <xdr:cNvSpPr/>
      </xdr:nvSpPr>
      <xdr:spPr>
        <a:xfrm rot="10800000">
          <a:off x="115443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576</xdr:row>
      <xdr:rowOff>0</xdr:rowOff>
    </xdr:from>
    <xdr:to>
      <xdr:col>45</xdr:col>
      <xdr:colOff>83820</xdr:colOff>
      <xdr:row>576</xdr:row>
      <xdr:rowOff>114300</xdr:rowOff>
    </xdr:to>
    <xdr:sp macro="" textlink="">
      <xdr:nvSpPr>
        <xdr:cNvPr id="4321" name="Arrow: Down 4320">
          <a:extLst>
            <a:ext uri="{FF2B5EF4-FFF2-40B4-BE49-F238E27FC236}">
              <a16:creationId xmlns:a16="http://schemas.microsoft.com/office/drawing/2014/main" id="{1576DC4F-A074-4175-93C9-19330188A587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577</xdr:row>
      <xdr:rowOff>0</xdr:rowOff>
    </xdr:from>
    <xdr:to>
      <xdr:col>11</xdr:col>
      <xdr:colOff>83820</xdr:colOff>
      <xdr:row>577</xdr:row>
      <xdr:rowOff>114300</xdr:rowOff>
    </xdr:to>
    <xdr:sp macro="" textlink="">
      <xdr:nvSpPr>
        <xdr:cNvPr id="4339" name="Arrow: Down 4338">
          <a:extLst>
            <a:ext uri="{FF2B5EF4-FFF2-40B4-BE49-F238E27FC236}">
              <a16:creationId xmlns:a16="http://schemas.microsoft.com/office/drawing/2014/main" id="{E5DCAFC6-981C-4C44-8C23-217252E49BE6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83820</xdr:colOff>
      <xdr:row>577</xdr:row>
      <xdr:rowOff>114300</xdr:rowOff>
    </xdr:to>
    <xdr:sp macro="" textlink="">
      <xdr:nvSpPr>
        <xdr:cNvPr id="4340" name="Arrow: Down 4339">
          <a:extLst>
            <a:ext uri="{FF2B5EF4-FFF2-40B4-BE49-F238E27FC236}">
              <a16:creationId xmlns:a16="http://schemas.microsoft.com/office/drawing/2014/main" id="{3C7A6DFA-FF0D-4A8E-A59E-E6F5F38A4468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577</xdr:row>
      <xdr:rowOff>0</xdr:rowOff>
    </xdr:from>
    <xdr:to>
      <xdr:col>45</xdr:col>
      <xdr:colOff>83820</xdr:colOff>
      <xdr:row>577</xdr:row>
      <xdr:rowOff>114300</xdr:rowOff>
    </xdr:to>
    <xdr:sp macro="" textlink="">
      <xdr:nvSpPr>
        <xdr:cNvPr id="4342" name="Arrow: Down 4341">
          <a:extLst>
            <a:ext uri="{FF2B5EF4-FFF2-40B4-BE49-F238E27FC236}">
              <a16:creationId xmlns:a16="http://schemas.microsoft.com/office/drawing/2014/main" id="{67DF1D2D-99CF-44D8-8714-AEA8C9B8D7BC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577</xdr:row>
      <xdr:rowOff>0</xdr:rowOff>
    </xdr:from>
    <xdr:to>
      <xdr:col>24</xdr:col>
      <xdr:colOff>83820</xdr:colOff>
      <xdr:row>577</xdr:row>
      <xdr:rowOff>114300</xdr:rowOff>
    </xdr:to>
    <xdr:sp macro="" textlink="">
      <xdr:nvSpPr>
        <xdr:cNvPr id="4343" name="Arrow: Down 4342">
          <a:extLst>
            <a:ext uri="{FF2B5EF4-FFF2-40B4-BE49-F238E27FC236}">
              <a16:creationId xmlns:a16="http://schemas.microsoft.com/office/drawing/2014/main" id="{EC68CBC1-ACAE-4339-8FA8-DAAF9674276E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577</xdr:row>
      <xdr:rowOff>0</xdr:rowOff>
    </xdr:from>
    <xdr:to>
      <xdr:col>39</xdr:col>
      <xdr:colOff>83820</xdr:colOff>
      <xdr:row>577</xdr:row>
      <xdr:rowOff>114300</xdr:rowOff>
    </xdr:to>
    <xdr:sp macro="" textlink="">
      <xdr:nvSpPr>
        <xdr:cNvPr id="4345" name="Arrow: Down 4344">
          <a:extLst>
            <a:ext uri="{FF2B5EF4-FFF2-40B4-BE49-F238E27FC236}">
              <a16:creationId xmlns:a16="http://schemas.microsoft.com/office/drawing/2014/main" id="{A2604B32-CE01-46AC-AF59-BE283E5FA31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577</xdr:row>
      <xdr:rowOff>0</xdr:rowOff>
    </xdr:from>
    <xdr:to>
      <xdr:col>71</xdr:col>
      <xdr:colOff>83820</xdr:colOff>
      <xdr:row>577</xdr:row>
      <xdr:rowOff>114300</xdr:rowOff>
    </xdr:to>
    <xdr:sp macro="" textlink="">
      <xdr:nvSpPr>
        <xdr:cNvPr id="4347" name="Arrow: Down 4346">
          <a:extLst>
            <a:ext uri="{FF2B5EF4-FFF2-40B4-BE49-F238E27FC236}">
              <a16:creationId xmlns:a16="http://schemas.microsoft.com/office/drawing/2014/main" id="{0BFA5CD9-2CFC-4F56-9F0F-2EBFC962F842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577</xdr:row>
      <xdr:rowOff>0</xdr:rowOff>
    </xdr:from>
    <xdr:to>
      <xdr:col>60</xdr:col>
      <xdr:colOff>83820</xdr:colOff>
      <xdr:row>577</xdr:row>
      <xdr:rowOff>114300</xdr:rowOff>
    </xdr:to>
    <xdr:sp macro="" textlink="">
      <xdr:nvSpPr>
        <xdr:cNvPr id="4348" name="Arrow: Down 4347">
          <a:extLst>
            <a:ext uri="{FF2B5EF4-FFF2-40B4-BE49-F238E27FC236}">
              <a16:creationId xmlns:a16="http://schemas.microsoft.com/office/drawing/2014/main" id="{C31B167C-203A-429C-8DF0-6C5C92EF502B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578</xdr:row>
      <xdr:rowOff>0</xdr:rowOff>
    </xdr:from>
    <xdr:to>
      <xdr:col>11</xdr:col>
      <xdr:colOff>83820</xdr:colOff>
      <xdr:row>578</xdr:row>
      <xdr:rowOff>114300</xdr:rowOff>
    </xdr:to>
    <xdr:sp macro="" textlink="">
      <xdr:nvSpPr>
        <xdr:cNvPr id="4307" name="Arrow: Down 4306">
          <a:extLst>
            <a:ext uri="{FF2B5EF4-FFF2-40B4-BE49-F238E27FC236}">
              <a16:creationId xmlns:a16="http://schemas.microsoft.com/office/drawing/2014/main" id="{AD205FEB-6360-46F0-9905-2CF39D22F204}"/>
            </a:ext>
          </a:extLst>
        </xdr:cNvPr>
        <xdr:cNvSpPr/>
      </xdr:nvSpPr>
      <xdr:spPr>
        <a:xfrm>
          <a:off x="369570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83820</xdr:colOff>
      <xdr:row>578</xdr:row>
      <xdr:rowOff>114300</xdr:rowOff>
    </xdr:to>
    <xdr:sp macro="" textlink="">
      <xdr:nvSpPr>
        <xdr:cNvPr id="4309" name="Arrow: Down 4308">
          <a:extLst>
            <a:ext uri="{FF2B5EF4-FFF2-40B4-BE49-F238E27FC236}">
              <a16:creationId xmlns:a16="http://schemas.microsoft.com/office/drawing/2014/main" id="{4BC44BA9-D908-416D-AA44-BE3C1DC4B48C}"/>
            </a:ext>
          </a:extLst>
        </xdr:cNvPr>
        <xdr:cNvSpPr/>
      </xdr:nvSpPr>
      <xdr:spPr>
        <a:xfrm>
          <a:off x="192786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578</xdr:row>
      <xdr:rowOff>0</xdr:rowOff>
    </xdr:from>
    <xdr:to>
      <xdr:col>45</xdr:col>
      <xdr:colOff>83820</xdr:colOff>
      <xdr:row>578</xdr:row>
      <xdr:rowOff>114300</xdr:rowOff>
    </xdr:to>
    <xdr:sp macro="" textlink="">
      <xdr:nvSpPr>
        <xdr:cNvPr id="4322" name="Arrow: Down 4321">
          <a:extLst>
            <a:ext uri="{FF2B5EF4-FFF2-40B4-BE49-F238E27FC236}">
              <a16:creationId xmlns:a16="http://schemas.microsoft.com/office/drawing/2014/main" id="{B4F2AE33-6195-42F7-8C68-A2C6DB0B4947}"/>
            </a:ext>
          </a:extLst>
        </xdr:cNvPr>
        <xdr:cNvSpPr/>
      </xdr:nvSpPr>
      <xdr:spPr>
        <a:xfrm rot="10800000">
          <a:off x="134035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578</xdr:row>
      <xdr:rowOff>0</xdr:rowOff>
    </xdr:from>
    <xdr:to>
      <xdr:col>24</xdr:col>
      <xdr:colOff>83820</xdr:colOff>
      <xdr:row>578</xdr:row>
      <xdr:rowOff>114300</xdr:rowOff>
    </xdr:to>
    <xdr:sp macro="" textlink="">
      <xdr:nvSpPr>
        <xdr:cNvPr id="4326" name="Arrow: Down 4325">
          <a:extLst>
            <a:ext uri="{FF2B5EF4-FFF2-40B4-BE49-F238E27FC236}">
              <a16:creationId xmlns:a16="http://schemas.microsoft.com/office/drawing/2014/main" id="{DB9515DA-BB78-4873-B2AC-36FD8B3AACBB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578</xdr:row>
      <xdr:rowOff>0</xdr:rowOff>
    </xdr:from>
    <xdr:to>
      <xdr:col>39</xdr:col>
      <xdr:colOff>83820</xdr:colOff>
      <xdr:row>578</xdr:row>
      <xdr:rowOff>114300</xdr:rowOff>
    </xdr:to>
    <xdr:sp macro="" textlink="">
      <xdr:nvSpPr>
        <xdr:cNvPr id="4336" name="Arrow: Down 4335">
          <a:extLst>
            <a:ext uri="{FF2B5EF4-FFF2-40B4-BE49-F238E27FC236}">
              <a16:creationId xmlns:a16="http://schemas.microsoft.com/office/drawing/2014/main" id="{5636C1BB-C536-41BB-846E-BF64D1E5B76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578</xdr:row>
      <xdr:rowOff>0</xdr:rowOff>
    </xdr:from>
    <xdr:to>
      <xdr:col>71</xdr:col>
      <xdr:colOff>83820</xdr:colOff>
      <xdr:row>578</xdr:row>
      <xdr:rowOff>114300</xdr:rowOff>
    </xdr:to>
    <xdr:sp macro="" textlink="">
      <xdr:nvSpPr>
        <xdr:cNvPr id="4341" name="Arrow: Down 4340">
          <a:extLst>
            <a:ext uri="{FF2B5EF4-FFF2-40B4-BE49-F238E27FC236}">
              <a16:creationId xmlns:a16="http://schemas.microsoft.com/office/drawing/2014/main" id="{7609884D-0077-4BF4-B3D2-CB6216A8562D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578</xdr:row>
      <xdr:rowOff>0</xdr:rowOff>
    </xdr:from>
    <xdr:to>
      <xdr:col>60</xdr:col>
      <xdr:colOff>83820</xdr:colOff>
      <xdr:row>578</xdr:row>
      <xdr:rowOff>114300</xdr:rowOff>
    </xdr:to>
    <xdr:sp macro="" textlink="">
      <xdr:nvSpPr>
        <xdr:cNvPr id="4344" name="Arrow: Down 4343">
          <a:extLst>
            <a:ext uri="{FF2B5EF4-FFF2-40B4-BE49-F238E27FC236}">
              <a16:creationId xmlns:a16="http://schemas.microsoft.com/office/drawing/2014/main" id="{E2003479-3DA6-4F88-82DF-2757E00DB55A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532</xdr:row>
      <xdr:rowOff>0</xdr:rowOff>
    </xdr:from>
    <xdr:to>
      <xdr:col>14</xdr:col>
      <xdr:colOff>83820</xdr:colOff>
      <xdr:row>532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0216D5B3-C164-4151-94F9-7A7734AB88F5}"/>
            </a:ext>
          </a:extLst>
        </xdr:cNvPr>
        <xdr:cNvSpPr/>
      </xdr:nvSpPr>
      <xdr:spPr>
        <a:xfrm>
          <a:off x="5295900" y="6896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534</xdr:row>
      <xdr:rowOff>0</xdr:rowOff>
    </xdr:from>
    <xdr:to>
      <xdr:col>14</xdr:col>
      <xdr:colOff>83820</xdr:colOff>
      <xdr:row>534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CB43B4AD-4DE3-4CB1-8A5C-98AB45CDFA93}"/>
            </a:ext>
          </a:extLst>
        </xdr:cNvPr>
        <xdr:cNvSpPr/>
      </xdr:nvSpPr>
      <xdr:spPr>
        <a:xfrm>
          <a:off x="5295900" y="6932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536</xdr:row>
      <xdr:rowOff>0</xdr:rowOff>
    </xdr:from>
    <xdr:to>
      <xdr:col>14</xdr:col>
      <xdr:colOff>83820</xdr:colOff>
      <xdr:row>536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AEA5E7BC-B6FF-4CFA-836F-C89E39D36CA1}"/>
            </a:ext>
          </a:extLst>
        </xdr:cNvPr>
        <xdr:cNvSpPr/>
      </xdr:nvSpPr>
      <xdr:spPr>
        <a:xfrm>
          <a:off x="5295900" y="6969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535</xdr:row>
      <xdr:rowOff>0</xdr:rowOff>
    </xdr:from>
    <xdr:to>
      <xdr:col>14</xdr:col>
      <xdr:colOff>83820</xdr:colOff>
      <xdr:row>535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D279196A-8023-45C4-B711-2B5ADF9CA307}"/>
            </a:ext>
          </a:extLst>
        </xdr:cNvPr>
        <xdr:cNvSpPr/>
      </xdr:nvSpPr>
      <xdr:spPr>
        <a:xfrm rot="10800000">
          <a:off x="5295900" y="6969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533</xdr:row>
      <xdr:rowOff>0</xdr:rowOff>
    </xdr:from>
    <xdr:to>
      <xdr:col>14</xdr:col>
      <xdr:colOff>83820</xdr:colOff>
      <xdr:row>533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00D88715-61CD-4BB4-909C-245D7FCF2DF4}"/>
            </a:ext>
          </a:extLst>
        </xdr:cNvPr>
        <xdr:cNvSpPr/>
      </xdr:nvSpPr>
      <xdr:spPr>
        <a:xfrm rot="10800000">
          <a:off x="5295900" y="6932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531</xdr:row>
      <xdr:rowOff>0</xdr:rowOff>
    </xdr:from>
    <xdr:to>
      <xdr:col>14</xdr:col>
      <xdr:colOff>83820</xdr:colOff>
      <xdr:row>531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1D29750F-DB7D-4D59-9C1F-2C3142128960}"/>
            </a:ext>
          </a:extLst>
        </xdr:cNvPr>
        <xdr:cNvSpPr/>
      </xdr:nvSpPr>
      <xdr:spPr>
        <a:xfrm rot="10800000">
          <a:off x="5295900" y="6896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537</xdr:row>
      <xdr:rowOff>0</xdr:rowOff>
    </xdr:from>
    <xdr:to>
      <xdr:col>14</xdr:col>
      <xdr:colOff>83820</xdr:colOff>
      <xdr:row>537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0B086D8D-04FE-439C-85AF-3DDABE0F2268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538</xdr:row>
      <xdr:rowOff>0</xdr:rowOff>
    </xdr:from>
    <xdr:to>
      <xdr:col>14</xdr:col>
      <xdr:colOff>83820</xdr:colOff>
      <xdr:row>538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D53AADA3-2F4A-4877-8B29-F63F9EAA9FE2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539</xdr:row>
      <xdr:rowOff>0</xdr:rowOff>
    </xdr:from>
    <xdr:to>
      <xdr:col>14</xdr:col>
      <xdr:colOff>83820</xdr:colOff>
      <xdr:row>539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EC18DA44-87BD-4BAE-910A-83C368995B8B}"/>
            </a:ext>
          </a:extLst>
        </xdr:cNvPr>
        <xdr:cNvSpPr/>
      </xdr:nvSpPr>
      <xdr:spPr>
        <a:xfrm>
          <a:off x="5295900" y="7024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545</xdr:row>
      <xdr:rowOff>0</xdr:rowOff>
    </xdr:from>
    <xdr:to>
      <xdr:col>14</xdr:col>
      <xdr:colOff>83820</xdr:colOff>
      <xdr:row>545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C85BE69C-C49A-47D6-8FCF-352398AFB288}"/>
            </a:ext>
          </a:extLst>
        </xdr:cNvPr>
        <xdr:cNvSpPr/>
      </xdr:nvSpPr>
      <xdr:spPr>
        <a:xfrm>
          <a:off x="5295900" y="7133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547</xdr:row>
      <xdr:rowOff>0</xdr:rowOff>
    </xdr:from>
    <xdr:to>
      <xdr:col>14</xdr:col>
      <xdr:colOff>83820</xdr:colOff>
      <xdr:row>547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2845AA91-A350-49C5-8648-C5A068A21B25}"/>
            </a:ext>
          </a:extLst>
        </xdr:cNvPr>
        <xdr:cNvSpPr/>
      </xdr:nvSpPr>
      <xdr:spPr>
        <a:xfrm>
          <a:off x="5295900" y="7170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549</xdr:row>
      <xdr:rowOff>0</xdr:rowOff>
    </xdr:from>
    <xdr:to>
      <xdr:col>14</xdr:col>
      <xdr:colOff>83820</xdr:colOff>
      <xdr:row>549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C1132EAE-C135-4E3D-BD72-8DB3834F5664}"/>
            </a:ext>
          </a:extLst>
        </xdr:cNvPr>
        <xdr:cNvSpPr/>
      </xdr:nvSpPr>
      <xdr:spPr>
        <a:xfrm>
          <a:off x="5295900" y="7206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550</xdr:row>
      <xdr:rowOff>0</xdr:rowOff>
    </xdr:from>
    <xdr:to>
      <xdr:col>14</xdr:col>
      <xdr:colOff>83820</xdr:colOff>
      <xdr:row>550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7A016349-268C-4817-976E-884476F88A76}"/>
            </a:ext>
          </a:extLst>
        </xdr:cNvPr>
        <xdr:cNvSpPr/>
      </xdr:nvSpPr>
      <xdr:spPr>
        <a:xfrm>
          <a:off x="5295900" y="7225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551</xdr:row>
      <xdr:rowOff>0</xdr:rowOff>
    </xdr:from>
    <xdr:to>
      <xdr:col>14</xdr:col>
      <xdr:colOff>83820</xdr:colOff>
      <xdr:row>551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903CE170-9980-4670-BD11-B8895D64A665}"/>
            </a:ext>
          </a:extLst>
        </xdr:cNvPr>
        <xdr:cNvSpPr/>
      </xdr:nvSpPr>
      <xdr:spPr>
        <a:xfrm>
          <a:off x="5295900" y="7243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540</xdr:row>
      <xdr:rowOff>0</xdr:rowOff>
    </xdr:from>
    <xdr:to>
      <xdr:col>14</xdr:col>
      <xdr:colOff>83820</xdr:colOff>
      <xdr:row>540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2C5D72AD-0B37-4AB8-A969-6057E92B377F}"/>
            </a:ext>
          </a:extLst>
        </xdr:cNvPr>
        <xdr:cNvSpPr/>
      </xdr:nvSpPr>
      <xdr:spPr>
        <a:xfrm rot="10800000">
          <a:off x="5295900" y="7060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548</xdr:row>
      <xdr:rowOff>0</xdr:rowOff>
    </xdr:from>
    <xdr:to>
      <xdr:col>14</xdr:col>
      <xdr:colOff>83820</xdr:colOff>
      <xdr:row>548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07103BB0-23EB-48BC-A934-BB64B698F6D0}"/>
            </a:ext>
          </a:extLst>
        </xdr:cNvPr>
        <xdr:cNvSpPr/>
      </xdr:nvSpPr>
      <xdr:spPr>
        <a:xfrm rot="10800000">
          <a:off x="5295900" y="7206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541</xdr:row>
      <xdr:rowOff>0</xdr:rowOff>
    </xdr:from>
    <xdr:to>
      <xdr:col>14</xdr:col>
      <xdr:colOff>83820</xdr:colOff>
      <xdr:row>541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049391A-BF31-4666-B823-305E44EDF18E}"/>
            </a:ext>
          </a:extLst>
        </xdr:cNvPr>
        <xdr:cNvSpPr/>
      </xdr:nvSpPr>
      <xdr:spPr>
        <a:xfrm rot="10800000">
          <a:off x="5295900" y="7078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546</xdr:row>
      <xdr:rowOff>0</xdr:rowOff>
    </xdr:from>
    <xdr:to>
      <xdr:col>14</xdr:col>
      <xdr:colOff>83820</xdr:colOff>
      <xdr:row>546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746094B2-3145-47C5-98E5-4409AE73C1FB}"/>
            </a:ext>
          </a:extLst>
        </xdr:cNvPr>
        <xdr:cNvSpPr/>
      </xdr:nvSpPr>
      <xdr:spPr>
        <a:xfrm rot="10800000">
          <a:off x="5295900" y="7170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542</xdr:row>
      <xdr:rowOff>0</xdr:rowOff>
    </xdr:from>
    <xdr:to>
      <xdr:col>14</xdr:col>
      <xdr:colOff>83820</xdr:colOff>
      <xdr:row>542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0995BAA3-B76D-44CC-9A84-B05E0C57F293}"/>
            </a:ext>
          </a:extLst>
        </xdr:cNvPr>
        <xdr:cNvSpPr/>
      </xdr:nvSpPr>
      <xdr:spPr>
        <a:xfrm rot="10800000">
          <a:off x="5295900" y="7097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543</xdr:row>
      <xdr:rowOff>0</xdr:rowOff>
    </xdr:from>
    <xdr:to>
      <xdr:col>14</xdr:col>
      <xdr:colOff>83820</xdr:colOff>
      <xdr:row>543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609C4721-AA2F-445D-BD7D-9D80C201D869}"/>
            </a:ext>
          </a:extLst>
        </xdr:cNvPr>
        <xdr:cNvSpPr/>
      </xdr:nvSpPr>
      <xdr:spPr>
        <a:xfrm rot="10800000">
          <a:off x="5295900" y="7115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544</xdr:row>
      <xdr:rowOff>0</xdr:rowOff>
    </xdr:from>
    <xdr:to>
      <xdr:col>14</xdr:col>
      <xdr:colOff>83820</xdr:colOff>
      <xdr:row>544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9CD970D5-049A-4D03-ADF3-F3270D28F5C6}"/>
            </a:ext>
          </a:extLst>
        </xdr:cNvPr>
        <xdr:cNvSpPr/>
      </xdr:nvSpPr>
      <xdr:spPr>
        <a:xfrm rot="10800000">
          <a:off x="5295900" y="7133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552</xdr:row>
      <xdr:rowOff>0</xdr:rowOff>
    </xdr:from>
    <xdr:to>
      <xdr:col>14</xdr:col>
      <xdr:colOff>83820</xdr:colOff>
      <xdr:row>552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A8860D71-F460-4426-84AF-24B12ED70083}"/>
            </a:ext>
          </a:extLst>
        </xdr:cNvPr>
        <xdr:cNvSpPr/>
      </xdr:nvSpPr>
      <xdr:spPr>
        <a:xfrm>
          <a:off x="5295900" y="7261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553</xdr:row>
      <xdr:rowOff>0</xdr:rowOff>
    </xdr:from>
    <xdr:to>
      <xdr:col>14</xdr:col>
      <xdr:colOff>83820</xdr:colOff>
      <xdr:row>553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E6B55100-E2CB-4C14-AAC9-7F767FA9DEE9}"/>
            </a:ext>
          </a:extLst>
        </xdr:cNvPr>
        <xdr:cNvSpPr/>
      </xdr:nvSpPr>
      <xdr:spPr>
        <a:xfrm>
          <a:off x="5295900" y="7280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556</xdr:row>
      <xdr:rowOff>0</xdr:rowOff>
    </xdr:from>
    <xdr:to>
      <xdr:col>14</xdr:col>
      <xdr:colOff>83820</xdr:colOff>
      <xdr:row>556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585E3333-A5CD-4676-9284-300B6EBD16E7}"/>
            </a:ext>
          </a:extLst>
        </xdr:cNvPr>
        <xdr:cNvSpPr/>
      </xdr:nvSpPr>
      <xdr:spPr>
        <a:xfrm>
          <a:off x="5295900" y="7335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557</xdr:row>
      <xdr:rowOff>0</xdr:rowOff>
    </xdr:from>
    <xdr:to>
      <xdr:col>14</xdr:col>
      <xdr:colOff>83820</xdr:colOff>
      <xdr:row>557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4FCB517-8580-402A-B7E4-0FFCA2587D2E}"/>
            </a:ext>
          </a:extLst>
        </xdr:cNvPr>
        <xdr:cNvSpPr/>
      </xdr:nvSpPr>
      <xdr:spPr>
        <a:xfrm>
          <a:off x="5295900" y="7353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554</xdr:row>
      <xdr:rowOff>0</xdr:rowOff>
    </xdr:from>
    <xdr:to>
      <xdr:col>14</xdr:col>
      <xdr:colOff>83820</xdr:colOff>
      <xdr:row>554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AF402AEC-5151-4FBC-9CF7-31279D698D80}"/>
            </a:ext>
          </a:extLst>
        </xdr:cNvPr>
        <xdr:cNvSpPr/>
      </xdr:nvSpPr>
      <xdr:spPr>
        <a:xfrm rot="10800000">
          <a:off x="5295900" y="7316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555</xdr:row>
      <xdr:rowOff>0</xdr:rowOff>
    </xdr:from>
    <xdr:to>
      <xdr:col>14</xdr:col>
      <xdr:colOff>83820</xdr:colOff>
      <xdr:row>555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6FD9B249-6C46-411B-867F-BF6F43BA3DFF}"/>
            </a:ext>
          </a:extLst>
        </xdr:cNvPr>
        <xdr:cNvSpPr/>
      </xdr:nvSpPr>
      <xdr:spPr>
        <a:xfrm rot="10800000">
          <a:off x="5295900" y="73350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558</xdr:row>
      <xdr:rowOff>0</xdr:rowOff>
    </xdr:from>
    <xdr:to>
      <xdr:col>14</xdr:col>
      <xdr:colOff>83820</xdr:colOff>
      <xdr:row>558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54FFCC15-AEC0-48A8-95BC-59698D266D21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559</xdr:row>
      <xdr:rowOff>0</xdr:rowOff>
    </xdr:from>
    <xdr:to>
      <xdr:col>14</xdr:col>
      <xdr:colOff>83820</xdr:colOff>
      <xdr:row>559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9DAE382B-DE6C-4275-8E3A-C8A09E2EB907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561</xdr:row>
      <xdr:rowOff>0</xdr:rowOff>
    </xdr:from>
    <xdr:to>
      <xdr:col>14</xdr:col>
      <xdr:colOff>83820</xdr:colOff>
      <xdr:row>561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FD0567F8-D42B-479D-910D-B16FC5F39F70}"/>
            </a:ext>
          </a:extLst>
        </xdr:cNvPr>
        <xdr:cNvSpPr/>
      </xdr:nvSpPr>
      <xdr:spPr>
        <a:xfrm>
          <a:off x="5295900" y="7426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560</xdr:row>
      <xdr:rowOff>0</xdr:rowOff>
    </xdr:from>
    <xdr:to>
      <xdr:col>14</xdr:col>
      <xdr:colOff>83820</xdr:colOff>
      <xdr:row>560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0F87CE0A-0CA1-467A-9D16-C06F42374712}"/>
            </a:ext>
          </a:extLst>
        </xdr:cNvPr>
        <xdr:cNvSpPr/>
      </xdr:nvSpPr>
      <xdr:spPr>
        <a:xfrm rot="10800000">
          <a:off x="5295900" y="74264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564</xdr:row>
      <xdr:rowOff>0</xdr:rowOff>
    </xdr:from>
    <xdr:to>
      <xdr:col>14</xdr:col>
      <xdr:colOff>83820</xdr:colOff>
      <xdr:row>564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F6DFDFC-C6A9-4CD6-B664-8BF3423CDB19}"/>
            </a:ext>
          </a:extLst>
        </xdr:cNvPr>
        <xdr:cNvSpPr/>
      </xdr:nvSpPr>
      <xdr:spPr>
        <a:xfrm>
          <a:off x="5295900" y="7481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563</xdr:row>
      <xdr:rowOff>0</xdr:rowOff>
    </xdr:from>
    <xdr:to>
      <xdr:col>14</xdr:col>
      <xdr:colOff>83820</xdr:colOff>
      <xdr:row>563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1CA5C61E-971A-4CDD-AFED-1E79CFB4D9CA}"/>
            </a:ext>
          </a:extLst>
        </xdr:cNvPr>
        <xdr:cNvSpPr/>
      </xdr:nvSpPr>
      <xdr:spPr>
        <a:xfrm rot="10800000">
          <a:off x="5295900" y="74813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562</xdr:row>
      <xdr:rowOff>0</xdr:rowOff>
    </xdr:from>
    <xdr:to>
      <xdr:col>14</xdr:col>
      <xdr:colOff>83820</xdr:colOff>
      <xdr:row>562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6C3FF36E-DBD7-42BE-B770-34A6C1664A8F}"/>
            </a:ext>
          </a:extLst>
        </xdr:cNvPr>
        <xdr:cNvSpPr/>
      </xdr:nvSpPr>
      <xdr:spPr>
        <a:xfrm rot="10800000">
          <a:off x="5295900" y="7463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565</xdr:row>
      <xdr:rowOff>0</xdr:rowOff>
    </xdr:from>
    <xdr:to>
      <xdr:col>14</xdr:col>
      <xdr:colOff>83820</xdr:colOff>
      <xdr:row>565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53B4CAC0-73F4-406B-AA1D-0F7AB8523B1F}"/>
            </a:ext>
          </a:extLst>
        </xdr:cNvPr>
        <xdr:cNvSpPr/>
      </xdr:nvSpPr>
      <xdr:spPr>
        <a:xfrm>
          <a:off x="5295900" y="7499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567</xdr:row>
      <xdr:rowOff>0</xdr:rowOff>
    </xdr:from>
    <xdr:to>
      <xdr:col>14</xdr:col>
      <xdr:colOff>83820</xdr:colOff>
      <xdr:row>567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563EEF1C-45CE-47D3-A6A3-4010CC4055B4}"/>
            </a:ext>
          </a:extLst>
        </xdr:cNvPr>
        <xdr:cNvSpPr/>
      </xdr:nvSpPr>
      <xdr:spPr>
        <a:xfrm>
          <a:off x="5295900" y="7536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569</xdr:row>
      <xdr:rowOff>0</xdr:rowOff>
    </xdr:from>
    <xdr:to>
      <xdr:col>14</xdr:col>
      <xdr:colOff>83820</xdr:colOff>
      <xdr:row>569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95672CFF-E58C-4E33-96D0-4448B4233F49}"/>
            </a:ext>
          </a:extLst>
        </xdr:cNvPr>
        <xdr:cNvSpPr/>
      </xdr:nvSpPr>
      <xdr:spPr>
        <a:xfrm>
          <a:off x="5295900" y="7572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566</xdr:row>
      <xdr:rowOff>0</xdr:rowOff>
    </xdr:from>
    <xdr:to>
      <xdr:col>14</xdr:col>
      <xdr:colOff>83820</xdr:colOff>
      <xdr:row>566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70815ED8-81EE-4955-8A36-B6FBA104903C}"/>
            </a:ext>
          </a:extLst>
        </xdr:cNvPr>
        <xdr:cNvSpPr/>
      </xdr:nvSpPr>
      <xdr:spPr>
        <a:xfrm rot="10800000">
          <a:off x="5295900" y="7536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570</xdr:row>
      <xdr:rowOff>0</xdr:rowOff>
    </xdr:from>
    <xdr:to>
      <xdr:col>14</xdr:col>
      <xdr:colOff>83820</xdr:colOff>
      <xdr:row>570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0DBD7C7B-225A-4CC0-83BA-A4B69A0911C2}"/>
            </a:ext>
          </a:extLst>
        </xdr:cNvPr>
        <xdr:cNvSpPr/>
      </xdr:nvSpPr>
      <xdr:spPr>
        <a:xfrm rot="10800000">
          <a:off x="5295900" y="7609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568</xdr:row>
      <xdr:rowOff>0</xdr:rowOff>
    </xdr:from>
    <xdr:to>
      <xdr:col>14</xdr:col>
      <xdr:colOff>83820</xdr:colOff>
      <xdr:row>568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3968AEC5-8CE7-4EA2-A9C7-17E8EF048022}"/>
            </a:ext>
          </a:extLst>
        </xdr:cNvPr>
        <xdr:cNvSpPr/>
      </xdr:nvSpPr>
      <xdr:spPr>
        <a:xfrm rot="10800000">
          <a:off x="5295900" y="7572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571</xdr:row>
      <xdr:rowOff>0</xdr:rowOff>
    </xdr:from>
    <xdr:to>
      <xdr:col>14</xdr:col>
      <xdr:colOff>83820</xdr:colOff>
      <xdr:row>571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068A6BAD-8F90-41DD-8636-FC59AB7EC5A4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572</xdr:row>
      <xdr:rowOff>0</xdr:rowOff>
    </xdr:from>
    <xdr:to>
      <xdr:col>14</xdr:col>
      <xdr:colOff>83820</xdr:colOff>
      <xdr:row>572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1F68711A-482A-4B23-8208-B76E7A54BF3C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574</xdr:row>
      <xdr:rowOff>0</xdr:rowOff>
    </xdr:from>
    <xdr:to>
      <xdr:col>14</xdr:col>
      <xdr:colOff>83820</xdr:colOff>
      <xdr:row>574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62718EDA-55E0-4415-A397-981C034B5B5A}"/>
            </a:ext>
          </a:extLst>
        </xdr:cNvPr>
        <xdr:cNvSpPr/>
      </xdr:nvSpPr>
      <xdr:spPr>
        <a:xfrm>
          <a:off x="5295900" y="7664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575</xdr:row>
      <xdr:rowOff>0</xdr:rowOff>
    </xdr:from>
    <xdr:to>
      <xdr:col>14</xdr:col>
      <xdr:colOff>83820</xdr:colOff>
      <xdr:row>575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6EA7F58C-2FA7-4D25-9636-FB40CB96C3BF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573</xdr:row>
      <xdr:rowOff>0</xdr:rowOff>
    </xdr:from>
    <xdr:to>
      <xdr:col>14</xdr:col>
      <xdr:colOff>83820</xdr:colOff>
      <xdr:row>573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0C1D1AA7-935B-4B5C-B1A4-F0ECBAC011BA}"/>
            </a:ext>
          </a:extLst>
        </xdr:cNvPr>
        <xdr:cNvSpPr/>
      </xdr:nvSpPr>
      <xdr:spPr>
        <a:xfrm rot="10800000">
          <a:off x="5295900" y="7664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576</xdr:row>
      <xdr:rowOff>0</xdr:rowOff>
    </xdr:from>
    <xdr:to>
      <xdr:col>14</xdr:col>
      <xdr:colOff>83820</xdr:colOff>
      <xdr:row>576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83873E91-AB6A-4EA5-9337-B56E3CE59071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577</xdr:row>
      <xdr:rowOff>0</xdr:rowOff>
    </xdr:from>
    <xdr:to>
      <xdr:col>14</xdr:col>
      <xdr:colOff>83820</xdr:colOff>
      <xdr:row>577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4B76C089-AAA5-452C-9041-76222745CC55}"/>
            </a:ext>
          </a:extLst>
        </xdr:cNvPr>
        <xdr:cNvSpPr/>
      </xdr:nvSpPr>
      <xdr:spPr>
        <a:xfrm rot="10800000">
          <a:off x="5295900" y="7719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578</xdr:row>
      <xdr:rowOff>0</xdr:rowOff>
    </xdr:from>
    <xdr:to>
      <xdr:col>14</xdr:col>
      <xdr:colOff>83820</xdr:colOff>
      <xdr:row>578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74E58C32-3498-449B-BEB3-E2097731D466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579</xdr:row>
      <xdr:rowOff>0</xdr:rowOff>
    </xdr:from>
    <xdr:to>
      <xdr:col>14</xdr:col>
      <xdr:colOff>83820</xdr:colOff>
      <xdr:row>579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964AFD05-CADB-49A1-AB3E-E0836572B14A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485</xdr:row>
      <xdr:rowOff>0</xdr:rowOff>
    </xdr:from>
    <xdr:to>
      <xdr:col>28</xdr:col>
      <xdr:colOff>83820</xdr:colOff>
      <xdr:row>485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8FCEC8DF-6407-4557-BB32-B47CB0746947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486</xdr:row>
      <xdr:rowOff>0</xdr:rowOff>
    </xdr:from>
    <xdr:to>
      <xdr:col>28</xdr:col>
      <xdr:colOff>83820</xdr:colOff>
      <xdr:row>486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7204731-5F67-4831-8D5C-373B1DD7D359}"/>
            </a:ext>
          </a:extLst>
        </xdr:cNvPr>
        <xdr:cNvSpPr/>
      </xdr:nvSpPr>
      <xdr:spPr>
        <a:xfrm rot="10800000">
          <a:off x="11803380" y="73159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487</xdr:row>
      <xdr:rowOff>0</xdr:rowOff>
    </xdr:from>
    <xdr:to>
      <xdr:col>28</xdr:col>
      <xdr:colOff>83820</xdr:colOff>
      <xdr:row>487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7ADF66DE-B495-4D70-B120-FCA7C76F9ADD}"/>
            </a:ext>
          </a:extLst>
        </xdr:cNvPr>
        <xdr:cNvSpPr/>
      </xdr:nvSpPr>
      <xdr:spPr>
        <a:xfrm rot="10800000">
          <a:off x="11803380" y="7334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488</xdr:row>
      <xdr:rowOff>0</xdr:rowOff>
    </xdr:from>
    <xdr:to>
      <xdr:col>28</xdr:col>
      <xdr:colOff>83820</xdr:colOff>
      <xdr:row>488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7763893C-B5AF-4907-882E-396381ED98AC}"/>
            </a:ext>
          </a:extLst>
        </xdr:cNvPr>
        <xdr:cNvSpPr/>
      </xdr:nvSpPr>
      <xdr:spPr>
        <a:xfrm rot="10800000">
          <a:off x="11803380" y="7352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489</xdr:row>
      <xdr:rowOff>0</xdr:rowOff>
    </xdr:from>
    <xdr:to>
      <xdr:col>28</xdr:col>
      <xdr:colOff>83820</xdr:colOff>
      <xdr:row>489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A4FCFCCA-F475-402F-AED7-362EECD25C25}"/>
            </a:ext>
          </a:extLst>
        </xdr:cNvPr>
        <xdr:cNvSpPr/>
      </xdr:nvSpPr>
      <xdr:spPr>
        <a:xfrm rot="10800000">
          <a:off x="11803380" y="7370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490</xdr:row>
      <xdr:rowOff>0</xdr:rowOff>
    </xdr:from>
    <xdr:to>
      <xdr:col>28</xdr:col>
      <xdr:colOff>83820</xdr:colOff>
      <xdr:row>490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F2ECFC81-AAEB-4C0D-8059-778B29111E95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491</xdr:row>
      <xdr:rowOff>0</xdr:rowOff>
    </xdr:from>
    <xdr:to>
      <xdr:col>28</xdr:col>
      <xdr:colOff>83820</xdr:colOff>
      <xdr:row>491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6D92CDEE-057B-4486-B704-AE6CA7BE344B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492</xdr:row>
      <xdr:rowOff>0</xdr:rowOff>
    </xdr:from>
    <xdr:to>
      <xdr:col>28</xdr:col>
      <xdr:colOff>83820</xdr:colOff>
      <xdr:row>492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CB3E6FD-15AE-4349-89EA-46AE01CF1A7B}"/>
            </a:ext>
          </a:extLst>
        </xdr:cNvPr>
        <xdr:cNvSpPr/>
      </xdr:nvSpPr>
      <xdr:spPr>
        <a:xfrm rot="10800000">
          <a:off x="11803380" y="74439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493</xdr:row>
      <xdr:rowOff>0</xdr:rowOff>
    </xdr:from>
    <xdr:to>
      <xdr:col>28</xdr:col>
      <xdr:colOff>83820</xdr:colOff>
      <xdr:row>493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87B9B24-A1EA-4C35-9A97-3920780E2961}"/>
            </a:ext>
          </a:extLst>
        </xdr:cNvPr>
        <xdr:cNvSpPr/>
      </xdr:nvSpPr>
      <xdr:spPr>
        <a:xfrm rot="10800000">
          <a:off x="11803380" y="7462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494</xdr:row>
      <xdr:rowOff>0</xdr:rowOff>
    </xdr:from>
    <xdr:to>
      <xdr:col>28</xdr:col>
      <xdr:colOff>83820</xdr:colOff>
      <xdr:row>494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4C65D19-B9DE-4D4D-BEF8-54F332C15667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495</xdr:row>
      <xdr:rowOff>0</xdr:rowOff>
    </xdr:from>
    <xdr:to>
      <xdr:col>28</xdr:col>
      <xdr:colOff>83820</xdr:colOff>
      <xdr:row>495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425F7453-A2F2-4B50-A019-9E9D3F5E15A1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496</xdr:row>
      <xdr:rowOff>0</xdr:rowOff>
    </xdr:from>
    <xdr:to>
      <xdr:col>28</xdr:col>
      <xdr:colOff>83820</xdr:colOff>
      <xdr:row>496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37FEB8DA-6F44-456A-8CF2-270059E78919}"/>
            </a:ext>
          </a:extLst>
        </xdr:cNvPr>
        <xdr:cNvSpPr/>
      </xdr:nvSpPr>
      <xdr:spPr>
        <a:xfrm rot="10800000">
          <a:off x="11803380" y="7498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497</xdr:row>
      <xdr:rowOff>0</xdr:rowOff>
    </xdr:from>
    <xdr:to>
      <xdr:col>28</xdr:col>
      <xdr:colOff>83820</xdr:colOff>
      <xdr:row>497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378AC7EC-DAFA-41D8-9C39-05F354F1CB42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498</xdr:row>
      <xdr:rowOff>0</xdr:rowOff>
    </xdr:from>
    <xdr:to>
      <xdr:col>28</xdr:col>
      <xdr:colOff>83820</xdr:colOff>
      <xdr:row>498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3DEB3B0-990F-45A8-8547-ABC81657A207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499</xdr:row>
      <xdr:rowOff>0</xdr:rowOff>
    </xdr:from>
    <xdr:to>
      <xdr:col>28</xdr:col>
      <xdr:colOff>83820</xdr:colOff>
      <xdr:row>499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DA73C679-17C4-4E99-B9E6-615CDCD3543B}"/>
            </a:ext>
          </a:extLst>
        </xdr:cNvPr>
        <xdr:cNvSpPr/>
      </xdr:nvSpPr>
      <xdr:spPr>
        <a:xfrm rot="10800000">
          <a:off x="11803380" y="75719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500</xdr:row>
      <xdr:rowOff>0</xdr:rowOff>
    </xdr:from>
    <xdr:to>
      <xdr:col>28</xdr:col>
      <xdr:colOff>83820</xdr:colOff>
      <xdr:row>500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47B0BBB9-1367-40ED-84CD-2D36228F1F06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501</xdr:row>
      <xdr:rowOff>0</xdr:rowOff>
    </xdr:from>
    <xdr:to>
      <xdr:col>28</xdr:col>
      <xdr:colOff>83820</xdr:colOff>
      <xdr:row>501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B44BFE36-C0E3-4830-8509-F5B25A5AFB37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502</xdr:row>
      <xdr:rowOff>0</xdr:rowOff>
    </xdr:from>
    <xdr:to>
      <xdr:col>28</xdr:col>
      <xdr:colOff>83820</xdr:colOff>
      <xdr:row>502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13CDD4B8-2E20-4D06-B0E4-3FB2C7DEA660}"/>
            </a:ext>
          </a:extLst>
        </xdr:cNvPr>
        <xdr:cNvSpPr/>
      </xdr:nvSpPr>
      <xdr:spPr>
        <a:xfrm>
          <a:off x="11803380" y="7608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503</xdr:row>
      <xdr:rowOff>0</xdr:rowOff>
    </xdr:from>
    <xdr:to>
      <xdr:col>28</xdr:col>
      <xdr:colOff>83820</xdr:colOff>
      <xdr:row>503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C5811EF2-19FC-4F6F-804C-3EEECADE444D}"/>
            </a:ext>
          </a:extLst>
        </xdr:cNvPr>
        <xdr:cNvSpPr/>
      </xdr:nvSpPr>
      <xdr:spPr>
        <a:xfrm>
          <a:off x="11803380" y="7626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504</xdr:row>
      <xdr:rowOff>0</xdr:rowOff>
    </xdr:from>
    <xdr:to>
      <xdr:col>28</xdr:col>
      <xdr:colOff>83820</xdr:colOff>
      <xdr:row>504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967ACFE-DB87-4A7F-9A77-5AB91975261C}"/>
            </a:ext>
          </a:extLst>
        </xdr:cNvPr>
        <xdr:cNvSpPr/>
      </xdr:nvSpPr>
      <xdr:spPr>
        <a:xfrm>
          <a:off x="11803380" y="7645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505</xdr:row>
      <xdr:rowOff>0</xdr:rowOff>
    </xdr:from>
    <xdr:to>
      <xdr:col>28</xdr:col>
      <xdr:colOff>83820</xdr:colOff>
      <xdr:row>505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9065EA31-72FC-443C-9EC6-020469235F49}"/>
            </a:ext>
          </a:extLst>
        </xdr:cNvPr>
        <xdr:cNvSpPr/>
      </xdr:nvSpPr>
      <xdr:spPr>
        <a:xfrm>
          <a:off x="11803380" y="7663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506</xdr:row>
      <xdr:rowOff>0</xdr:rowOff>
    </xdr:from>
    <xdr:to>
      <xdr:col>28</xdr:col>
      <xdr:colOff>83820</xdr:colOff>
      <xdr:row>506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2A9FE5FE-FA46-4C64-8A41-BD78B865A705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507</xdr:row>
      <xdr:rowOff>0</xdr:rowOff>
    </xdr:from>
    <xdr:to>
      <xdr:col>28</xdr:col>
      <xdr:colOff>83820</xdr:colOff>
      <xdr:row>507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8D4DFB28-717F-4E6F-8EB0-589A728DEBFC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508</xdr:row>
      <xdr:rowOff>0</xdr:rowOff>
    </xdr:from>
    <xdr:to>
      <xdr:col>28</xdr:col>
      <xdr:colOff>83820</xdr:colOff>
      <xdr:row>508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ED2FCE58-516A-4265-8E16-089F18D8DCA4}"/>
            </a:ext>
          </a:extLst>
        </xdr:cNvPr>
        <xdr:cNvSpPr/>
      </xdr:nvSpPr>
      <xdr:spPr>
        <a:xfrm rot="10800000">
          <a:off x="11803380" y="77182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509</xdr:row>
      <xdr:rowOff>0</xdr:rowOff>
    </xdr:from>
    <xdr:to>
      <xdr:col>28</xdr:col>
      <xdr:colOff>83820</xdr:colOff>
      <xdr:row>509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FC60CD0D-C58E-43BD-93AB-3130D00A8245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510</xdr:row>
      <xdr:rowOff>0</xdr:rowOff>
    </xdr:from>
    <xdr:to>
      <xdr:col>28</xdr:col>
      <xdr:colOff>83820</xdr:colOff>
      <xdr:row>510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3FCAAE84-A441-4C8A-98D0-5E60BD7D2A22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511</xdr:row>
      <xdr:rowOff>0</xdr:rowOff>
    </xdr:from>
    <xdr:to>
      <xdr:col>28</xdr:col>
      <xdr:colOff>83820</xdr:colOff>
      <xdr:row>511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C6A13A33-8401-4312-B83A-E92D7075E545}"/>
            </a:ext>
          </a:extLst>
        </xdr:cNvPr>
        <xdr:cNvSpPr/>
      </xdr:nvSpPr>
      <xdr:spPr>
        <a:xfrm>
          <a:off x="11803380" y="7773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512</xdr:row>
      <xdr:rowOff>0</xdr:rowOff>
    </xdr:from>
    <xdr:to>
      <xdr:col>28</xdr:col>
      <xdr:colOff>83820</xdr:colOff>
      <xdr:row>512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8A53056A-60E0-4B20-8664-12B22EDFA76E}"/>
            </a:ext>
          </a:extLst>
        </xdr:cNvPr>
        <xdr:cNvSpPr/>
      </xdr:nvSpPr>
      <xdr:spPr>
        <a:xfrm>
          <a:off x="11803380" y="7791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513</xdr:row>
      <xdr:rowOff>0</xdr:rowOff>
    </xdr:from>
    <xdr:to>
      <xdr:col>28</xdr:col>
      <xdr:colOff>83820</xdr:colOff>
      <xdr:row>513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CC90868E-B63C-4377-8AB2-1D47B7AD6089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514</xdr:row>
      <xdr:rowOff>0</xdr:rowOff>
    </xdr:from>
    <xdr:to>
      <xdr:col>28</xdr:col>
      <xdr:colOff>83820</xdr:colOff>
      <xdr:row>514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595754B2-B24C-414A-84E2-518CE0C12FC2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515</xdr:row>
      <xdr:rowOff>0</xdr:rowOff>
    </xdr:from>
    <xdr:to>
      <xdr:col>28</xdr:col>
      <xdr:colOff>83820</xdr:colOff>
      <xdr:row>515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884B0218-83AF-4E4D-9CA1-73C317B6C617}"/>
            </a:ext>
          </a:extLst>
        </xdr:cNvPr>
        <xdr:cNvSpPr/>
      </xdr:nvSpPr>
      <xdr:spPr>
        <a:xfrm rot="10800000">
          <a:off x="11803380" y="7864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516</xdr:row>
      <xdr:rowOff>0</xdr:rowOff>
    </xdr:from>
    <xdr:to>
      <xdr:col>28</xdr:col>
      <xdr:colOff>83820</xdr:colOff>
      <xdr:row>516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7289FA6A-4A40-4EA3-A2FE-4826F9BC2B21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517</xdr:row>
      <xdr:rowOff>0</xdr:rowOff>
    </xdr:from>
    <xdr:to>
      <xdr:col>28</xdr:col>
      <xdr:colOff>83820</xdr:colOff>
      <xdr:row>517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F688BD6B-43D8-4F90-A50A-C77BA9990879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518</xdr:row>
      <xdr:rowOff>0</xdr:rowOff>
    </xdr:from>
    <xdr:to>
      <xdr:col>28</xdr:col>
      <xdr:colOff>83820</xdr:colOff>
      <xdr:row>518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6BA23C44-1022-4563-B1E2-0BFB4DDB8C41}"/>
            </a:ext>
          </a:extLst>
        </xdr:cNvPr>
        <xdr:cNvSpPr/>
      </xdr:nvSpPr>
      <xdr:spPr>
        <a:xfrm>
          <a:off x="11803380" y="7901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519</xdr:row>
      <xdr:rowOff>0</xdr:rowOff>
    </xdr:from>
    <xdr:to>
      <xdr:col>28</xdr:col>
      <xdr:colOff>83820</xdr:colOff>
      <xdr:row>519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0A7F2155-13F5-4738-ADF2-97726F90D388}"/>
            </a:ext>
          </a:extLst>
        </xdr:cNvPr>
        <xdr:cNvSpPr/>
      </xdr:nvSpPr>
      <xdr:spPr>
        <a:xfrm>
          <a:off x="11803380" y="7919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520</xdr:row>
      <xdr:rowOff>0</xdr:rowOff>
    </xdr:from>
    <xdr:to>
      <xdr:col>28</xdr:col>
      <xdr:colOff>83820</xdr:colOff>
      <xdr:row>520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9477EAC-2DC2-44BE-870E-065E45C6A35F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521</xdr:row>
      <xdr:rowOff>0</xdr:rowOff>
    </xdr:from>
    <xdr:to>
      <xdr:col>28</xdr:col>
      <xdr:colOff>83820</xdr:colOff>
      <xdr:row>521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58166B5C-065D-43BA-A7A0-051E9F99CA0B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522</xdr:row>
      <xdr:rowOff>0</xdr:rowOff>
    </xdr:from>
    <xdr:to>
      <xdr:col>28</xdr:col>
      <xdr:colOff>83820</xdr:colOff>
      <xdr:row>522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29BEF27D-9C82-4DF5-AB07-E6C9D7FEB574}"/>
            </a:ext>
          </a:extLst>
        </xdr:cNvPr>
        <xdr:cNvSpPr/>
      </xdr:nvSpPr>
      <xdr:spPr>
        <a:xfrm rot="10800000">
          <a:off x="11803380" y="79743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523</xdr:row>
      <xdr:rowOff>0</xdr:rowOff>
    </xdr:from>
    <xdr:to>
      <xdr:col>28</xdr:col>
      <xdr:colOff>83820</xdr:colOff>
      <xdr:row>523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7D1B270B-5FA8-4FE2-B5A0-8215AC5F514D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524</xdr:row>
      <xdr:rowOff>0</xdr:rowOff>
    </xdr:from>
    <xdr:to>
      <xdr:col>28</xdr:col>
      <xdr:colOff>83820</xdr:colOff>
      <xdr:row>524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7D6FEA29-FD3C-4B9C-8DDB-49E40D227103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525</xdr:row>
      <xdr:rowOff>0</xdr:rowOff>
    </xdr:from>
    <xdr:to>
      <xdr:col>28</xdr:col>
      <xdr:colOff>83820</xdr:colOff>
      <xdr:row>525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49103E75-D364-41D6-B546-5FB8BB3A721E}"/>
            </a:ext>
          </a:extLst>
        </xdr:cNvPr>
        <xdr:cNvSpPr/>
      </xdr:nvSpPr>
      <xdr:spPr>
        <a:xfrm>
          <a:off x="11803380" y="8029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526</xdr:row>
      <xdr:rowOff>0</xdr:rowOff>
    </xdr:from>
    <xdr:to>
      <xdr:col>28</xdr:col>
      <xdr:colOff>83820</xdr:colOff>
      <xdr:row>526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6C27F47C-D67B-4D36-9B88-01A8AC0A6B11}"/>
            </a:ext>
          </a:extLst>
        </xdr:cNvPr>
        <xdr:cNvSpPr/>
      </xdr:nvSpPr>
      <xdr:spPr>
        <a:xfrm>
          <a:off x="11803380" y="804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527</xdr:row>
      <xdr:rowOff>0</xdr:rowOff>
    </xdr:from>
    <xdr:to>
      <xdr:col>28</xdr:col>
      <xdr:colOff>83820</xdr:colOff>
      <xdr:row>527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6BC104BC-1345-4FA1-939D-6E3902BB6004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528</xdr:row>
      <xdr:rowOff>0</xdr:rowOff>
    </xdr:from>
    <xdr:to>
      <xdr:col>28</xdr:col>
      <xdr:colOff>83820</xdr:colOff>
      <xdr:row>528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FF82DA53-1E36-4CC7-B73D-B875AA28C77F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529</xdr:row>
      <xdr:rowOff>0</xdr:rowOff>
    </xdr:from>
    <xdr:to>
      <xdr:col>28</xdr:col>
      <xdr:colOff>83820</xdr:colOff>
      <xdr:row>529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0E5F949E-8BAC-480F-9EA4-D143C6CC3E9C}"/>
            </a:ext>
          </a:extLst>
        </xdr:cNvPr>
        <xdr:cNvSpPr/>
      </xdr:nvSpPr>
      <xdr:spPr>
        <a:xfrm rot="10800000">
          <a:off x="11803380" y="8102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530</xdr:row>
      <xdr:rowOff>0</xdr:rowOff>
    </xdr:from>
    <xdr:to>
      <xdr:col>28</xdr:col>
      <xdr:colOff>83820</xdr:colOff>
      <xdr:row>530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0C7F0812-A5C6-4E18-82B6-97839B211BDE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531</xdr:row>
      <xdr:rowOff>0</xdr:rowOff>
    </xdr:from>
    <xdr:to>
      <xdr:col>28</xdr:col>
      <xdr:colOff>83820</xdr:colOff>
      <xdr:row>531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1BAB6C0F-0679-4CBE-8498-378D1232F825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532</xdr:row>
      <xdr:rowOff>0</xdr:rowOff>
    </xdr:from>
    <xdr:to>
      <xdr:col>28</xdr:col>
      <xdr:colOff>83820</xdr:colOff>
      <xdr:row>532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045B6DF4-9F3E-4245-9D22-EB98BA15FDE7}"/>
            </a:ext>
          </a:extLst>
        </xdr:cNvPr>
        <xdr:cNvSpPr/>
      </xdr:nvSpPr>
      <xdr:spPr>
        <a:xfrm>
          <a:off x="11803380" y="8157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533</xdr:row>
      <xdr:rowOff>0</xdr:rowOff>
    </xdr:from>
    <xdr:to>
      <xdr:col>28</xdr:col>
      <xdr:colOff>83820</xdr:colOff>
      <xdr:row>533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CAED5B6D-C646-459C-9CB3-E95EC3B9389F}"/>
            </a:ext>
          </a:extLst>
        </xdr:cNvPr>
        <xdr:cNvSpPr/>
      </xdr:nvSpPr>
      <xdr:spPr>
        <a:xfrm>
          <a:off x="11803380" y="8175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731"/>
  <sheetViews>
    <sheetView tabSelected="1" topLeftCell="A561" zoomScaleNormal="100" workbookViewId="0">
      <selection activeCell="AA590" sqref="AA590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9.3320312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10" t="s">
        <v>5</v>
      </c>
      <c r="C1" s="610"/>
      <c r="D1" s="610"/>
    </row>
    <row r="2" spans="2:90" ht="15.6" x14ac:dyDescent="0.3">
      <c r="B2" s="610" t="s">
        <v>6</v>
      </c>
      <c r="C2" s="610"/>
      <c r="D2" s="610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3" t="s">
        <v>13</v>
      </c>
      <c r="C3" s="613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11" t="s">
        <v>11</v>
      </c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11"/>
      <c r="AE4" s="282"/>
      <c r="AF4" s="404"/>
      <c r="AG4" s="404"/>
      <c r="AH4" s="404"/>
      <c r="AI4" s="404"/>
      <c r="AJ4" s="12"/>
      <c r="AL4" s="590" t="s">
        <v>14</v>
      </c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1"/>
      <c r="AY4" s="591"/>
      <c r="AZ4" s="591"/>
      <c r="BA4" s="591"/>
      <c r="BB4" s="591"/>
      <c r="BC4" s="591"/>
      <c r="BD4" s="591"/>
      <c r="BE4" s="591"/>
      <c r="BF4" s="591"/>
      <c r="BG4" s="591"/>
      <c r="BH4" s="591"/>
      <c r="BI4" s="591"/>
      <c r="BJ4" s="591"/>
      <c r="BK4" s="591"/>
      <c r="BL4" s="591"/>
      <c r="BM4" s="591"/>
      <c r="BN4" s="591"/>
      <c r="BO4" s="591"/>
      <c r="BP4" s="591"/>
      <c r="BQ4" s="591"/>
      <c r="BR4" s="591"/>
      <c r="BS4" s="591"/>
      <c r="BT4" s="591"/>
      <c r="BU4" s="592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4" t="s">
        <v>12</v>
      </c>
      <c r="G6" s="614"/>
      <c r="H6" s="614"/>
      <c r="I6" s="614"/>
      <c r="J6" s="614"/>
      <c r="K6" s="614"/>
      <c r="L6" s="614"/>
      <c r="M6" s="292"/>
      <c r="N6" s="499"/>
      <c r="O6" s="292"/>
      <c r="P6" s="293"/>
      <c r="Q6" s="620" t="s">
        <v>111</v>
      </c>
      <c r="R6" s="614"/>
      <c r="S6" s="614"/>
      <c r="T6" s="614"/>
      <c r="U6" s="621"/>
      <c r="V6" s="3"/>
      <c r="W6" s="8" t="s">
        <v>7</v>
      </c>
      <c r="X6" s="30"/>
      <c r="Y6" s="615">
        <v>1.2500000000000001E-2</v>
      </c>
      <c r="Z6" s="615"/>
      <c r="AA6" s="615"/>
      <c r="AB6" s="615"/>
      <c r="AC6" s="615"/>
      <c r="AD6" s="615"/>
      <c r="AE6" s="615"/>
      <c r="AF6" s="615"/>
      <c r="AG6" s="615"/>
      <c r="AH6" s="615"/>
      <c r="AI6" s="615"/>
      <c r="AJ6" s="616"/>
      <c r="AK6" s="3"/>
      <c r="AL6" s="599" t="s">
        <v>25</v>
      </c>
      <c r="AM6" s="600"/>
      <c r="AN6" s="600"/>
      <c r="AO6" s="600"/>
      <c r="AP6" s="600"/>
      <c r="AQ6" s="600"/>
      <c r="AR6" s="600"/>
      <c r="AS6" s="600"/>
      <c r="AT6" s="600"/>
      <c r="AU6" s="600"/>
      <c r="AV6" s="600"/>
      <c r="AW6" s="600"/>
      <c r="AX6" s="600"/>
      <c r="AY6" s="601"/>
      <c r="AZ6" s="3"/>
      <c r="BA6" s="602" t="s">
        <v>7</v>
      </c>
      <c r="BB6" s="594"/>
      <c r="BC6" s="594"/>
      <c r="BD6" s="85"/>
      <c r="BE6" s="593" t="s">
        <v>24</v>
      </c>
      <c r="BF6" s="593"/>
      <c r="BG6" s="593"/>
      <c r="BH6" s="593"/>
      <c r="BI6" s="593"/>
      <c r="BJ6" s="593"/>
      <c r="BK6" s="593"/>
      <c r="BL6" s="593"/>
      <c r="BM6" s="593"/>
      <c r="BN6" s="593"/>
      <c r="BO6" s="593"/>
      <c r="BP6" s="593"/>
      <c r="BQ6" s="593"/>
      <c r="BR6" s="594"/>
      <c r="BS6" s="594"/>
      <c r="BT6" s="594"/>
      <c r="BU6" s="595"/>
      <c r="BV6" s="3"/>
    </row>
    <row r="7" spans="2:90" ht="16.2" x14ac:dyDescent="0.3">
      <c r="D7" s="596" t="s">
        <v>20</v>
      </c>
      <c r="E7" s="597"/>
      <c r="F7" s="597"/>
      <c r="G7" s="597"/>
      <c r="H7" s="597"/>
      <c r="I7" s="597"/>
      <c r="J7" s="597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7" t="s">
        <v>33</v>
      </c>
      <c r="X7" s="618"/>
      <c r="Y7" s="618"/>
      <c r="Z7" s="618"/>
      <c r="AA7" s="618"/>
      <c r="AB7" s="618"/>
      <c r="AC7" s="618"/>
      <c r="AD7" s="618"/>
      <c r="AE7" s="618"/>
      <c r="AF7" s="618"/>
      <c r="AG7" s="618"/>
      <c r="AH7" s="618"/>
      <c r="AI7" s="618"/>
      <c r="AJ7" s="619"/>
      <c r="AK7" s="3"/>
      <c r="AL7" s="596" t="s">
        <v>68</v>
      </c>
      <c r="AM7" s="597"/>
      <c r="AN7" s="597"/>
      <c r="AO7" s="597"/>
      <c r="AP7" s="597"/>
      <c r="AQ7" s="597"/>
      <c r="AR7" s="597"/>
      <c r="AS7" s="597"/>
      <c r="AT7" s="597"/>
      <c r="AU7" s="597"/>
      <c r="AV7" s="597"/>
      <c r="AW7" s="597"/>
      <c r="AX7" s="597"/>
      <c r="AY7" s="598"/>
      <c r="BA7" s="596" t="s">
        <v>23</v>
      </c>
      <c r="BB7" s="597"/>
      <c r="BC7" s="597"/>
      <c r="BD7" s="597"/>
      <c r="BE7" s="597"/>
      <c r="BF7" s="597"/>
      <c r="BG7" s="597"/>
      <c r="BH7" s="597"/>
      <c r="BI7" s="597"/>
      <c r="BJ7" s="597"/>
      <c r="BK7" s="597"/>
      <c r="BL7" s="597"/>
      <c r="BM7" s="597"/>
      <c r="BN7" s="597"/>
      <c r="BO7" s="597"/>
      <c r="BP7" s="597"/>
      <c r="BQ7" s="597"/>
      <c r="BR7" s="597"/>
      <c r="BS7" s="597"/>
      <c r="BT7" s="597"/>
      <c r="BU7" s="598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588" t="s">
        <v>1</v>
      </c>
      <c r="BB8" s="589"/>
      <c r="BC8" s="589"/>
      <c r="BD8" s="63"/>
      <c r="BE8" s="589" t="s">
        <v>22</v>
      </c>
      <c r="BF8" s="589"/>
      <c r="BG8" s="589"/>
      <c r="BH8" s="589"/>
      <c r="BI8" s="603"/>
      <c r="BJ8" s="604" t="s">
        <v>111</v>
      </c>
      <c r="BK8" s="605"/>
      <c r="BL8" s="605"/>
      <c r="BM8" s="606"/>
      <c r="BN8" s="588" t="s">
        <v>22</v>
      </c>
      <c r="BO8" s="589"/>
      <c r="BP8" s="589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SUM(D102:D585)</f>
        <v>39856696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SUM(D109:D592)</f>
        <v>39646137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SUM(D116:D599)</f>
        <v>40097812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SUM(D123:D609)</f>
        <v>370702942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SUM(D124:D610)</f>
        <v>370641223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SUM(D125:D611)</f>
        <v>370582874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SUM(D126:D612)</f>
        <v>370517386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SUM(D127:D613)</f>
        <v>370451338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SUM(D128:D614)</f>
        <v>370379343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SUM(D129:D615)</f>
        <v>447305955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SUM(D130:D616)</f>
        <v>447230968.23262841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SUM(D131:D617)</f>
        <v>447167709.23262841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SUM(D132:D618)</f>
        <v>778102430.23262835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SUM(D133:D619)</f>
        <v>822393551.23262835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SUM(D134:D620)</f>
        <v>822326072.30462837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SUM(D135:D621)</f>
        <v>822254105.30462837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SUM(D136:D622)</f>
        <v>822184662.34662843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SUM(D137:D623)</f>
        <v>823107628.34662843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SUM(D138:D624)</f>
        <v>823040215.34662843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SUM(D139:D625)</f>
        <v>822984085.34662843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SUM(D140:D626)</f>
        <v>822922514.34662843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SUM(D141:D627)</f>
        <v>822857785.34662843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SUM(D142:D628)</f>
        <v>822790864.34662843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SUM(D143:D629)</f>
        <v>822722295.34662843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SUM(D144:D630)</f>
        <v>822651212.34662843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SUM(D145:D631)</f>
        <v>822592671.34662843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SUM(D146:D632)</f>
        <v>822543633.34662843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SUM(D147:D633)</f>
        <v>822494987.34662843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SUM(D148:D634)</f>
        <v>822440423.34662843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SUM(D149:D635)</f>
        <v>822385275.34662843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SUM(D150:D636)</f>
        <v>822326565.34662843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SUM(D151:D637)</f>
        <v>822263319.34662843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SUM(D152:D638)</f>
        <v>822209120.34662843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SUM(D153:D639)</f>
        <v>822161271.34662843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SUM(D154:D640)</f>
        <v>822111471.34662843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SUM(D155:D641)</f>
        <v>822056952.34662843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SUM(D156:D642)</f>
        <v>822002607.34662843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SUM(D157:D643)</f>
        <v>821947243.34662843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SUM(D158:D644)</f>
        <v>821886643.34662843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SUM(D159:D645)</f>
        <v>821833120.34662843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SUM(D160:D646)</f>
        <v>821796277.34662843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SUM(D161:D647)</f>
        <v>821755665.34662843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SUM(D162:D648)</f>
        <v>821711666.34662843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SUM(D163:D649)</f>
        <v>821666693.34662843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SUM(D164:D650)</f>
        <v>821621336.34662843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SUM(D165:D651)</f>
        <v>821570855.34662843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SUM(D166:D652)</f>
        <v>821527026.34662843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SUM(D167:D653)</f>
        <v>821494308.34662843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SUM(D168:D654)</f>
        <v>821452824.34662843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SUM(D169:D655)</f>
        <v>821412726.34662843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SUM(D170:D656)</f>
        <v>821368089.34662843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SUM(D171:D657)</f>
        <v>821322083.34662843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SUM(D172:D658)</f>
        <v>821272482.34662843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SUM(D173:D659)</f>
        <v>821229822.34662843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SUM(D174:D660)</f>
        <v>821195841.34662843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SUM(D175:D661)</f>
        <v>821157281.34662843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SUM(D176:D662)</f>
        <v>821115302.34662843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SUM(D177:D663)</f>
        <v>821074091.34662843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SUM(D178:D664)</f>
        <v>821028627.34662843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SUM(D179:D665)</f>
        <v>820975778.34662843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SUM(D180:D666)</f>
        <v>820933686.34662843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SUM(D181:D667)</f>
        <v>820902576.34662843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SUM(D182:D671)</f>
        <v>820877156.34662843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SUM(D183:D672)</f>
        <v>820848717.34662843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SUM(D184:D673)</f>
        <v>820813474.34662843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SUM(D185:D674)</f>
        <v>854488949.06091416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SUM(D186:D675)</f>
        <v>905299491.91805696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SUM(D187:D676)</f>
        <v>973831638.4894855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SUM(D188:D678)</f>
        <v>973799781.4894855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SUM(D189:D679)</f>
        <v>1151346985.060914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SUM(D190:D683)</f>
        <v>1151310538.060914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SUM(D191:D684)</f>
        <v>1151270384.060914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SUM(D192:D685)</f>
        <v>1151224089.060914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SUM(D193:D686)</f>
        <v>1151172744.060914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SUM(D194:D687)</f>
        <v>1151129131.060914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SUM(D195:D688)</f>
        <v>1151095745.060914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SUM(D196:D694)</f>
        <v>1151058941.060914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SUM(D197:D695)</f>
        <v>1151023245.060914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SUM(D198:D696)</f>
        <v>1150981629.060914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SUM(D199:D697)</f>
        <v>1150936274.060914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SUM(D200:D699)</f>
        <v>1150882645.060914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SUM(D201:D701)</f>
        <v>1150839439.060914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SUM(D202:D702)</f>
        <v>1150805657.060914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SUM(D203:D703)</f>
        <v>1150768239.060914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SUM(D204:D704)</f>
        <v>1150724012.060914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SUM(D205:D705)</f>
        <v>1150683083.060914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SUM(D206:D706)</f>
        <v>1150635694.060914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SUM(D207:D707)</f>
        <v>1150584291.060914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SUM(D208:D708)</f>
        <v>1150535366.060914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SUM(D209:D709)</f>
        <v>1150501300.060914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SUM(D210:D710)</f>
        <v>1150463583.060914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SUM(D211:D711)</f>
        <v>1150418915.060914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SUM(D212:D712)</f>
        <v>1150369557.060914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SUM(D213:D713)</f>
        <v>1150312239.060914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SUM(D214:D714)</f>
        <v>1150251256.060914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SUM(D215:D715)</f>
        <v>1150197021.060914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SUM(D216:D716)</f>
        <v>1150155086.060914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SUM(D217:D717)</f>
        <v>1150109295.060914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SUM(D218:D718)</f>
        <v>1150057761.060914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SUM(D219:D719)</f>
        <v>1149998068.060914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SUM(D220:D720)</f>
        <v>1149931939.060914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SUM(D221:D721)</f>
        <v>1149860252.060914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SUM(D222:D722)</f>
        <v>1149806020.060914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SUM(D223:D723)</f>
        <v>1149761079.060914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SUM(D224:D724)</f>
        <v>1149703752.060914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SUM(D225:D725)</f>
        <v>1149641680.060914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SUM(D226:D726)</f>
        <v>1149578017.060914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SUM(D227:D727)</f>
        <v>1149503716.060914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SUM(D228:D728)</f>
        <v>1149422302.060914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SUM(D229:D729)</f>
        <v>1149342853.060914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SUM(D230:D730)</f>
        <v>1149281964.060914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SUM(D231:D731)</f>
        <v>1149212123.060914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SUM(D232:D732)</f>
        <v>1149137051.060914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SUM(D233:D733)</f>
        <v>1149055470.060914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SUM(D234:D734)</f>
        <v>1148963940.060914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SUM(D235:D735)</f>
        <v>1148862479.060914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SUM(D236:D736)</f>
        <v>1148776186.060914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SUM(D237:D737)</f>
        <v>1148704865.060914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SUM(D238:D738)</f>
        <v>1148615960.060914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SUM(D239:D739)</f>
        <v>1148521493.060914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SUM(D240:D740)</f>
        <v>1148413104.060914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SUM(D241:D741)</f>
        <v>1148294785.060914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SUM(D242:D742)</f>
        <v>1148162244.060914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SUM(D243:D743)</f>
        <v>1148037854.060914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SUM(D244:D744)</f>
        <v>1147935128.060914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SUM(D245:D745)</f>
        <v>1147809439.060914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SUM(D246:D746)</f>
        <v>1147673786.060914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SUM(D247:D747)</f>
        <v>1147530880.060914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SUM(D248:D748)</f>
        <v>1147369339.060914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SUM(D249:D749)</f>
        <v>1147185812.060914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SUM(D250:D750)</f>
        <v>1147028559.060914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SUM(D251:D751)</f>
        <v>1146890310.060914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SUM(D252:D752)</f>
        <v>1146728161.060914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SUM(D253:D753)</f>
        <v>1146570900.060914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SUM(D254:D754)</f>
        <v>1146397132.060914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SUM(D255:D755)</f>
        <v>1146204946.060914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SUM(D256:D756)</f>
        <v>1146000767.060914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SUM(D257:D757)</f>
        <v>1145827928.060914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SUM(D258:D758)</f>
        <v>1145691301.060914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SUM(D259:D759)</f>
        <v>1145519001.060914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SUM(D260:D760)</f>
        <v>1145341919.060914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SUM(D261:D761)</f>
        <v>1145161016.060914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SUM(D262:D762)</f>
        <v>1145052953.060914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SUM(D263:D763)</f>
        <v>1144888941.060914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SUM(D264:D764)</f>
        <v>1144745568.060914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SUM(D265:D765)</f>
        <v>1144607380.060914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SUM(D266:D766)</f>
        <v>1144445812.060914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SUM(D267:D767)</f>
        <v>1144263536.060914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SUM(D268:D768)</f>
        <v>1144059799.060914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SUM(D269:D769)</f>
        <v>1143841223.060914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SUM(D270:D770)</f>
        <v>1143605951.060914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SUM(D271:D771)</f>
        <v>1143393468.060914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SUM(D272:D772)</f>
        <v>1143210689.060914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SUM(D273:D773)</f>
        <v>1143010604.060914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SUM(D274:D774)</f>
        <v>1142800848.060914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SUM(D275:D775)</f>
        <v>1142573895.060914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SUM(D276:D776)</f>
        <v>1142346581.060914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SUM(D277:D777)</f>
        <v>1142099820.060914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SUM(D278:D778)</f>
        <v>1141879522.060914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SUM(D279:D779)</f>
        <v>1141691621.060914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SUM(D280:D780)</f>
        <v>1141491889.060914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SUM(D281:D781)</f>
        <v>1141291854.060914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SUM(D282:D782)</f>
        <v>1141041681.060914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SUM(D283:D783)</f>
        <v>1140803809.060914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SUM(D284:D784)</f>
        <v>1140549129.060914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SUM(D285:D785)</f>
        <v>1140359479.060914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SUM(D286:D786)</f>
        <v>1140171199.060914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SUM(D287:D787)</f>
        <v>1139971090.060914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SUM(D288:D788)</f>
        <v>1139772010.060914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SUM(D289:D789)</f>
        <v>1139539668.060914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SUM(D290:D790)</f>
        <v>1139346638.060914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SUM(D291:D791)</f>
        <v>1139247798.060914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SUM(D292:D792)</f>
        <v>1139087194.060914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SUM(D293:D793)</f>
        <v>1138959454.060914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SUM(D294:D794)</f>
        <v>1138773063.060914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SUM(D295:D795)</f>
        <v>1138573441.060914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SUM(D296:D796)</f>
        <v>1138338666.060914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SUM(D297:D797)</f>
        <v>1138110253.060914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SUM(D298:D798)</f>
        <v>1137944209.060914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SUM(D299:D799)</f>
        <v>1137711982.060914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SUM(D300:D800)</f>
        <v>1137517645.060914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SUM(D301:D801)</f>
        <v>1137327483.060914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SUM(D302:D802)</f>
        <v>1137092772.060914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SUM(D303:D803)</f>
        <v>1136831799.060914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SUM(D304:D804)</f>
        <v>1136557609.060914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SUM(D305:D805)</f>
        <v>1136251160.060914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SUM(D306:D806)</f>
        <v>1136001466.060914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SUM(D307:D807)</f>
        <v>1135780639.060914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SUM(D308:D808)</f>
        <v>1135565956.060914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SUM(D309:D809)</f>
        <v>1135342328.060914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SUM(D310:D810)</f>
        <v>1135104255.060914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SUM(D311:D811)</f>
        <v>1134869836.060914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SUM(D312:D812)</f>
        <v>1134621030.060914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SUM(D313:D813)</f>
        <v>1134418263.060914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SUM(D314:D814)</f>
        <v>1134243703.060914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SUM(D315:D815)</f>
        <v>1134094375.060914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SUM(D316:D816)</f>
        <v>1133919997.060914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SUM(D317:D817)</f>
        <v>1133729916.060914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SUM(D318:D818)</f>
        <v>1133536158.060914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SUM(D319:D819)</f>
        <v>1133344093.060914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SUM(D320:D820)</f>
        <v>1133171026.060914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SUM(D321:D821)</f>
        <v>1133035844.060914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SUM(D322:D822)</f>
        <v>1132883600.060914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SUM(D323:D823)</f>
        <v>1132731873.060914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SUM(D324:D824)</f>
        <v>1132571842.060914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SUM(D325:D825)</f>
        <v>1132409209.060914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SUM(D326:D826)</f>
        <v>1132240176.060914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SUM(D327:D827)</f>
        <v>1132099444.060914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SUM(D328:D828)</f>
        <v>1131991628.060914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SUM(D329:D829)</f>
        <v>1131865176.060914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SUM(D330:D830)</f>
        <v>1131748949.060914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SUM(D331:D831)</f>
        <v>1131635490.060914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SUM(D332:D832)</f>
        <v>1131513753.060914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SUM(D333:D833)</f>
        <v>1131387628.060914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SUM(D334:D834)</f>
        <v>1131281645.060914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SUM(D335:D835)</f>
        <v>1131190389.060914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SUM(D336:D836)</f>
        <v>1131100043.060914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SUM(D337:D837)</f>
        <v>1131004501.060914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SUM(D338:D838)</f>
        <v>1130907695.060914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SUM(D339:D839)</f>
        <v>1130803451.060914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SUM(D340:D840)</f>
        <v>1130703163.060914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SUM(D341:D841)</f>
        <v>1130616679.060914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SUM(D342:D842)</f>
        <v>1130552382.060914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SUM(D343:D843)</f>
        <v>1130499597.060914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SUM(D344:D844)</f>
        <v>1130436199.060914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SUM(D345:D845)</f>
        <v>1130364559.060914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SUM(D346:D846)</f>
        <v>1130295635.060914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SUM(D347:D847)</f>
        <v>1130210096.060914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SUM(D348:D848)</f>
        <v>1130140479.060914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SUM(D349:D849)</f>
        <v>1130083254.060914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SUM(D350:D850)</f>
        <v>1130012200.060914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SUM(D351:D851)</f>
        <v>1129938496.060914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SUM(D352:D852)</f>
        <v>1129863197.060914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SUM(D353:D853)</f>
        <v>1129785820.060914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SUM(D354:D854)</f>
        <v>1129705195.060914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SUM(D355:D855)</f>
        <v>1129640875.060914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SUM(D356:D856)</f>
        <v>1129591463.060914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SUM(D357:D857)</f>
        <v>1129536282.060914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SUM(D358:D858)</f>
        <v>1129479392.060914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SUM(D359:D859)</f>
        <v>1129412167.060914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SUM(D360:D860)</f>
        <v>1129343846.060914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SUM(D361:D861)</f>
        <v>1129274606.060914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SUM(D362:D862)</f>
        <v>1129216378.060914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SUM(D363:D863)</f>
        <v>1129174411.060914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SUM(D364:D864)</f>
        <v>1129129043.060914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SUM(D365:D865)</f>
        <v>1129073360.060914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579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SUM(D366:D866)</f>
        <v>1129012000.060914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SUM(D367:D867)</f>
        <v>1128949227.060914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SUM(D368:D868)</f>
        <v>1128882442.060914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SUM(D369:D869)</f>
        <v>1128832724.060914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SUM(D370:D870)</f>
        <v>1128795828.060914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SUM(D371:D871)</f>
        <v>1128749061.060914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SUM(D372:D872)</f>
        <v>1128695830.060914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SUM(D373:D873)</f>
        <v>1128632335.060914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SUM(D374:D874)</f>
        <v>1128569706.060914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SUM(D375:D875)</f>
        <v>1128503293.060914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SUM(D376:D876)</f>
        <v>1128447385.060914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SUM(D377:D877)</f>
        <v>1128407880.060914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SUM(D378:D878)</f>
        <v>1128362132.060914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SUM(D379:D879)</f>
        <v>1128303427.060914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SUM(D380:D880)</f>
        <v>1128236889.060914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SUM(D381:D881)</f>
        <v>1128169843.060914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SUM(D382:D882)</f>
        <v>1128092867.060914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SUM(D383:D883)</f>
        <v>1128029208.060914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SUM(D384:D884)</f>
        <v>1127985112.060914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SUM(D385:D885)</f>
        <v>1127924914.060914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SUM(D386:D886)</f>
        <v>1127862455.060914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SUM(D387:D887)</f>
        <v>1127793699.060914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SUM(D388:D888)</f>
        <v>1127749448.060914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SUM(D389:D889)</f>
        <v>1127679424.060914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SUM(D390:D890)</f>
        <v>1127613270.060914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SUM(D391:D891)</f>
        <v>1127576287.060914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SUM(D392:D892)</f>
        <v>1127518643.060914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SUM(D393:D893)</f>
        <v>1127456360.060914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SUM(D394:D894)</f>
        <v>1127381177.060914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SUM(D395:D895)</f>
        <v>1127301016.060914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SUM(D396:D896)</f>
        <v>1127215648.060914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SUM(D397:D897)</f>
        <v>1127148868.060914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SUM(D398:D898)</f>
        <v>1127100994.060914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SUM(D399:D899)</f>
        <v>1127044472.060914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SUM(D400:D900)</f>
        <v>1126966752.060914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SUM(D401:D901)</f>
        <v>1126888313.060914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SUM(D402:D902)</f>
        <v>1126813834.060914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SUM(D403:D903)</f>
        <v>1126732061.060914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SUM(D404:D904)</f>
        <v>1126668480.060914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SUM(D405:D905)</f>
        <v>1126625299.060914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SUM(D406:D906)</f>
        <v>1126573649.060914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SUM(D407:D907)</f>
        <v>1126513332.060914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SUM(D408:D908)</f>
        <v>1126448275.060914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SUM(D409:D909)</f>
        <v>1126381205.060914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SUM(D410:D910)</f>
        <v>1126314690.060914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:H471" si="374">+H439+D440</f>
        <v>33534078</v>
      </c>
      <c r="I440" s="16"/>
      <c r="J440" s="436">
        <f t="shared" ref="J440:J471" si="375">+D440/H439</f>
        <v>6.0769156218803814E-4</v>
      </c>
      <c r="K440" s="16"/>
      <c r="L440" s="16"/>
      <c r="M440" s="16"/>
      <c r="N440" s="16">
        <f t="shared" ref="N440:N471" si="376">SUM(D434:D440)</f>
        <v>168821</v>
      </c>
      <c r="O440" s="16">
        <f t="shared" ref="O440:O471" si="377">+H440/BW440</f>
        <v>77805.285382830625</v>
      </c>
      <c r="P440" s="41"/>
      <c r="Q440" s="17">
        <f t="shared" ref="Q440:Q471" si="378">SUM(D434:D440)</f>
        <v>168821</v>
      </c>
      <c r="R440" s="16"/>
      <c r="S440" s="60">
        <f t="shared" ref="S440:S471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:Z471" si="380">SUM(W435:W440)</f>
        <v>3013</v>
      </c>
      <c r="AA440" s="33">
        <f t="shared" ref="AA440:AA471" si="381">+AA439+W440</f>
        <v>592562</v>
      </c>
      <c r="AB440" s="33"/>
      <c r="AC440" s="46">
        <f t="shared" ref="AC440:AC471" si="382">+AA440/H440</f>
        <v>1.767044258679186E-2</v>
      </c>
      <c r="AD440" s="33"/>
      <c r="AE440" s="33">
        <f t="shared" ref="AE440:AE471" si="383">+AA440/BW440</f>
        <v>1374.8538283062644</v>
      </c>
      <c r="AF440" s="50"/>
      <c r="AG440" s="33">
        <f t="shared" ref="AG440:AG471" si="384">SUM(W434:W440)</f>
        <v>3746</v>
      </c>
      <c r="AH440" s="33">
        <f>SUM(D411:D911)</f>
        <v>1126261410.060914</v>
      </c>
      <c r="AI440" s="213">
        <f t="shared" ref="AI440:AI471" si="385">+(AG440-AG433)/AG433</f>
        <v>-0.11567516525023608</v>
      </c>
      <c r="AJ440" s="50"/>
      <c r="AK440" s="111"/>
      <c r="AL440" s="23">
        <f t="shared" ref="AL440:AL471" si="386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:AR471" si="387">+AL440/AP439</f>
        <v>2.2425433841697707E-3</v>
      </c>
      <c r="AS440" s="25"/>
      <c r="AT440" s="25"/>
      <c r="AU440" s="24"/>
      <c r="AV440" s="298">
        <f t="shared" ref="AV440:AV471" si="388">+AP440/H440</f>
        <v>0.82196773085575814</v>
      </c>
      <c r="AW440" s="298"/>
      <c r="AX440" s="24">
        <f t="shared" ref="AX440:AX471" si="389">+AP440/BW440</f>
        <v>63953.433874709975</v>
      </c>
      <c r="AY440" s="308"/>
      <c r="AZ440" s="111"/>
      <c r="BA440" s="65">
        <f t="shared" ref="BA440:BA471" si="390">+BC440-BC439</f>
        <v>1063757</v>
      </c>
      <c r="BB440" s="66"/>
      <c r="BC440" s="66">
        <v>474368613</v>
      </c>
      <c r="BD440" s="66"/>
      <c r="BE440" s="66">
        <f t="shared" ref="BE440:BE471" si="391">+D440</f>
        <v>20366</v>
      </c>
      <c r="BF440" s="66"/>
      <c r="BG440" s="144">
        <f t="shared" ref="BG440:BG471" si="392">+BE440/BA440</f>
        <v>1.9145349924841858E-2</v>
      </c>
      <c r="BH440" s="66"/>
      <c r="BI440" s="170"/>
      <c r="BJ440" s="66"/>
      <c r="BK440" s="66">
        <f t="shared" ref="BK440:BK471" si="393">SUM(BA434:BA440)</f>
        <v>7145817</v>
      </c>
      <c r="BL440" s="66"/>
      <c r="BM440" s="144">
        <f t="shared" ref="BM440:BM471" si="394">+Q440/BK440</f>
        <v>2.3625150210255873E-2</v>
      </c>
      <c r="BN440" s="65">
        <f t="shared" ref="BN440:BN471" si="395">+BC440/BW440</f>
        <v>1100623.2320185616</v>
      </c>
      <c r="BO440" s="66"/>
      <c r="BP440" s="66">
        <f t="shared" ref="BP440:BP471" si="396">+BP439+BE440</f>
        <v>32627100</v>
      </c>
      <c r="BQ440" s="66"/>
      <c r="BR440" s="435">
        <f t="shared" ref="BR440:BR471" si="397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si="374"/>
        <v>33556816</v>
      </c>
      <c r="I441" s="16"/>
      <c r="J441" s="436">
        <f t="shared" si="375"/>
        <v>6.780565131386645E-4</v>
      </c>
      <c r="K441" s="16"/>
      <c r="L441" s="16"/>
      <c r="M441" s="16"/>
      <c r="N441" s="16">
        <f t="shared" si="376"/>
        <v>164053</v>
      </c>
      <c r="O441" s="16">
        <f t="shared" si="377"/>
        <v>77677.814814814818</v>
      </c>
      <c r="P441" s="41"/>
      <c r="Q441" s="17">
        <f t="shared" si="378"/>
        <v>164053</v>
      </c>
      <c r="R441" s="16"/>
      <c r="S441" s="60">
        <f t="shared" si="379"/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si="380"/>
        <v>3046</v>
      </c>
      <c r="AA441" s="33">
        <f t="shared" si="381"/>
        <v>593231</v>
      </c>
      <c r="AB441" s="33"/>
      <c r="AC441" s="46">
        <f t="shared" si="382"/>
        <v>1.7678405484000629E-2</v>
      </c>
      <c r="AD441" s="33"/>
      <c r="AE441" s="33">
        <f t="shared" si="383"/>
        <v>1373.2199074074074</v>
      </c>
      <c r="AF441" s="50"/>
      <c r="AG441" s="33">
        <f t="shared" si="384"/>
        <v>3682</v>
      </c>
      <c r="AH441" s="33">
        <f>SUM(D412:D912)</f>
        <v>1126226674.060914</v>
      </c>
      <c r="AI441" s="213">
        <f t="shared" si="385"/>
        <v>-0.12872692853762424</v>
      </c>
      <c r="AJ441" s="50"/>
      <c r="AK441" s="111"/>
      <c r="AL441" s="23">
        <f t="shared" si="386"/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si="387"/>
        <v>1.5423054695030789E-3</v>
      </c>
      <c r="AS441" s="25"/>
      <c r="AT441" s="25"/>
      <c r="AU441" s="24"/>
      <c r="AV441" s="298">
        <f t="shared" si="388"/>
        <v>0.82267763425469209</v>
      </c>
      <c r="AW441" s="298"/>
      <c r="AX441" s="24">
        <f t="shared" si="389"/>
        <v>63903.800925925927</v>
      </c>
      <c r="AY441" s="308"/>
      <c r="AZ441" s="111"/>
      <c r="BA441" s="65">
        <f t="shared" si="390"/>
        <v>858209</v>
      </c>
      <c r="BB441" s="66"/>
      <c r="BC441" s="66">
        <v>475226822</v>
      </c>
      <c r="BD441" s="66"/>
      <c r="BE441" s="66">
        <f t="shared" si="391"/>
        <v>22738</v>
      </c>
      <c r="BF441" s="66"/>
      <c r="BG441" s="144">
        <f t="shared" si="392"/>
        <v>2.6494711661145479E-2</v>
      </c>
      <c r="BH441" s="66"/>
      <c r="BI441" s="170"/>
      <c r="BJ441" s="66"/>
      <c r="BK441" s="66">
        <f t="shared" si="393"/>
        <v>7158720</v>
      </c>
      <c r="BL441" s="66"/>
      <c r="BM441" s="144">
        <f t="shared" si="394"/>
        <v>2.2916526976889725E-2</v>
      </c>
      <c r="BN441" s="65">
        <f t="shared" si="395"/>
        <v>1100062.0879629629</v>
      </c>
      <c r="BO441" s="66"/>
      <c r="BP441" s="66">
        <f t="shared" si="396"/>
        <v>32649838</v>
      </c>
      <c r="BQ441" s="66"/>
      <c r="BR441" s="435">
        <f t="shared" si="397"/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518" si="398">1+B441</f>
        <v>44342</v>
      </c>
      <c r="C442" s="61"/>
      <c r="D442" s="17">
        <v>23500</v>
      </c>
      <c r="E442" s="16"/>
      <c r="F442" s="16"/>
      <c r="G442" s="16"/>
      <c r="H442" s="16">
        <f t="shared" si="374"/>
        <v>33580316</v>
      </c>
      <c r="I442" s="16"/>
      <c r="J442" s="436">
        <f t="shared" si="375"/>
        <v>7.0030482033813933E-4</v>
      </c>
      <c r="K442" s="16"/>
      <c r="L442" s="16"/>
      <c r="M442" s="16"/>
      <c r="N442" s="16">
        <f t="shared" si="376"/>
        <v>159012</v>
      </c>
      <c r="O442" s="16">
        <f t="shared" si="377"/>
        <v>77552.692840646647</v>
      </c>
      <c r="P442" s="41"/>
      <c r="Q442" s="17">
        <f t="shared" si="378"/>
        <v>159012</v>
      </c>
      <c r="R442" s="16"/>
      <c r="S442" s="60">
        <f t="shared" si="379"/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si="380"/>
        <v>2994</v>
      </c>
      <c r="AA442" s="33">
        <f t="shared" si="381"/>
        <v>593838</v>
      </c>
      <c r="AB442" s="33"/>
      <c r="AC442" s="46">
        <f t="shared" si="382"/>
        <v>1.7684109941073813E-2</v>
      </c>
      <c r="AD442" s="33"/>
      <c r="AE442" s="33">
        <f t="shared" si="383"/>
        <v>1371.4503464203233</v>
      </c>
      <c r="AF442" s="50"/>
      <c r="AG442" s="33">
        <f t="shared" si="384"/>
        <v>3653</v>
      </c>
      <c r="AH442" s="33">
        <f>SUM(D413:D913)</f>
        <v>1126179218.060914</v>
      </c>
      <c r="AI442" s="213">
        <f t="shared" si="385"/>
        <v>-9.1519522506839091E-2</v>
      </c>
      <c r="AJ442" s="50"/>
      <c r="AK442" s="111"/>
      <c r="AL442" s="23">
        <f t="shared" si="386"/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si="387"/>
        <v>2.0222091640784423E-3</v>
      </c>
      <c r="AS442" s="25"/>
      <c r="AT442" s="25"/>
      <c r="AU442" s="24"/>
      <c r="AV442" s="298">
        <f t="shared" si="388"/>
        <v>0.82376437434358862</v>
      </c>
      <c r="AW442" s="298"/>
      <c r="AX442" s="24">
        <f t="shared" si="389"/>
        <v>63885.145496535799</v>
      </c>
      <c r="AY442" s="308"/>
      <c r="AZ442" s="111"/>
      <c r="BA442" s="65">
        <f t="shared" si="390"/>
        <v>913421</v>
      </c>
      <c r="BB442" s="66"/>
      <c r="BC442" s="66">
        <v>476140243</v>
      </c>
      <c r="BD442" s="66"/>
      <c r="BE442" s="66">
        <f t="shared" si="391"/>
        <v>23500</v>
      </c>
      <c r="BF442" s="66"/>
      <c r="BG442" s="144">
        <f t="shared" si="392"/>
        <v>2.5727457546958085E-2</v>
      </c>
      <c r="BH442" s="66"/>
      <c r="BI442" s="170"/>
      <c r="BJ442" s="66"/>
      <c r="BK442" s="66">
        <f t="shared" si="393"/>
        <v>7194641</v>
      </c>
      <c r="BL442" s="66"/>
      <c r="BM442" s="144">
        <f t="shared" si="394"/>
        <v>2.2101450232193655E-2</v>
      </c>
      <c r="BN442" s="65">
        <f t="shared" si="395"/>
        <v>1099631.0461893764</v>
      </c>
      <c r="BO442" s="66"/>
      <c r="BP442" s="66">
        <f t="shared" si="396"/>
        <v>32673338</v>
      </c>
      <c r="BQ442" s="66"/>
      <c r="BR442" s="435">
        <f t="shared" si="397"/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398"/>
        <v>44343</v>
      </c>
      <c r="C443" s="61"/>
      <c r="D443" s="17">
        <v>24393</v>
      </c>
      <c r="E443" s="16"/>
      <c r="F443" s="16"/>
      <c r="G443" s="16"/>
      <c r="H443" s="16">
        <f t="shared" si="374"/>
        <v>33604709</v>
      </c>
      <c r="I443" s="16"/>
      <c r="J443" s="436">
        <f t="shared" si="375"/>
        <v>7.2640769669945929E-4</v>
      </c>
      <c r="K443" s="16"/>
      <c r="L443" s="16"/>
      <c r="M443" s="16"/>
      <c r="N443" s="16">
        <f t="shared" si="376"/>
        <v>153191</v>
      </c>
      <c r="O443" s="16">
        <f t="shared" si="377"/>
        <v>77430.205069124422</v>
      </c>
      <c r="P443" s="41"/>
      <c r="Q443" s="17">
        <f t="shared" si="378"/>
        <v>153191</v>
      </c>
      <c r="R443" s="16"/>
      <c r="S443" s="60">
        <f t="shared" si="379"/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si="380"/>
        <v>2967</v>
      </c>
      <c r="AA443" s="33">
        <f t="shared" si="381"/>
        <v>594468</v>
      </c>
      <c r="AB443" s="33"/>
      <c r="AC443" s="46">
        <f t="shared" si="382"/>
        <v>1.7690020764649383E-2</v>
      </c>
      <c r="AD443" s="33"/>
      <c r="AE443" s="33">
        <f t="shared" si="383"/>
        <v>1369.741935483871</v>
      </c>
      <c r="AF443" s="50"/>
      <c r="AG443" s="33">
        <f t="shared" si="384"/>
        <v>3624</v>
      </c>
      <c r="AH443" s="33">
        <f>SUM(D414:D914)</f>
        <v>1126127172.060914</v>
      </c>
      <c r="AI443" s="213">
        <f t="shared" si="385"/>
        <v>-7.5038284839203676E-2</v>
      </c>
      <c r="AJ443" s="50"/>
      <c r="AK443" s="111"/>
      <c r="AL443" s="23">
        <f t="shared" si="386"/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si="387"/>
        <v>1.4319505544520066E-3</v>
      </c>
      <c r="AS443" s="25"/>
      <c r="AT443" s="25"/>
      <c r="AU443" s="24"/>
      <c r="AV443" s="298">
        <f t="shared" si="388"/>
        <v>0.82434515353190529</v>
      </c>
      <c r="AW443" s="298"/>
      <c r="AX443" s="24">
        <f t="shared" si="389"/>
        <v>63829.214285714283</v>
      </c>
      <c r="AY443" s="308"/>
      <c r="AZ443" s="111"/>
      <c r="BA443" s="65">
        <f t="shared" si="390"/>
        <v>1008406</v>
      </c>
      <c r="BB443" s="66"/>
      <c r="BC443" s="66">
        <v>477148649</v>
      </c>
      <c r="BD443" s="66"/>
      <c r="BE443" s="66">
        <f t="shared" si="391"/>
        <v>24393</v>
      </c>
      <c r="BF443" s="66"/>
      <c r="BG443" s="144">
        <f t="shared" si="392"/>
        <v>2.4189661703718543E-2</v>
      </c>
      <c r="BH443" s="66"/>
      <c r="BI443" s="170"/>
      <c r="BJ443" s="66"/>
      <c r="BK443" s="66">
        <f t="shared" si="393"/>
        <v>7030345</v>
      </c>
      <c r="BL443" s="66"/>
      <c r="BM443" s="144">
        <f t="shared" si="394"/>
        <v>2.1789969055572664E-2</v>
      </c>
      <c r="BN443" s="65">
        <f t="shared" si="395"/>
        <v>1099420.8502304147</v>
      </c>
      <c r="BO443" s="66"/>
      <c r="BP443" s="66">
        <f t="shared" si="396"/>
        <v>32697731</v>
      </c>
      <c r="BQ443" s="66"/>
      <c r="BR443" s="435">
        <f t="shared" si="397"/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398"/>
        <v>44344</v>
      </c>
      <c r="C444" s="61"/>
      <c r="D444" s="17">
        <v>22813</v>
      </c>
      <c r="E444" s="16"/>
      <c r="F444" s="16"/>
      <c r="G444" s="16"/>
      <c r="H444" s="16">
        <f t="shared" si="374"/>
        <v>33627522</v>
      </c>
      <c r="I444" s="16"/>
      <c r="J444" s="436">
        <f t="shared" si="375"/>
        <v>6.7886319146521991E-4</v>
      </c>
      <c r="K444" s="16"/>
      <c r="L444" s="16"/>
      <c r="M444" s="16"/>
      <c r="N444" s="16">
        <f t="shared" si="376"/>
        <v>146990</v>
      </c>
      <c r="O444" s="16">
        <f t="shared" si="377"/>
        <v>77304.64827586207</v>
      </c>
      <c r="P444" s="41"/>
      <c r="Q444" s="17">
        <f t="shared" si="378"/>
        <v>146990</v>
      </c>
      <c r="R444" s="16"/>
      <c r="S444" s="60">
        <f t="shared" si="379"/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si="380"/>
        <v>3126</v>
      </c>
      <c r="AA444" s="33">
        <f t="shared" si="381"/>
        <v>595095</v>
      </c>
      <c r="AB444" s="33"/>
      <c r="AC444" s="46">
        <f t="shared" si="382"/>
        <v>1.7696665249375198E-2</v>
      </c>
      <c r="AD444" s="33"/>
      <c r="AE444" s="33">
        <f t="shared" si="383"/>
        <v>1368.0344827586207</v>
      </c>
      <c r="AF444" s="50"/>
      <c r="AG444" s="33">
        <f t="shared" si="384"/>
        <v>3594</v>
      </c>
      <c r="AH444" s="33">
        <f>SUM(D415:D915)</f>
        <v>1126070568.060914</v>
      </c>
      <c r="AI444" s="213">
        <f t="shared" si="385"/>
        <v>-6.4549713690786048E-2</v>
      </c>
      <c r="AJ444" s="50"/>
      <c r="AK444" s="111"/>
      <c r="AL444" s="23">
        <f t="shared" si="386"/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si="387"/>
        <v>2.3522231109304897E-3</v>
      </c>
      <c r="AS444" s="25"/>
      <c r="AT444" s="25"/>
      <c r="AU444" s="24"/>
      <c r="AV444" s="298">
        <f t="shared" si="388"/>
        <v>0.82572364386528396</v>
      </c>
      <c r="AW444" s="298"/>
      <c r="AX444" s="24">
        <f t="shared" si="389"/>
        <v>63832.275862068964</v>
      </c>
      <c r="AY444" s="308"/>
      <c r="AZ444" s="111"/>
      <c r="BA444" s="65">
        <f t="shared" si="390"/>
        <v>992768</v>
      </c>
      <c r="BB444" s="66"/>
      <c r="BC444" s="66">
        <v>478141417</v>
      </c>
      <c r="BD444" s="66"/>
      <c r="BE444" s="66">
        <f t="shared" si="391"/>
        <v>22813</v>
      </c>
      <c r="BF444" s="66"/>
      <c r="BG444" s="144">
        <f t="shared" si="392"/>
        <v>2.297918546931408E-2</v>
      </c>
      <c r="BH444" s="66"/>
      <c r="BI444" s="170"/>
      <c r="BJ444" s="66"/>
      <c r="BK444" s="66">
        <f t="shared" si="393"/>
        <v>6597505</v>
      </c>
      <c r="BL444" s="66"/>
      <c r="BM444" s="144">
        <f t="shared" si="394"/>
        <v>2.2279634498192879E-2</v>
      </c>
      <c r="BN444" s="65">
        <f t="shared" si="395"/>
        <v>1099175.6712643679</v>
      </c>
      <c r="BO444" s="66"/>
      <c r="BP444" s="66">
        <f t="shared" si="396"/>
        <v>32720544</v>
      </c>
      <c r="BQ444" s="66"/>
      <c r="BR444" s="435">
        <f t="shared" si="397"/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398"/>
        <v>44345</v>
      </c>
      <c r="C445" s="61"/>
      <c r="D445" s="17">
        <v>12661</v>
      </c>
      <c r="E445" s="16"/>
      <c r="F445" s="16"/>
      <c r="G445" s="16"/>
      <c r="H445" s="16">
        <f t="shared" si="374"/>
        <v>33640183</v>
      </c>
      <c r="I445" s="16"/>
      <c r="J445" s="436">
        <f t="shared" si="375"/>
        <v>3.7650707655473395E-4</v>
      </c>
      <c r="K445" s="16"/>
      <c r="L445" s="16"/>
      <c r="M445" s="16"/>
      <c r="N445" s="16">
        <f t="shared" si="376"/>
        <v>140012</v>
      </c>
      <c r="O445" s="16">
        <f t="shared" si="377"/>
        <v>77156.383027522941</v>
      </c>
      <c r="P445" s="41"/>
      <c r="Q445" s="17">
        <f t="shared" si="378"/>
        <v>140012</v>
      </c>
      <c r="R445" s="16"/>
      <c r="S445" s="60">
        <f t="shared" si="379"/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si="380"/>
        <v>3248</v>
      </c>
      <c r="AA445" s="33">
        <f t="shared" si="381"/>
        <v>595445</v>
      </c>
      <c r="AB445" s="33"/>
      <c r="AC445" s="46">
        <f t="shared" si="382"/>
        <v>1.770040906138947E-2</v>
      </c>
      <c r="AD445" s="33"/>
      <c r="AE445" s="33">
        <f t="shared" si="383"/>
        <v>1365.6995412844037</v>
      </c>
      <c r="AF445" s="50"/>
      <c r="AG445" s="33">
        <f t="shared" si="384"/>
        <v>3476</v>
      </c>
      <c r="AH445" s="33">
        <f>SUM(D416:D916)</f>
        <v>1126011299.060914</v>
      </c>
      <c r="AI445" s="213">
        <f t="shared" si="385"/>
        <v>-8.7903437418000524E-2</v>
      </c>
      <c r="AJ445" s="50"/>
      <c r="AK445" s="111"/>
      <c r="AL445" s="23">
        <f t="shared" si="386"/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si="387"/>
        <v>1.8698788203567972E-3</v>
      </c>
      <c r="AS445" s="25"/>
      <c r="AT445" s="25"/>
      <c r="AU445" s="24"/>
      <c r="AV445" s="298">
        <f t="shared" si="388"/>
        <v>0.82695629212242994</v>
      </c>
      <c r="AW445" s="298"/>
      <c r="AX445" s="24">
        <f t="shared" si="389"/>
        <v>63804.956422018346</v>
      </c>
      <c r="AY445" s="308"/>
      <c r="AZ445" s="111"/>
      <c r="BA445" s="65">
        <f t="shared" si="390"/>
        <v>775719</v>
      </c>
      <c r="BB445" s="66"/>
      <c r="BC445" s="66">
        <v>478917136</v>
      </c>
      <c r="BD445" s="66"/>
      <c r="BE445" s="66">
        <f t="shared" si="391"/>
        <v>12661</v>
      </c>
      <c r="BF445" s="66"/>
      <c r="BG445" s="144">
        <f t="shared" si="392"/>
        <v>1.6321631931150327E-2</v>
      </c>
      <c r="BH445" s="66"/>
      <c r="BI445" s="170"/>
      <c r="BJ445" s="66"/>
      <c r="BK445" s="66">
        <f t="shared" si="393"/>
        <v>6378525</v>
      </c>
      <c r="BL445" s="66"/>
      <c r="BM445" s="144">
        <f t="shared" si="394"/>
        <v>2.1950529315162989E-2</v>
      </c>
      <c r="BN445" s="65">
        <f t="shared" si="395"/>
        <v>1098433.7981651376</v>
      </c>
      <c r="BO445" s="66"/>
      <c r="BP445" s="66">
        <f t="shared" si="396"/>
        <v>32733205</v>
      </c>
      <c r="BQ445" s="66"/>
      <c r="BR445" s="435">
        <f t="shared" si="397"/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398"/>
        <v>44346</v>
      </c>
      <c r="C446" s="61"/>
      <c r="D446" s="17">
        <v>7750</v>
      </c>
      <c r="E446" s="16"/>
      <c r="F446" s="16"/>
      <c r="G446" s="16"/>
      <c r="H446" s="16">
        <f t="shared" si="374"/>
        <v>33647933</v>
      </c>
      <c r="I446" s="16"/>
      <c r="J446" s="436">
        <f t="shared" si="375"/>
        <v>2.3037924615332801E-4</v>
      </c>
      <c r="K446" s="16"/>
      <c r="L446" s="16"/>
      <c r="M446" s="16"/>
      <c r="N446" s="16">
        <f t="shared" si="376"/>
        <v>134221</v>
      </c>
      <c r="O446" s="16">
        <f t="shared" si="377"/>
        <v>76997.558352402746</v>
      </c>
      <c r="P446" s="41"/>
      <c r="Q446" s="17">
        <f t="shared" si="378"/>
        <v>134221</v>
      </c>
      <c r="R446" s="16"/>
      <c r="S446" s="60">
        <f t="shared" si="379"/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si="380"/>
        <v>3007</v>
      </c>
      <c r="AA446" s="33">
        <f t="shared" si="381"/>
        <v>595569</v>
      </c>
      <c r="AB446" s="33"/>
      <c r="AC446" s="46">
        <f t="shared" si="382"/>
        <v>1.7700017412659495E-2</v>
      </c>
      <c r="AD446" s="33"/>
      <c r="AE446" s="33">
        <f t="shared" si="383"/>
        <v>1362.8581235697941</v>
      </c>
      <c r="AF446" s="50"/>
      <c r="AG446" s="33">
        <f t="shared" si="384"/>
        <v>3372</v>
      </c>
      <c r="AH446" s="33">
        <f>SUM(D417:D917)</f>
        <v>1125951393.060914</v>
      </c>
      <c r="AI446" s="213">
        <f t="shared" si="385"/>
        <v>-0.1008</v>
      </c>
      <c r="AJ446" s="50"/>
      <c r="AK446" s="111"/>
      <c r="AL446" s="23">
        <f t="shared" si="386"/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si="387"/>
        <v>7.880596259508038E-4</v>
      </c>
      <c r="AS446" s="25"/>
      <c r="AT446" s="25"/>
      <c r="AU446" s="24"/>
      <c r="AV446" s="298">
        <f t="shared" si="388"/>
        <v>0.82741736320028925</v>
      </c>
      <c r="AW446" s="298"/>
      <c r="AX446" s="24">
        <f t="shared" si="389"/>
        <v>63709.116704805492</v>
      </c>
      <c r="AY446" s="308"/>
      <c r="AZ446" s="111"/>
      <c r="BA446" s="65">
        <f t="shared" si="390"/>
        <v>573759</v>
      </c>
      <c r="BB446" s="66"/>
      <c r="BC446" s="66">
        <v>479490895</v>
      </c>
      <c r="BD446" s="66"/>
      <c r="BE446" s="66">
        <f t="shared" si="391"/>
        <v>7750</v>
      </c>
      <c r="BF446" s="66"/>
      <c r="BG446" s="144">
        <f t="shared" si="392"/>
        <v>1.350741339133678E-2</v>
      </c>
      <c r="BH446" s="66"/>
      <c r="BI446" s="170"/>
      <c r="BJ446" s="66"/>
      <c r="BK446" s="66">
        <f t="shared" si="393"/>
        <v>6186039</v>
      </c>
      <c r="BL446" s="66"/>
      <c r="BM446" s="144">
        <f t="shared" si="394"/>
        <v>2.1697406046098319E-2</v>
      </c>
      <c r="BN446" s="65">
        <f t="shared" si="395"/>
        <v>1097233.1693363844</v>
      </c>
      <c r="BO446" s="66"/>
      <c r="BP446" s="66">
        <f t="shared" si="396"/>
        <v>32740955</v>
      </c>
      <c r="BQ446" s="66"/>
      <c r="BR446" s="435">
        <f t="shared" si="397"/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398"/>
        <v>44347</v>
      </c>
      <c r="C447" s="61"/>
      <c r="D447" s="17">
        <v>5235</v>
      </c>
      <c r="E447" s="16"/>
      <c r="F447" s="16"/>
      <c r="G447" s="16"/>
      <c r="H447" s="16">
        <f t="shared" si="374"/>
        <v>33653168</v>
      </c>
      <c r="I447" s="16"/>
      <c r="J447" s="436">
        <f t="shared" si="375"/>
        <v>1.5558162220544126E-4</v>
      </c>
      <c r="K447" s="16"/>
      <c r="L447" s="16"/>
      <c r="M447" s="16"/>
      <c r="N447" s="16">
        <f t="shared" si="376"/>
        <v>119090</v>
      </c>
      <c r="O447" s="16">
        <f t="shared" si="377"/>
        <v>76833.716894977173</v>
      </c>
      <c r="P447" s="41"/>
      <c r="Q447" s="17">
        <f t="shared" si="378"/>
        <v>119090</v>
      </c>
      <c r="R447" s="16"/>
      <c r="S447" s="60">
        <f t="shared" si="379"/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si="380"/>
        <v>2453</v>
      </c>
      <c r="AA447" s="33">
        <f t="shared" si="381"/>
        <v>595684</v>
      </c>
      <c r="AB447" s="33"/>
      <c r="AC447" s="46">
        <f t="shared" si="382"/>
        <v>1.770068125532788E-2</v>
      </c>
      <c r="AD447" s="33"/>
      <c r="AE447" s="33">
        <f t="shared" si="383"/>
        <v>1360.0091324200914</v>
      </c>
      <c r="AF447" s="50"/>
      <c r="AG447" s="33">
        <f t="shared" si="384"/>
        <v>3122</v>
      </c>
      <c r="AH447" s="33">
        <f>SUM(D418:D918)</f>
        <v>1125909359.060914</v>
      </c>
      <c r="AI447" s="213">
        <f t="shared" si="385"/>
        <v>-0.16657768286171917</v>
      </c>
      <c r="AJ447" s="50"/>
      <c r="AK447" s="111"/>
      <c r="AL447" s="23">
        <f t="shared" si="386"/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si="387"/>
        <v>8.2454278391447624E-4</v>
      </c>
      <c r="AS447" s="25"/>
      <c r="AT447" s="25"/>
      <c r="AU447" s="24"/>
      <c r="AV447" s="298">
        <f t="shared" si="388"/>
        <v>0.82797078717819372</v>
      </c>
      <c r="AW447" s="298"/>
      <c r="AX447" s="24">
        <f t="shared" si="389"/>
        <v>63616.07305936073</v>
      </c>
      <c r="AY447" s="308"/>
      <c r="AZ447" s="111"/>
      <c r="BA447" s="65">
        <f t="shared" si="390"/>
        <v>439228</v>
      </c>
      <c r="BB447" s="66"/>
      <c r="BC447" s="66">
        <v>479930123</v>
      </c>
      <c r="BD447" s="66"/>
      <c r="BE447" s="66">
        <f t="shared" si="391"/>
        <v>5235</v>
      </c>
      <c r="BF447" s="66"/>
      <c r="BG447" s="144">
        <f t="shared" si="392"/>
        <v>1.1918639066726164E-2</v>
      </c>
      <c r="BH447" s="66"/>
      <c r="BI447" s="170"/>
      <c r="BJ447" s="66"/>
      <c r="BK447" s="66">
        <f t="shared" si="393"/>
        <v>5561510</v>
      </c>
      <c r="BL447" s="66"/>
      <c r="BM447" s="144">
        <f t="shared" si="394"/>
        <v>2.1413249279422314E-2</v>
      </c>
      <c r="BN447" s="65">
        <f t="shared" si="395"/>
        <v>1095730.8744292238</v>
      </c>
      <c r="BO447" s="66"/>
      <c r="BP447" s="66">
        <f t="shared" si="396"/>
        <v>32746190</v>
      </c>
      <c r="BQ447" s="66"/>
      <c r="BR447" s="435">
        <f t="shared" si="397"/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398"/>
        <v>44348</v>
      </c>
      <c r="C448" s="61"/>
      <c r="D448" s="17">
        <v>12976</v>
      </c>
      <c r="E448" s="16"/>
      <c r="F448" s="16"/>
      <c r="G448" s="16"/>
      <c r="H448" s="16">
        <f t="shared" si="374"/>
        <v>33666144</v>
      </c>
      <c r="I448" s="16"/>
      <c r="J448" s="436">
        <f t="shared" si="375"/>
        <v>3.855803412029441E-4</v>
      </c>
      <c r="K448" s="16"/>
      <c r="L448" s="16"/>
      <c r="M448" s="16"/>
      <c r="N448" s="16">
        <f t="shared" si="376"/>
        <v>109328</v>
      </c>
      <c r="O448" s="16">
        <f t="shared" si="377"/>
        <v>76688.255125284733</v>
      </c>
      <c r="P448" s="41"/>
      <c r="Q448" s="17">
        <f t="shared" si="378"/>
        <v>109328</v>
      </c>
      <c r="R448" s="16"/>
      <c r="S448" s="60">
        <f t="shared" si="379"/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si="380"/>
        <v>2133</v>
      </c>
      <c r="AA448" s="33">
        <f t="shared" si="381"/>
        <v>595971</v>
      </c>
      <c r="AB448" s="33"/>
      <c r="AC448" s="46">
        <f t="shared" si="382"/>
        <v>1.7702383736016812E-2</v>
      </c>
      <c r="AD448" s="33"/>
      <c r="AE448" s="33">
        <f t="shared" si="383"/>
        <v>1357.5649202733484</v>
      </c>
      <c r="AF448" s="50"/>
      <c r="AG448" s="33">
        <f t="shared" si="384"/>
        <v>2740</v>
      </c>
      <c r="AH448" s="33">
        <f>SUM(D419:D919)</f>
        <v>1125878658.060914</v>
      </c>
      <c r="AI448" s="213">
        <f t="shared" si="385"/>
        <v>-0.25583921781640412</v>
      </c>
      <c r="AJ448" s="50"/>
      <c r="AK448" s="111"/>
      <c r="AL448" s="23">
        <f t="shared" si="386"/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si="387"/>
        <v>2.7662375322281495E-3</v>
      </c>
      <c r="AS448" s="25"/>
      <c r="AT448" s="25"/>
      <c r="AU448" s="24"/>
      <c r="AV448" s="298">
        <f t="shared" si="388"/>
        <v>0.82994114205654201</v>
      </c>
      <c r="AW448" s="298"/>
      <c r="AX448" s="24">
        <f t="shared" si="389"/>
        <v>63646.738041002282</v>
      </c>
      <c r="AY448" s="308"/>
      <c r="AZ448" s="111"/>
      <c r="BA448" s="65">
        <f t="shared" si="390"/>
        <v>1018663</v>
      </c>
      <c r="BB448" s="66"/>
      <c r="BC448" s="66">
        <v>480948786</v>
      </c>
      <c r="BD448" s="66"/>
      <c r="BE448" s="66">
        <f t="shared" si="391"/>
        <v>12976</v>
      </c>
      <c r="BF448" s="66"/>
      <c r="BG448" s="144">
        <f t="shared" si="392"/>
        <v>1.2738265746375396E-2</v>
      </c>
      <c r="BH448" s="66"/>
      <c r="BI448" s="170"/>
      <c r="BJ448" s="66"/>
      <c r="BK448" s="66">
        <f t="shared" si="393"/>
        <v>5721964</v>
      </c>
      <c r="BL448" s="66"/>
      <c r="BM448" s="144">
        <f t="shared" si="394"/>
        <v>1.91067262918816E-2</v>
      </c>
      <c r="BN448" s="65">
        <f t="shared" si="395"/>
        <v>1095555.3211845104</v>
      </c>
      <c r="BO448" s="66"/>
      <c r="BP448" s="66">
        <f t="shared" si="396"/>
        <v>32759166</v>
      </c>
      <c r="BQ448" s="66"/>
      <c r="BR448" s="435">
        <f t="shared" si="397"/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398"/>
        <v>44349</v>
      </c>
      <c r="C449" s="61"/>
      <c r="D449" s="17">
        <v>16974</v>
      </c>
      <c r="E449" s="16"/>
      <c r="F449" s="16"/>
      <c r="G449" s="16"/>
      <c r="H449" s="16">
        <f t="shared" si="374"/>
        <v>33683118</v>
      </c>
      <c r="I449" s="16"/>
      <c r="J449" s="436">
        <f t="shared" si="375"/>
        <v>5.0418604518533518E-4</v>
      </c>
      <c r="K449" s="16"/>
      <c r="L449" s="16"/>
      <c r="M449" s="16"/>
      <c r="N449" s="16">
        <f t="shared" si="376"/>
        <v>102802</v>
      </c>
      <c r="O449" s="16">
        <f t="shared" si="377"/>
        <v>76552.540909090909</v>
      </c>
      <c r="P449" s="41"/>
      <c r="Q449" s="17">
        <f t="shared" si="378"/>
        <v>102802</v>
      </c>
      <c r="R449" s="16"/>
      <c r="S449" s="60">
        <f t="shared" si="379"/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si="380"/>
        <v>2017</v>
      </c>
      <c r="AA449" s="33">
        <f t="shared" si="381"/>
        <v>596485</v>
      </c>
      <c r="AB449" s="33"/>
      <c r="AC449" s="46">
        <f t="shared" si="382"/>
        <v>1.7708722808856353E-2</v>
      </c>
      <c r="AD449" s="33"/>
      <c r="AE449" s="33">
        <f t="shared" si="383"/>
        <v>1355.6477272727273</v>
      </c>
      <c r="AF449" s="50"/>
      <c r="AG449" s="33">
        <f t="shared" si="384"/>
        <v>2647</v>
      </c>
      <c r="AH449" s="33">
        <f>SUM(D420:D920)</f>
        <v>1125838204.060914</v>
      </c>
      <c r="AI449" s="213">
        <f t="shared" si="385"/>
        <v>-0.27539009033670958</v>
      </c>
      <c r="AJ449" s="50"/>
      <c r="AK449" s="111"/>
      <c r="AL449" s="23">
        <f t="shared" si="386"/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si="387"/>
        <v>1.6317645683652914E-3</v>
      </c>
      <c r="AS449" s="25"/>
      <c r="AT449" s="25"/>
      <c r="AU449" s="24"/>
      <c r="AV449" s="298">
        <f t="shared" si="388"/>
        <v>0.83087649427229393</v>
      </c>
      <c r="AW449" s="298"/>
      <c r="AX449" s="24">
        <f t="shared" si="389"/>
        <v>63605.706818181818</v>
      </c>
      <c r="AY449" s="308"/>
      <c r="AZ449" s="111"/>
      <c r="BA449" s="65">
        <f t="shared" si="390"/>
        <v>659207</v>
      </c>
      <c r="BB449" s="66"/>
      <c r="BC449" s="66">
        <v>481607993</v>
      </c>
      <c r="BD449" s="66"/>
      <c r="BE449" s="66">
        <f t="shared" si="391"/>
        <v>16974</v>
      </c>
      <c r="BF449" s="66"/>
      <c r="BG449" s="144">
        <f t="shared" si="392"/>
        <v>2.5749119775730536E-2</v>
      </c>
      <c r="BH449" s="66"/>
      <c r="BI449" s="170"/>
      <c r="BJ449" s="66"/>
      <c r="BK449" s="66">
        <f t="shared" si="393"/>
        <v>5467750</v>
      </c>
      <c r="BL449" s="66"/>
      <c r="BM449" s="144">
        <f t="shared" si="394"/>
        <v>1.8801517991861368E-2</v>
      </c>
      <c r="BN449" s="65">
        <f t="shared" si="395"/>
        <v>1094563.6204545454</v>
      </c>
      <c r="BO449" s="66"/>
      <c r="BP449" s="66">
        <f t="shared" si="396"/>
        <v>32776140</v>
      </c>
      <c r="BQ449" s="66"/>
      <c r="BR449" s="435">
        <f t="shared" si="397"/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398"/>
        <v>44350</v>
      </c>
      <c r="C450" s="61"/>
      <c r="D450" s="17">
        <v>17821</v>
      </c>
      <c r="E450" s="16"/>
      <c r="F450" s="16"/>
      <c r="G450" s="16"/>
      <c r="H450" s="16">
        <f t="shared" si="374"/>
        <v>33700939</v>
      </c>
      <c r="I450" s="16"/>
      <c r="J450" s="436">
        <f t="shared" si="375"/>
        <v>5.2907809781742884E-4</v>
      </c>
      <c r="K450" s="16"/>
      <c r="L450" s="16"/>
      <c r="M450" s="16"/>
      <c r="N450" s="16">
        <f t="shared" si="376"/>
        <v>96230</v>
      </c>
      <c r="O450" s="16">
        <f t="shared" si="377"/>
        <v>76419.36281179139</v>
      </c>
      <c r="P450" s="41"/>
      <c r="Q450" s="17">
        <f t="shared" si="378"/>
        <v>96230</v>
      </c>
      <c r="R450" s="16"/>
      <c r="S450" s="60">
        <f t="shared" si="379"/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si="380"/>
        <v>1964</v>
      </c>
      <c r="AA450" s="33">
        <f t="shared" si="381"/>
        <v>597059</v>
      </c>
      <c r="AB450" s="33"/>
      <c r="AC450" s="46">
        <f t="shared" si="382"/>
        <v>1.7716390632320365E-2</v>
      </c>
      <c r="AD450" s="33"/>
      <c r="AE450" s="33">
        <f t="shared" si="383"/>
        <v>1353.875283446712</v>
      </c>
      <c r="AF450" s="50"/>
      <c r="AG450" s="33">
        <f t="shared" si="384"/>
        <v>2591</v>
      </c>
      <c r="AH450" s="33">
        <f>SUM(D421:D921)</f>
        <v>1125795850.060914</v>
      </c>
      <c r="AI450" s="213">
        <f t="shared" si="385"/>
        <v>-0.28504415011037526</v>
      </c>
      <c r="AJ450" s="50"/>
      <c r="AK450" s="111"/>
      <c r="AL450" s="23">
        <f t="shared" si="386"/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si="387"/>
        <v>1.3958152911593732E-3</v>
      </c>
      <c r="AS450" s="25"/>
      <c r="AT450" s="25"/>
      <c r="AU450" s="24"/>
      <c r="AV450" s="298">
        <f t="shared" si="388"/>
        <v>0.83159626501801631</v>
      </c>
      <c r="AW450" s="298"/>
      <c r="AX450" s="24">
        <f t="shared" si="389"/>
        <v>63550.056689342404</v>
      </c>
      <c r="AY450" s="308"/>
      <c r="AZ450" s="111"/>
      <c r="BA450" s="65">
        <f t="shared" si="390"/>
        <v>782831</v>
      </c>
      <c r="BB450" s="66"/>
      <c r="BC450" s="66">
        <v>482390824</v>
      </c>
      <c r="BD450" s="66"/>
      <c r="BE450" s="66">
        <f t="shared" si="391"/>
        <v>17821</v>
      </c>
      <c r="BF450" s="66"/>
      <c r="BG450" s="144">
        <f t="shared" si="392"/>
        <v>2.2764811306654947E-2</v>
      </c>
      <c r="BH450" s="66"/>
      <c r="BI450" s="170"/>
      <c r="BJ450" s="66"/>
      <c r="BK450" s="66">
        <f t="shared" si="393"/>
        <v>5242175</v>
      </c>
      <c r="BL450" s="66"/>
      <c r="BM450" s="144">
        <f t="shared" si="394"/>
        <v>1.835688430851698E-2</v>
      </c>
      <c r="BN450" s="65">
        <f t="shared" si="395"/>
        <v>1093856.7437641723</v>
      </c>
      <c r="BO450" s="66"/>
      <c r="BP450" s="66">
        <f t="shared" si="396"/>
        <v>32793961</v>
      </c>
      <c r="BQ450" s="66"/>
      <c r="BR450" s="435">
        <f t="shared" si="397"/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398"/>
        <v>44351</v>
      </c>
      <c r="C451" s="61"/>
      <c r="D451" s="17">
        <v>16925</v>
      </c>
      <c r="E451" s="16"/>
      <c r="F451" s="16"/>
      <c r="G451" s="16"/>
      <c r="H451" s="16">
        <f t="shared" si="374"/>
        <v>33717864</v>
      </c>
      <c r="I451" s="16"/>
      <c r="J451" s="436">
        <f t="shared" si="375"/>
        <v>5.0221152591623636E-4</v>
      </c>
      <c r="K451" s="16"/>
      <c r="L451" s="16"/>
      <c r="M451" s="16"/>
      <c r="N451" s="16">
        <f t="shared" si="376"/>
        <v>90342</v>
      </c>
      <c r="O451" s="16">
        <f t="shared" si="377"/>
        <v>76284.760180995479</v>
      </c>
      <c r="P451" s="41"/>
      <c r="Q451" s="17">
        <f t="shared" si="378"/>
        <v>90342</v>
      </c>
      <c r="R451" s="16"/>
      <c r="S451" s="60">
        <f t="shared" si="379"/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si="380"/>
        <v>2134</v>
      </c>
      <c r="AA451" s="33">
        <f t="shared" si="381"/>
        <v>597579</v>
      </c>
      <c r="AB451" s="33"/>
      <c r="AC451" s="46">
        <f t="shared" si="382"/>
        <v>1.7722919814849483E-2</v>
      </c>
      <c r="AD451" s="33"/>
      <c r="AE451" s="33">
        <f t="shared" si="383"/>
        <v>1351.9886877828055</v>
      </c>
      <c r="AF451" s="50"/>
      <c r="AG451" s="33">
        <f t="shared" si="384"/>
        <v>2484</v>
      </c>
      <c r="AH451" s="33">
        <f>SUM(D422:D922)</f>
        <v>1125749721.060914</v>
      </c>
      <c r="AI451" s="213">
        <f t="shared" si="385"/>
        <v>-0.30884808013355591</v>
      </c>
      <c r="AJ451" s="50"/>
      <c r="AK451" s="111"/>
      <c r="AL451" s="23">
        <f t="shared" si="386"/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si="387"/>
        <v>1.0497554465876257E-3</v>
      </c>
      <c r="AS451" s="25"/>
      <c r="AT451" s="25"/>
      <c r="AU451" s="24"/>
      <c r="AV451" s="298">
        <f t="shared" si="388"/>
        <v>0.8320513719374395</v>
      </c>
      <c r="AW451" s="298"/>
      <c r="AX451" s="24">
        <f t="shared" si="389"/>
        <v>63472.839366515836</v>
      </c>
      <c r="AY451" s="308"/>
      <c r="AZ451" s="111"/>
      <c r="BA451" s="65">
        <f t="shared" si="390"/>
        <v>973509</v>
      </c>
      <c r="BB451" s="66"/>
      <c r="BC451" s="66">
        <v>483364333</v>
      </c>
      <c r="BD451" s="66"/>
      <c r="BE451" s="66">
        <f t="shared" si="391"/>
        <v>16925</v>
      </c>
      <c r="BF451" s="66"/>
      <c r="BG451" s="144">
        <f t="shared" si="392"/>
        <v>1.7385560893633238E-2</v>
      </c>
      <c r="BH451" s="66"/>
      <c r="BI451" s="170"/>
      <c r="BJ451" s="66"/>
      <c r="BK451" s="66">
        <f t="shared" si="393"/>
        <v>5222916</v>
      </c>
      <c r="BL451" s="66"/>
      <c r="BM451" s="144">
        <f t="shared" si="394"/>
        <v>1.7297233958960857E-2</v>
      </c>
      <c r="BN451" s="65">
        <f t="shared" si="395"/>
        <v>1093584.463800905</v>
      </c>
      <c r="BO451" s="66"/>
      <c r="BP451" s="66">
        <f t="shared" si="396"/>
        <v>32810886</v>
      </c>
      <c r="BQ451" s="66"/>
      <c r="BR451" s="435">
        <f t="shared" si="397"/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398"/>
        <v>44352</v>
      </c>
      <c r="C452" s="61"/>
      <c r="D452" s="17">
        <v>11603</v>
      </c>
      <c r="E452" s="16"/>
      <c r="F452" s="16"/>
      <c r="G452" s="16"/>
      <c r="H452" s="16">
        <f t="shared" si="374"/>
        <v>33729467</v>
      </c>
      <c r="I452" s="16"/>
      <c r="J452" s="436">
        <f t="shared" si="375"/>
        <v>3.4412025625348035E-4</v>
      </c>
      <c r="K452" s="16"/>
      <c r="L452" s="16"/>
      <c r="M452" s="16"/>
      <c r="N452" s="16">
        <f t="shared" si="376"/>
        <v>89284</v>
      </c>
      <c r="O452" s="16">
        <f t="shared" si="377"/>
        <v>76138.751693002254</v>
      </c>
      <c r="P452" s="41"/>
      <c r="Q452" s="17">
        <f t="shared" si="378"/>
        <v>89284</v>
      </c>
      <c r="R452" s="16"/>
      <c r="S452" s="60">
        <f t="shared" si="379"/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si="380"/>
        <v>2398</v>
      </c>
      <c r="AA452" s="33">
        <f t="shared" si="381"/>
        <v>597967</v>
      </c>
      <c r="AB452" s="33"/>
      <c r="AC452" s="46">
        <f t="shared" si="382"/>
        <v>1.7728326391875684E-2</v>
      </c>
      <c r="AD452" s="33"/>
      <c r="AE452" s="33">
        <f t="shared" si="383"/>
        <v>1349.8126410835214</v>
      </c>
      <c r="AF452" s="50"/>
      <c r="AG452" s="33">
        <f t="shared" si="384"/>
        <v>2522</v>
      </c>
      <c r="AH452" s="33">
        <f>SUM(D423:D923)</f>
        <v>1125701902.060914</v>
      </c>
      <c r="AI452" s="213">
        <f t="shared" si="385"/>
        <v>-0.27445339470655927</v>
      </c>
      <c r="AJ452" s="50"/>
      <c r="AK452" s="111"/>
      <c r="AL452" s="23">
        <f t="shared" si="386"/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si="387"/>
        <v>1.7286048348966023E-3</v>
      </c>
      <c r="AS452" s="25"/>
      <c r="AT452" s="25"/>
      <c r="AU452" s="24"/>
      <c r="AV452" s="298">
        <f t="shared" si="388"/>
        <v>0.83320293795333322</v>
      </c>
      <c r="AW452" s="298"/>
      <c r="AX452" s="24">
        <f t="shared" si="389"/>
        <v>63439.031602708805</v>
      </c>
      <c r="AY452" s="308"/>
      <c r="AZ452" s="111"/>
      <c r="BA452" s="65">
        <f t="shared" si="390"/>
        <v>2921876</v>
      </c>
      <c r="BB452" s="66"/>
      <c r="BC452" s="66">
        <v>486286209</v>
      </c>
      <c r="BD452" s="66"/>
      <c r="BE452" s="66">
        <f t="shared" si="391"/>
        <v>11603</v>
      </c>
      <c r="BF452" s="66"/>
      <c r="BG452" s="144">
        <f t="shared" si="392"/>
        <v>3.971078854817932E-3</v>
      </c>
      <c r="BH452" s="66"/>
      <c r="BI452" s="170"/>
      <c r="BJ452" s="66"/>
      <c r="BK452" s="66">
        <f t="shared" si="393"/>
        <v>7369073</v>
      </c>
      <c r="BL452" s="66"/>
      <c r="BM452" s="144">
        <f t="shared" si="394"/>
        <v>1.2116042275602373E-2</v>
      </c>
      <c r="BN452" s="65">
        <f t="shared" si="395"/>
        <v>1097711.5327313771</v>
      </c>
      <c r="BO452" s="66"/>
      <c r="BP452" s="66">
        <f t="shared" si="396"/>
        <v>32822489</v>
      </c>
      <c r="BQ452" s="66"/>
      <c r="BR452" s="435">
        <f t="shared" si="397"/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398"/>
        <v>44353</v>
      </c>
      <c r="C453" s="61"/>
      <c r="D453" s="17">
        <v>6408</v>
      </c>
      <c r="E453" s="16"/>
      <c r="F453" s="16"/>
      <c r="G453" s="16"/>
      <c r="H453" s="16">
        <f t="shared" si="374"/>
        <v>33735875</v>
      </c>
      <c r="I453" s="16"/>
      <c r="J453" s="436">
        <f t="shared" si="375"/>
        <v>1.8998224905243834E-4</v>
      </c>
      <c r="K453" s="16"/>
      <c r="L453" s="16"/>
      <c r="M453" s="16"/>
      <c r="N453" s="16">
        <f t="shared" si="376"/>
        <v>87942</v>
      </c>
      <c r="O453" s="16">
        <f t="shared" si="377"/>
        <v>75981.700450450444</v>
      </c>
      <c r="P453" s="41"/>
      <c r="Q453" s="17">
        <f t="shared" si="378"/>
        <v>87942</v>
      </c>
      <c r="R453" s="16"/>
      <c r="S453" s="60">
        <f t="shared" si="379"/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si="380"/>
        <v>2447</v>
      </c>
      <c r="AA453" s="33">
        <f t="shared" si="381"/>
        <v>598131</v>
      </c>
      <c r="AB453" s="33"/>
      <c r="AC453" s="46">
        <f t="shared" si="382"/>
        <v>1.7729820258108021E-2</v>
      </c>
      <c r="AD453" s="33"/>
      <c r="AE453" s="33">
        <f t="shared" si="383"/>
        <v>1347.1418918918919</v>
      </c>
      <c r="AF453" s="50"/>
      <c r="AG453" s="33">
        <f t="shared" si="384"/>
        <v>2562</v>
      </c>
      <c r="AH453" s="33">
        <f>SUM(D424:D924)</f>
        <v>1125652411.060914</v>
      </c>
      <c r="AI453" s="213">
        <f t="shared" si="385"/>
        <v>-0.2402135231316726</v>
      </c>
      <c r="AJ453" s="50"/>
      <c r="AK453" s="111"/>
      <c r="AL453" s="23">
        <f t="shared" si="386"/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si="387"/>
        <v>6.8482595276152703E-4</v>
      </c>
      <c r="AS453" s="25"/>
      <c r="AT453" s="25"/>
      <c r="AU453" s="24"/>
      <c r="AV453" s="298">
        <f t="shared" si="388"/>
        <v>0.83361516486529552</v>
      </c>
      <c r="AW453" s="298"/>
      <c r="AX453" s="24">
        <f t="shared" si="389"/>
        <v>63339.497747747744</v>
      </c>
      <c r="AY453" s="308"/>
      <c r="AZ453" s="111"/>
      <c r="BA453" s="65">
        <f t="shared" si="390"/>
        <v>582741</v>
      </c>
      <c r="BB453" s="66"/>
      <c r="BC453" s="66">
        <v>486868950</v>
      </c>
      <c r="BD453" s="66"/>
      <c r="BE453" s="66">
        <f t="shared" si="391"/>
        <v>6408</v>
      </c>
      <c r="BF453" s="66"/>
      <c r="BG453" s="144">
        <f t="shared" si="392"/>
        <v>1.0996308823302291E-2</v>
      </c>
      <c r="BH453" s="66"/>
      <c r="BI453" s="170"/>
      <c r="BJ453" s="66"/>
      <c r="BK453" s="66">
        <f t="shared" si="393"/>
        <v>7378055</v>
      </c>
      <c r="BL453" s="66"/>
      <c r="BM453" s="144">
        <f t="shared" si="394"/>
        <v>1.1919401522487973E-2</v>
      </c>
      <c r="BN453" s="65">
        <f t="shared" si="395"/>
        <v>1096551.6891891891</v>
      </c>
      <c r="BO453" s="66"/>
      <c r="BP453" s="66">
        <f t="shared" si="396"/>
        <v>32828897</v>
      </c>
      <c r="BQ453" s="66"/>
      <c r="BR453" s="435">
        <f t="shared" si="397"/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398"/>
        <v>44354</v>
      </c>
      <c r="C454" s="61"/>
      <c r="D454" s="17">
        <v>12283</v>
      </c>
      <c r="E454" s="16"/>
      <c r="F454" s="16"/>
      <c r="G454" s="16"/>
      <c r="H454" s="16">
        <f t="shared" si="374"/>
        <v>33748158</v>
      </c>
      <c r="I454" s="16"/>
      <c r="J454" s="436">
        <f t="shared" si="375"/>
        <v>3.6409312045411599E-4</v>
      </c>
      <c r="K454" s="16"/>
      <c r="L454" s="16"/>
      <c r="M454" s="16"/>
      <c r="N454" s="16">
        <f t="shared" si="376"/>
        <v>94990</v>
      </c>
      <c r="O454" s="16">
        <f t="shared" si="377"/>
        <v>75838.557303370791</v>
      </c>
      <c r="P454" s="41"/>
      <c r="Q454" s="17">
        <f t="shared" si="378"/>
        <v>94990</v>
      </c>
      <c r="R454" s="16"/>
      <c r="S454" s="60">
        <f t="shared" si="379"/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si="380"/>
        <v>2472</v>
      </c>
      <c r="AA454" s="33">
        <f t="shared" si="381"/>
        <v>598443</v>
      </c>
      <c r="AB454" s="33"/>
      <c r="AC454" s="46">
        <f t="shared" si="382"/>
        <v>1.7732612251015301E-2</v>
      </c>
      <c r="AD454" s="33"/>
      <c r="AE454" s="33">
        <f t="shared" si="383"/>
        <v>1344.8157303370785</v>
      </c>
      <c r="AF454" s="50"/>
      <c r="AG454" s="33">
        <f t="shared" si="384"/>
        <v>2759</v>
      </c>
      <c r="AH454" s="33">
        <f>SUM(D425:D925)</f>
        <v>1125616656.060914</v>
      </c>
      <c r="AI454" s="213">
        <f t="shared" si="385"/>
        <v>-0.11627162075592569</v>
      </c>
      <c r="AJ454" s="50"/>
      <c r="AK454" s="111"/>
      <c r="AL454" s="23">
        <f t="shared" si="386"/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si="387"/>
        <v>1.9529393600629982E-3</v>
      </c>
      <c r="AS454" s="25"/>
      <c r="AT454" s="25"/>
      <c r="AU454" s="24"/>
      <c r="AV454" s="298">
        <f t="shared" si="388"/>
        <v>0.83493916912443045</v>
      </c>
      <c r="AW454" s="298"/>
      <c r="AX454" s="24">
        <f t="shared" si="389"/>
        <v>63320.582022471914</v>
      </c>
      <c r="AY454" s="308"/>
      <c r="AZ454" s="111"/>
      <c r="BA454" s="65">
        <f t="shared" si="390"/>
        <v>2864658</v>
      </c>
      <c r="BB454" s="66"/>
      <c r="BC454" s="66">
        <v>489733608</v>
      </c>
      <c r="BD454" s="66"/>
      <c r="BE454" s="66">
        <f t="shared" si="391"/>
        <v>12283</v>
      </c>
      <c r="BF454" s="66"/>
      <c r="BG454" s="144">
        <f t="shared" si="392"/>
        <v>4.2877718736407623E-3</v>
      </c>
      <c r="BH454" s="66"/>
      <c r="BI454" s="170"/>
      <c r="BJ454" s="66"/>
      <c r="BK454" s="66">
        <f t="shared" si="393"/>
        <v>9803485</v>
      </c>
      <c r="BL454" s="66"/>
      <c r="BM454" s="144">
        <f t="shared" si="394"/>
        <v>9.6894114694927366E-3</v>
      </c>
      <c r="BN454" s="65">
        <f t="shared" si="395"/>
        <v>1100524.9617977529</v>
      </c>
      <c r="BO454" s="66"/>
      <c r="BP454" s="66">
        <f t="shared" si="396"/>
        <v>32841180</v>
      </c>
      <c r="BQ454" s="66"/>
      <c r="BR454" s="435">
        <f t="shared" si="397"/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398"/>
        <v>44355</v>
      </c>
      <c r="C455" s="61"/>
      <c r="D455" s="17">
        <v>13542</v>
      </c>
      <c r="E455" s="16"/>
      <c r="F455" s="16"/>
      <c r="G455" s="16"/>
      <c r="H455" s="16">
        <f t="shared" si="374"/>
        <v>33761700</v>
      </c>
      <c r="I455" s="16"/>
      <c r="J455" s="436">
        <f t="shared" si="375"/>
        <v>4.0126634466983353E-4</v>
      </c>
      <c r="K455" s="16"/>
      <c r="L455" s="16"/>
      <c r="M455" s="16"/>
      <c r="N455" s="16">
        <f t="shared" si="376"/>
        <v>95556</v>
      </c>
      <c r="O455" s="16">
        <f t="shared" si="377"/>
        <v>75698.87892376681</v>
      </c>
      <c r="P455" s="41"/>
      <c r="Q455" s="17">
        <f t="shared" si="378"/>
        <v>95556</v>
      </c>
      <c r="R455" s="16"/>
      <c r="S455" s="60">
        <f t="shared" si="379"/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si="380"/>
        <v>2359</v>
      </c>
      <c r="AA455" s="33">
        <f t="shared" si="381"/>
        <v>598844</v>
      </c>
      <c r="AB455" s="33"/>
      <c r="AC455" s="46">
        <f t="shared" si="382"/>
        <v>1.7737376968576819E-2</v>
      </c>
      <c r="AD455" s="33"/>
      <c r="AE455" s="33">
        <f t="shared" si="383"/>
        <v>1342.6995515695066</v>
      </c>
      <c r="AF455" s="50"/>
      <c r="AG455" s="33">
        <f t="shared" si="384"/>
        <v>2873</v>
      </c>
      <c r="AH455" s="33">
        <f>SUM(D426:D926)</f>
        <v>1125594456.060914</v>
      </c>
      <c r="AI455" s="213">
        <f t="shared" si="385"/>
        <v>4.8540145985401462E-2</v>
      </c>
      <c r="AJ455" s="50"/>
      <c r="AK455" s="111"/>
      <c r="AL455" s="23">
        <f t="shared" si="386"/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si="387"/>
        <v>1.533271447425778E-3</v>
      </c>
      <c r="AS455" s="25"/>
      <c r="AT455" s="25"/>
      <c r="AU455" s="24"/>
      <c r="AV455" s="298">
        <f t="shared" si="388"/>
        <v>0.83588394541744049</v>
      </c>
      <c r="AW455" s="298"/>
      <c r="AX455" s="24">
        <f t="shared" si="389"/>
        <v>63275.477578475336</v>
      </c>
      <c r="AY455" s="308"/>
      <c r="AZ455" s="111"/>
      <c r="BA455" s="65">
        <f t="shared" si="390"/>
        <v>589126</v>
      </c>
      <c r="BB455" s="66"/>
      <c r="BC455" s="66">
        <v>490322734</v>
      </c>
      <c r="BD455" s="66"/>
      <c r="BE455" s="66">
        <f t="shared" si="391"/>
        <v>13542</v>
      </c>
      <c r="BF455" s="66"/>
      <c r="BG455" s="144">
        <f t="shared" si="392"/>
        <v>2.2986593699819733E-2</v>
      </c>
      <c r="BH455" s="66"/>
      <c r="BI455" s="170"/>
      <c r="BJ455" s="66"/>
      <c r="BK455" s="66">
        <f t="shared" si="393"/>
        <v>9373948</v>
      </c>
      <c r="BL455" s="66"/>
      <c r="BM455" s="144">
        <f t="shared" si="394"/>
        <v>1.0193783878468282E-2</v>
      </c>
      <c r="BN455" s="65">
        <f t="shared" si="395"/>
        <v>1099378.32735426</v>
      </c>
      <c r="BO455" s="66"/>
      <c r="BP455" s="66">
        <f t="shared" si="396"/>
        <v>32854722</v>
      </c>
      <c r="BQ455" s="66"/>
      <c r="BR455" s="435">
        <f t="shared" si="397"/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398"/>
        <v>44356</v>
      </c>
      <c r="C456" s="61"/>
      <c r="D456" s="17">
        <v>14201</v>
      </c>
      <c r="E456" s="16"/>
      <c r="F456" s="16"/>
      <c r="G456" s="16"/>
      <c r="H456" s="16">
        <f t="shared" si="374"/>
        <v>33775901</v>
      </c>
      <c r="I456" s="16"/>
      <c r="J456" s="436">
        <f t="shared" si="375"/>
        <v>4.2062455385836616E-4</v>
      </c>
      <c r="K456" s="16"/>
      <c r="L456" s="16"/>
      <c r="M456" s="16"/>
      <c r="N456" s="16">
        <f t="shared" si="376"/>
        <v>92783</v>
      </c>
      <c r="O456" s="16">
        <f t="shared" si="377"/>
        <v>75561.299776286352</v>
      </c>
      <c r="P456" s="41"/>
      <c r="Q456" s="17">
        <f t="shared" si="378"/>
        <v>92783</v>
      </c>
      <c r="R456" s="16"/>
      <c r="S456" s="60">
        <f t="shared" si="379"/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si="380"/>
        <v>2237</v>
      </c>
      <c r="AA456" s="33">
        <f t="shared" si="381"/>
        <v>599296</v>
      </c>
      <c r="AB456" s="33"/>
      <c r="AC456" s="46">
        <f t="shared" si="382"/>
        <v>1.7743301651671706E-2</v>
      </c>
      <c r="AD456" s="33"/>
      <c r="AE456" s="33">
        <f t="shared" si="383"/>
        <v>1340.7069351230425</v>
      </c>
      <c r="AF456" s="50"/>
      <c r="AG456" s="33">
        <f t="shared" si="384"/>
        <v>2811</v>
      </c>
      <c r="AH456" s="33">
        <f>SUM(D427:D927)</f>
        <v>1125564304.060914</v>
      </c>
      <c r="AI456" s="213">
        <f t="shared" si="385"/>
        <v>6.1956932376275031E-2</v>
      </c>
      <c r="AJ456" s="50"/>
      <c r="AK456" s="111"/>
      <c r="AL456" s="23">
        <f t="shared" si="386"/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si="387"/>
        <v>1.1774267852829306E-3</v>
      </c>
      <c r="AS456" s="25"/>
      <c r="AT456" s="25"/>
      <c r="AU456" s="24"/>
      <c r="AV456" s="298">
        <f t="shared" si="388"/>
        <v>0.83651627827781705</v>
      </c>
      <c r="AW456" s="298"/>
      <c r="AX456" s="24">
        <f t="shared" si="389"/>
        <v>63208.25727069351</v>
      </c>
      <c r="AY456" s="308"/>
      <c r="AZ456" s="111"/>
      <c r="BA456" s="65">
        <f t="shared" si="390"/>
        <v>758547</v>
      </c>
      <c r="BB456" s="66"/>
      <c r="BC456" s="66">
        <v>491081281</v>
      </c>
      <c r="BD456" s="66"/>
      <c r="BE456" s="66">
        <f t="shared" si="391"/>
        <v>14201</v>
      </c>
      <c r="BF456" s="66"/>
      <c r="BG456" s="144">
        <f t="shared" si="392"/>
        <v>1.8721318520803588E-2</v>
      </c>
      <c r="BH456" s="66"/>
      <c r="BI456" s="170"/>
      <c r="BJ456" s="66"/>
      <c r="BK456" s="66">
        <f t="shared" si="393"/>
        <v>9473288</v>
      </c>
      <c r="BL456" s="66"/>
      <c r="BM456" s="144">
        <f t="shared" si="394"/>
        <v>9.7941707250956585E-3</v>
      </c>
      <c r="BN456" s="65">
        <f t="shared" si="395"/>
        <v>1098615.8411633109</v>
      </c>
      <c r="BO456" s="66"/>
      <c r="BP456" s="66">
        <f t="shared" si="396"/>
        <v>32868923</v>
      </c>
      <c r="BQ456" s="66"/>
      <c r="BR456" s="435">
        <f t="shared" si="397"/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398"/>
        <v>44357</v>
      </c>
      <c r="C457" s="61"/>
      <c r="D457" s="17">
        <v>16764</v>
      </c>
      <c r="E457" s="16"/>
      <c r="F457" s="16"/>
      <c r="G457" s="16"/>
      <c r="H457" s="16">
        <f t="shared" si="374"/>
        <v>33792665</v>
      </c>
      <c r="I457" s="16"/>
      <c r="J457" s="436">
        <f t="shared" si="375"/>
        <v>4.9633020892618084E-4</v>
      </c>
      <c r="K457" s="16"/>
      <c r="L457" s="16"/>
      <c r="M457" s="16"/>
      <c r="N457" s="16">
        <f t="shared" si="376"/>
        <v>91726</v>
      </c>
      <c r="O457" s="16">
        <f t="shared" si="377"/>
        <v>75430.055803571435</v>
      </c>
      <c r="P457" s="41"/>
      <c r="Q457" s="17">
        <f t="shared" si="378"/>
        <v>91726</v>
      </c>
      <c r="R457" s="16"/>
      <c r="S457" s="60">
        <f t="shared" si="379"/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si="380"/>
        <v>2198</v>
      </c>
      <c r="AA457" s="33">
        <f t="shared" si="381"/>
        <v>599777</v>
      </c>
      <c r="AB457" s="33"/>
      <c r="AC457" s="46">
        <f t="shared" si="382"/>
        <v>1.7748733341984124E-2</v>
      </c>
      <c r="AD457" s="33"/>
      <c r="AE457" s="33">
        <f t="shared" si="383"/>
        <v>1338.7879464285713</v>
      </c>
      <c r="AF457" s="50"/>
      <c r="AG457" s="33">
        <f t="shared" si="384"/>
        <v>2718</v>
      </c>
      <c r="AH457" s="33">
        <f>SUM(D428:D928)</f>
        <v>1125529400.060914</v>
      </c>
      <c r="AI457" s="213">
        <f t="shared" si="385"/>
        <v>4.901582400617522E-2</v>
      </c>
      <c r="AJ457" s="50"/>
      <c r="AK457" s="111"/>
      <c r="AL457" s="23">
        <f t="shared" si="386"/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si="387"/>
        <v>1.6248620421021509E-3</v>
      </c>
      <c r="AS457" s="25"/>
      <c r="AT457" s="25"/>
      <c r="AU457" s="24"/>
      <c r="AV457" s="298">
        <f t="shared" si="388"/>
        <v>0.83745984520605288</v>
      </c>
      <c r="AW457" s="298"/>
      <c r="AX457" s="24">
        <f t="shared" si="389"/>
        <v>63169.642857142855</v>
      </c>
      <c r="AY457" s="308"/>
      <c r="AZ457" s="111"/>
      <c r="BA457" s="65">
        <f t="shared" si="390"/>
        <v>918719</v>
      </c>
      <c r="BB457" s="66"/>
      <c r="BC457" s="66">
        <v>492000000</v>
      </c>
      <c r="BD457" s="66"/>
      <c r="BE457" s="66">
        <f t="shared" si="391"/>
        <v>16764</v>
      </c>
      <c r="BF457" s="66"/>
      <c r="BG457" s="144">
        <f t="shared" si="392"/>
        <v>1.8247146298269654E-2</v>
      </c>
      <c r="BH457" s="66"/>
      <c r="BI457" s="170"/>
      <c r="BJ457" s="66"/>
      <c r="BK457" s="66">
        <f t="shared" si="393"/>
        <v>9609176</v>
      </c>
      <c r="BL457" s="66"/>
      <c r="BM457" s="144">
        <f t="shared" si="394"/>
        <v>9.5456675993862532E-3</v>
      </c>
      <c r="BN457" s="65">
        <f t="shared" si="395"/>
        <v>1098214.2857142857</v>
      </c>
      <c r="BO457" s="66"/>
      <c r="BP457" s="66">
        <f t="shared" si="396"/>
        <v>32885687</v>
      </c>
      <c r="BQ457" s="66"/>
      <c r="BR457" s="435">
        <f t="shared" si="397"/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398"/>
        <v>44358</v>
      </c>
      <c r="C458" s="61"/>
      <c r="D458" s="17">
        <v>16145</v>
      </c>
      <c r="E458" s="16"/>
      <c r="F458" s="16"/>
      <c r="G458" s="16"/>
      <c r="H458" s="16">
        <f t="shared" si="374"/>
        <v>33808810</v>
      </c>
      <c r="I458" s="16"/>
      <c r="J458" s="436">
        <f t="shared" si="375"/>
        <v>4.7776640285695138E-4</v>
      </c>
      <c r="K458" s="16"/>
      <c r="L458" s="16"/>
      <c r="M458" s="16"/>
      <c r="N458" s="16">
        <f t="shared" si="376"/>
        <v>90946</v>
      </c>
      <c r="O458" s="16">
        <f t="shared" si="377"/>
        <v>75298.017817371932</v>
      </c>
      <c r="P458" s="41"/>
      <c r="Q458" s="17">
        <f t="shared" si="378"/>
        <v>90946</v>
      </c>
      <c r="R458" s="16"/>
      <c r="S458" s="60">
        <f t="shared" si="379"/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si="380"/>
        <v>2231</v>
      </c>
      <c r="AA458" s="33">
        <f t="shared" si="381"/>
        <v>600198</v>
      </c>
      <c r="AB458" s="33"/>
      <c r="AC458" s="46">
        <f t="shared" si="382"/>
        <v>1.7752710018483348E-2</v>
      </c>
      <c r="AD458" s="33"/>
      <c r="AE458" s="33">
        <f t="shared" si="383"/>
        <v>1336.7438752783964</v>
      </c>
      <c r="AF458" s="50"/>
      <c r="AG458" s="33">
        <f t="shared" si="384"/>
        <v>2619</v>
      </c>
      <c r="AH458" s="33">
        <f>SUM(D429:D929)</f>
        <v>1125493584.060914</v>
      </c>
      <c r="AI458" s="213">
        <f t="shared" si="385"/>
        <v>5.434782608695652E-2</v>
      </c>
      <c r="AJ458" s="50"/>
      <c r="AK458" s="111"/>
      <c r="AL458" s="23">
        <f t="shared" si="386"/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si="387"/>
        <v>1.6368904593639577E-3</v>
      </c>
      <c r="AS458" s="25"/>
      <c r="AT458" s="25"/>
      <c r="AU458" s="24"/>
      <c r="AV458" s="298">
        <f t="shared" si="388"/>
        <v>0.83843010150312891</v>
      </c>
      <c r="AW458" s="298"/>
      <c r="AX458" s="24">
        <f t="shared" si="389"/>
        <v>63132.124721603563</v>
      </c>
      <c r="AY458" s="308"/>
      <c r="AZ458" s="111"/>
      <c r="BA458" s="65">
        <f t="shared" si="390"/>
        <v>1246114</v>
      </c>
      <c r="BB458" s="66"/>
      <c r="BC458" s="66">
        <v>493246114</v>
      </c>
      <c r="BD458" s="66"/>
      <c r="BE458" s="66">
        <f t="shared" si="391"/>
        <v>16145</v>
      </c>
      <c r="BF458" s="66"/>
      <c r="BG458" s="144">
        <f t="shared" si="392"/>
        <v>1.2956278478534066E-2</v>
      </c>
      <c r="BH458" s="66"/>
      <c r="BI458" s="170"/>
      <c r="BJ458" s="66"/>
      <c r="BK458" s="66">
        <f t="shared" si="393"/>
        <v>9881781</v>
      </c>
      <c r="BL458" s="66"/>
      <c r="BM458" s="144">
        <f t="shared" si="394"/>
        <v>9.2034016944921165E-3</v>
      </c>
      <c r="BN458" s="65">
        <f t="shared" si="395"/>
        <v>1098543.6837416482</v>
      </c>
      <c r="BO458" s="66"/>
      <c r="BP458" s="66">
        <f t="shared" si="396"/>
        <v>32901832</v>
      </c>
      <c r="BQ458" s="66"/>
      <c r="BR458" s="435">
        <f t="shared" si="397"/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398"/>
        <v>44359</v>
      </c>
      <c r="C459" s="61"/>
      <c r="D459" s="17">
        <v>9427</v>
      </c>
      <c r="E459" s="16"/>
      <c r="F459" s="16"/>
      <c r="G459" s="16"/>
      <c r="H459" s="16">
        <f t="shared" si="374"/>
        <v>33818237</v>
      </c>
      <c r="I459" s="16"/>
      <c r="J459" s="436">
        <f t="shared" si="375"/>
        <v>2.7883264746674018E-4</v>
      </c>
      <c r="K459" s="16"/>
      <c r="L459" s="16"/>
      <c r="M459" s="16"/>
      <c r="N459" s="16">
        <f t="shared" si="376"/>
        <v>88770</v>
      </c>
      <c r="O459" s="16">
        <f t="shared" si="377"/>
        <v>75151.637777777782</v>
      </c>
      <c r="P459" s="41"/>
      <c r="Q459" s="17">
        <f t="shared" si="378"/>
        <v>88770</v>
      </c>
      <c r="R459" s="16"/>
      <c r="S459" s="60">
        <f t="shared" si="379"/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si="380"/>
        <v>2375</v>
      </c>
      <c r="AA459" s="33">
        <f t="shared" si="381"/>
        <v>600506</v>
      </c>
      <c r="AB459" s="33"/>
      <c r="AC459" s="46">
        <f t="shared" si="382"/>
        <v>1.7756868875216648E-2</v>
      </c>
      <c r="AD459" s="33"/>
      <c r="AE459" s="33">
        <f t="shared" si="383"/>
        <v>1334.4577777777777</v>
      </c>
      <c r="AF459" s="50"/>
      <c r="AG459" s="33">
        <f t="shared" si="384"/>
        <v>2539</v>
      </c>
      <c r="AH459" s="33">
        <f>SUM(D430:D930)</f>
        <v>1125453759.060914</v>
      </c>
      <c r="AI459" s="213">
        <f t="shared" si="385"/>
        <v>6.7406819984139575E-3</v>
      </c>
      <c r="AJ459" s="50"/>
      <c r="AK459" s="111"/>
      <c r="AL459" s="23">
        <f t="shared" si="386"/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si="387"/>
        <v>1.2452761070535989E-3</v>
      </c>
      <c r="AS459" s="25"/>
      <c r="AT459" s="25"/>
      <c r="AU459" s="24"/>
      <c r="AV459" s="298">
        <f t="shared" si="388"/>
        <v>0.83924017091724801</v>
      </c>
      <c r="AW459" s="298"/>
      <c r="AX459" s="24">
        <f t="shared" si="389"/>
        <v>63070.273333333331</v>
      </c>
      <c r="AY459" s="308"/>
      <c r="AZ459" s="111"/>
      <c r="BA459" s="65">
        <f t="shared" si="390"/>
        <v>648739</v>
      </c>
      <c r="BB459" s="66"/>
      <c r="BC459" s="66">
        <v>493894853</v>
      </c>
      <c r="BD459" s="66"/>
      <c r="BE459" s="66">
        <f t="shared" si="391"/>
        <v>9427</v>
      </c>
      <c r="BF459" s="66"/>
      <c r="BG459" s="144">
        <f t="shared" si="392"/>
        <v>1.4531267582186364E-2</v>
      </c>
      <c r="BH459" s="66"/>
      <c r="BI459" s="170"/>
      <c r="BJ459" s="66"/>
      <c r="BK459" s="66">
        <f t="shared" si="393"/>
        <v>7608644</v>
      </c>
      <c r="BL459" s="66"/>
      <c r="BM459" s="144">
        <f t="shared" si="394"/>
        <v>1.1666993487932936E-2</v>
      </c>
      <c r="BN459" s="65">
        <f t="shared" si="395"/>
        <v>1097544.1177777778</v>
      </c>
      <c r="BO459" s="66"/>
      <c r="BP459" s="66">
        <f t="shared" si="396"/>
        <v>32911259</v>
      </c>
      <c r="BQ459" s="66"/>
      <c r="BR459" s="435">
        <f t="shared" si="397"/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398"/>
        <v>44360</v>
      </c>
      <c r="C460" s="61"/>
      <c r="D460" s="17">
        <v>5285</v>
      </c>
      <c r="E460" s="16"/>
      <c r="F460" s="16"/>
      <c r="G460" s="16"/>
      <c r="H460" s="16">
        <f t="shared" si="374"/>
        <v>33823522</v>
      </c>
      <c r="I460" s="16"/>
      <c r="J460" s="436">
        <f t="shared" si="375"/>
        <v>1.5627662672066555E-4</v>
      </c>
      <c r="K460" s="16"/>
      <c r="L460" s="16"/>
      <c r="M460" s="16"/>
      <c r="N460" s="16">
        <f t="shared" si="376"/>
        <v>87647</v>
      </c>
      <c r="O460" s="16">
        <f t="shared" si="377"/>
        <v>74996.722838137473</v>
      </c>
      <c r="P460" s="41"/>
      <c r="Q460" s="17">
        <f t="shared" si="378"/>
        <v>87647</v>
      </c>
      <c r="R460" s="16"/>
      <c r="S460" s="60">
        <f t="shared" si="379"/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si="380"/>
        <v>2163</v>
      </c>
      <c r="AA460" s="33">
        <f t="shared" si="381"/>
        <v>600606</v>
      </c>
      <c r="AB460" s="33"/>
      <c r="AC460" s="46">
        <f t="shared" si="382"/>
        <v>1.7757050847632013E-2</v>
      </c>
      <c r="AD460" s="33"/>
      <c r="AE460" s="33">
        <f t="shared" si="383"/>
        <v>1331.7206208425721</v>
      </c>
      <c r="AF460" s="50"/>
      <c r="AG460" s="33">
        <f t="shared" si="384"/>
        <v>2475</v>
      </c>
      <c r="AH460" s="33">
        <f>SUM(D431:D931)</f>
        <v>1125414664.060914</v>
      </c>
      <c r="AI460" s="213">
        <f t="shared" si="385"/>
        <v>-3.3957845433255272E-2</v>
      </c>
      <c r="AJ460" s="50"/>
      <c r="AK460" s="111"/>
      <c r="AL460" s="23">
        <f t="shared" si="386"/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si="387"/>
        <v>6.5214734196138114E-4</v>
      </c>
      <c r="AS460" s="25"/>
      <c r="AT460" s="25"/>
      <c r="AU460" s="24"/>
      <c r="AV460" s="298">
        <f t="shared" si="388"/>
        <v>0.83965626051598052</v>
      </c>
      <c r="AW460" s="298"/>
      <c r="AX460" s="24">
        <f t="shared" si="389"/>
        <v>62971.467849223947</v>
      </c>
      <c r="AY460" s="308"/>
      <c r="AZ460" s="111"/>
      <c r="BA460" s="65">
        <f t="shared" si="390"/>
        <v>454808</v>
      </c>
      <c r="BB460" s="66"/>
      <c r="BC460" s="66">
        <v>494349661</v>
      </c>
      <c r="BD460" s="66"/>
      <c r="BE460" s="66">
        <f t="shared" si="391"/>
        <v>5285</v>
      </c>
      <c r="BF460" s="66"/>
      <c r="BG460" s="144">
        <f t="shared" si="392"/>
        <v>1.1620288121580976E-2</v>
      </c>
      <c r="BH460" s="66"/>
      <c r="BI460" s="170"/>
      <c r="BJ460" s="66"/>
      <c r="BK460" s="66">
        <f t="shared" si="393"/>
        <v>7480711</v>
      </c>
      <c r="BL460" s="66"/>
      <c r="BM460" s="144">
        <f t="shared" si="394"/>
        <v>1.1716399684468495E-2</v>
      </c>
      <c r="BN460" s="65">
        <f t="shared" si="395"/>
        <v>1096118.9822616407</v>
      </c>
      <c r="BO460" s="66"/>
      <c r="BP460" s="66">
        <f t="shared" si="396"/>
        <v>32916544</v>
      </c>
      <c r="BQ460" s="66"/>
      <c r="BR460" s="435">
        <f t="shared" si="397"/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398"/>
        <v>44361</v>
      </c>
      <c r="C461" s="61"/>
      <c r="D461" s="17">
        <v>11521</v>
      </c>
      <c r="E461" s="16"/>
      <c r="F461" s="16"/>
      <c r="G461" s="16"/>
      <c r="H461" s="16">
        <f t="shared" si="374"/>
        <v>33835043</v>
      </c>
      <c r="I461" s="16"/>
      <c r="J461" s="436">
        <f t="shared" si="375"/>
        <v>3.4062094420563298E-4</v>
      </c>
      <c r="K461" s="16"/>
      <c r="L461" s="16"/>
      <c r="M461" s="16"/>
      <c r="N461" s="16">
        <f t="shared" si="376"/>
        <v>86885</v>
      </c>
      <c r="O461" s="16">
        <f t="shared" si="377"/>
        <v>74856.289823008847</v>
      </c>
      <c r="P461" s="41"/>
      <c r="Q461" s="17">
        <f t="shared" si="378"/>
        <v>86885</v>
      </c>
      <c r="R461" s="16"/>
      <c r="S461" s="60">
        <f t="shared" si="379"/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si="380"/>
        <v>2014</v>
      </c>
      <c r="AA461" s="33">
        <f t="shared" si="381"/>
        <v>600858</v>
      </c>
      <c r="AB461" s="33"/>
      <c r="AC461" s="46">
        <f t="shared" si="382"/>
        <v>1.7758452383228832E-2</v>
      </c>
      <c r="AD461" s="33"/>
      <c r="AE461" s="33">
        <f t="shared" si="383"/>
        <v>1329.3318584070796</v>
      </c>
      <c r="AF461" s="50"/>
      <c r="AG461" s="33">
        <f t="shared" si="384"/>
        <v>2415</v>
      </c>
      <c r="AH461" s="33">
        <f>SUM(D432:D932)</f>
        <v>1125389022.060914</v>
      </c>
      <c r="AI461" s="213">
        <f t="shared" si="385"/>
        <v>-0.12468285610728524</v>
      </c>
      <c r="AJ461" s="50"/>
      <c r="AK461" s="111"/>
      <c r="AL461" s="23">
        <f t="shared" si="386"/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si="387"/>
        <v>5.1461732642651093E-3</v>
      </c>
      <c r="AS461" s="25"/>
      <c r="AT461" s="25"/>
      <c r="AU461" s="24"/>
      <c r="AV461" s="298">
        <f t="shared" si="388"/>
        <v>0.84368989866512067</v>
      </c>
      <c r="AW461" s="298"/>
      <c r="AX461" s="24">
        <f t="shared" si="389"/>
        <v>63155.495575221241</v>
      </c>
      <c r="AY461" s="308"/>
      <c r="AZ461" s="111"/>
      <c r="BA461" s="65">
        <f t="shared" si="390"/>
        <v>1054127</v>
      </c>
      <c r="BB461" s="66"/>
      <c r="BC461" s="66">
        <v>495403788</v>
      </c>
      <c r="BD461" s="66"/>
      <c r="BE461" s="66">
        <f t="shared" si="391"/>
        <v>11521</v>
      </c>
      <c r="BF461" s="66"/>
      <c r="BG461" s="144">
        <f t="shared" si="392"/>
        <v>1.0929423115051603E-2</v>
      </c>
      <c r="BH461" s="66"/>
      <c r="BI461" s="170"/>
      <c r="BJ461" s="66"/>
      <c r="BK461" s="66">
        <f t="shared" si="393"/>
        <v>5670180</v>
      </c>
      <c r="BL461" s="66"/>
      <c r="BM461" s="144">
        <f t="shared" si="394"/>
        <v>1.5323146707864653E-2</v>
      </c>
      <c r="BN461" s="65">
        <f t="shared" si="395"/>
        <v>1096026.0796460176</v>
      </c>
      <c r="BO461" s="66"/>
      <c r="BP461" s="66">
        <f t="shared" si="396"/>
        <v>32928065</v>
      </c>
      <c r="BQ461" s="66"/>
      <c r="BR461" s="435">
        <f t="shared" si="397"/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398"/>
        <v>44362</v>
      </c>
      <c r="C462" s="61"/>
      <c r="D462" s="17">
        <v>12580</v>
      </c>
      <c r="E462" s="16"/>
      <c r="F462" s="16"/>
      <c r="G462" s="16"/>
      <c r="H462" s="16">
        <f t="shared" si="374"/>
        <v>33847623</v>
      </c>
      <c r="I462" s="16"/>
      <c r="J462" s="436">
        <f t="shared" si="375"/>
        <v>3.7180387209793112E-4</v>
      </c>
      <c r="K462" s="16"/>
      <c r="L462" s="16"/>
      <c r="M462" s="16"/>
      <c r="N462" s="16">
        <f t="shared" si="376"/>
        <v>85923</v>
      </c>
      <c r="O462" s="16">
        <f t="shared" si="377"/>
        <v>74718.814569536422</v>
      </c>
      <c r="P462" s="41"/>
      <c r="Q462" s="17">
        <f t="shared" si="378"/>
        <v>85923</v>
      </c>
      <c r="R462" s="16"/>
      <c r="S462" s="60">
        <f t="shared" si="379"/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si="380"/>
        <v>1915</v>
      </c>
      <c r="AA462" s="33">
        <f t="shared" si="381"/>
        <v>601211</v>
      </c>
      <c r="AB462" s="33"/>
      <c r="AC462" s="46">
        <f t="shared" si="382"/>
        <v>1.7762281268613751E-2</v>
      </c>
      <c r="AD462" s="33"/>
      <c r="AE462" s="33">
        <f t="shared" si="383"/>
        <v>1327.176600441501</v>
      </c>
      <c r="AF462" s="50"/>
      <c r="AG462" s="33">
        <f t="shared" si="384"/>
        <v>2367</v>
      </c>
      <c r="AH462" s="33">
        <f>SUM(D433:D933)</f>
        <v>1125371188.060914</v>
      </c>
      <c r="AI462" s="213">
        <f t="shared" si="385"/>
        <v>-0.17612252001392273</v>
      </c>
      <c r="AJ462" s="50"/>
      <c r="AK462" s="111"/>
      <c r="AL462" s="23">
        <f t="shared" si="386"/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si="387"/>
        <v>1.1355943911999194E-3</v>
      </c>
      <c r="AS462" s="25"/>
      <c r="AT462" s="25"/>
      <c r="AU462" s="24"/>
      <c r="AV462" s="298">
        <f t="shared" si="388"/>
        <v>0.84433406150854373</v>
      </c>
      <c r="AW462" s="298"/>
      <c r="AX462" s="24">
        <f t="shared" si="389"/>
        <v>63087.640176600442</v>
      </c>
      <c r="AY462" s="308"/>
      <c r="AZ462" s="111"/>
      <c r="BA462" s="65">
        <f t="shared" si="390"/>
        <v>613617</v>
      </c>
      <c r="BB462" s="66"/>
      <c r="BC462" s="66">
        <v>496017405</v>
      </c>
      <c r="BD462" s="66"/>
      <c r="BE462" s="66">
        <f t="shared" si="391"/>
        <v>12580</v>
      </c>
      <c r="BF462" s="66"/>
      <c r="BG462" s="144">
        <f t="shared" si="392"/>
        <v>2.0501387673418435E-2</v>
      </c>
      <c r="BH462" s="66"/>
      <c r="BI462" s="170"/>
      <c r="BJ462" s="66"/>
      <c r="BK462" s="66">
        <f t="shared" si="393"/>
        <v>5694671</v>
      </c>
      <c r="BL462" s="66"/>
      <c r="BM462" s="144">
        <f t="shared" si="394"/>
        <v>1.5088316778967565E-2</v>
      </c>
      <c r="BN462" s="65">
        <f t="shared" si="395"/>
        <v>1094961.1589403974</v>
      </c>
      <c r="BO462" s="66"/>
      <c r="BP462" s="66">
        <f t="shared" si="396"/>
        <v>32940645</v>
      </c>
      <c r="BQ462" s="66"/>
      <c r="BR462" s="435">
        <f t="shared" si="397"/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398"/>
        <v>44363</v>
      </c>
      <c r="C463" s="61"/>
      <c r="D463" s="17">
        <v>14063</v>
      </c>
      <c r="E463" s="16"/>
      <c r="F463" s="16"/>
      <c r="G463" s="16"/>
      <c r="H463" s="16">
        <f t="shared" si="374"/>
        <v>33861686</v>
      </c>
      <c r="I463" s="16"/>
      <c r="J463" s="436">
        <f t="shared" si="375"/>
        <v>4.1547969262125143E-4</v>
      </c>
      <c r="K463" s="16"/>
      <c r="L463" s="16"/>
      <c r="M463" s="16"/>
      <c r="N463" s="16">
        <f t="shared" si="376"/>
        <v>85785</v>
      </c>
      <c r="O463" s="16">
        <f t="shared" si="377"/>
        <v>74585.211453744487</v>
      </c>
      <c r="P463" s="41"/>
      <c r="Q463" s="17">
        <f t="shared" si="378"/>
        <v>85785</v>
      </c>
      <c r="R463" s="16"/>
      <c r="S463" s="60">
        <f t="shared" si="379"/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si="380"/>
        <v>1868</v>
      </c>
      <c r="AA463" s="33">
        <f t="shared" si="381"/>
        <v>601645</v>
      </c>
      <c r="AB463" s="33"/>
      <c r="AC463" s="46">
        <f t="shared" si="382"/>
        <v>1.7767721311927588E-2</v>
      </c>
      <c r="AD463" s="33"/>
      <c r="AE463" s="33">
        <f t="shared" si="383"/>
        <v>1325.2092511013216</v>
      </c>
      <c r="AF463" s="50"/>
      <c r="AG463" s="33">
        <f t="shared" si="384"/>
        <v>2349</v>
      </c>
      <c r="AH463" s="33">
        <f>SUM(D434:D934)</f>
        <v>1125346158.060914</v>
      </c>
      <c r="AI463" s="213">
        <f t="shared" si="385"/>
        <v>-0.16435432230522945</v>
      </c>
      <c r="AJ463" s="50"/>
      <c r="AK463" s="111"/>
      <c r="AL463" s="23">
        <f t="shared" si="386"/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si="387"/>
        <v>1.3224533893265477E-3</v>
      </c>
      <c r="AS463" s="25"/>
      <c r="AT463" s="25"/>
      <c r="AU463" s="24"/>
      <c r="AV463" s="298">
        <f t="shared" si="388"/>
        <v>0.84509953225601353</v>
      </c>
      <c r="AW463" s="298"/>
      <c r="AX463" s="24">
        <f t="shared" si="389"/>
        <v>63031.927312775333</v>
      </c>
      <c r="AY463" s="308"/>
      <c r="AZ463" s="111"/>
      <c r="BA463" s="65">
        <f t="shared" si="390"/>
        <v>607828</v>
      </c>
      <c r="BB463" s="66"/>
      <c r="BC463" s="66">
        <v>496625233</v>
      </c>
      <c r="BD463" s="66"/>
      <c r="BE463" s="66">
        <f t="shared" si="391"/>
        <v>14063</v>
      </c>
      <c r="BF463" s="66"/>
      <c r="BG463" s="144">
        <f t="shared" si="392"/>
        <v>2.3136479398777287E-2</v>
      </c>
      <c r="BH463" s="66"/>
      <c r="BI463" s="170"/>
      <c r="BJ463" s="66"/>
      <c r="BK463" s="66">
        <f t="shared" si="393"/>
        <v>5543952</v>
      </c>
      <c r="BL463" s="66"/>
      <c r="BM463" s="144">
        <f t="shared" si="394"/>
        <v>1.5473618819210557E-2</v>
      </c>
      <c r="BN463" s="65">
        <f t="shared" si="395"/>
        <v>1093888.1784140968</v>
      </c>
      <c r="BO463" s="66"/>
      <c r="BP463" s="66">
        <f t="shared" si="396"/>
        <v>32954708</v>
      </c>
      <c r="BQ463" s="66"/>
      <c r="BR463" s="435">
        <f t="shared" si="397"/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398"/>
        <v>44364</v>
      </c>
      <c r="C464" s="61"/>
      <c r="D464" s="17">
        <v>13733</v>
      </c>
      <c r="E464" s="16"/>
      <c r="F464" s="16"/>
      <c r="G464" s="16"/>
      <c r="H464" s="16">
        <f t="shared" si="374"/>
        <v>33875419</v>
      </c>
      <c r="I464" s="16"/>
      <c r="J464" s="436">
        <f t="shared" si="375"/>
        <v>4.0556161320496562E-4</v>
      </c>
      <c r="K464" s="16"/>
      <c r="L464" s="16"/>
      <c r="M464" s="16"/>
      <c r="N464" s="16">
        <f t="shared" si="376"/>
        <v>82754</v>
      </c>
      <c r="O464" s="16">
        <f t="shared" si="377"/>
        <v>74451.470329670323</v>
      </c>
      <c r="P464" s="41"/>
      <c r="Q464" s="17">
        <f t="shared" si="378"/>
        <v>82754</v>
      </c>
      <c r="R464" s="16"/>
      <c r="S464" s="60">
        <f t="shared" si="379"/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si="380"/>
        <v>1822</v>
      </c>
      <c r="AA464" s="33">
        <f t="shared" si="381"/>
        <v>602020</v>
      </c>
      <c r="AB464" s="33"/>
      <c r="AC464" s="46">
        <f t="shared" si="382"/>
        <v>1.7771588301239906E-2</v>
      </c>
      <c r="AD464" s="33"/>
      <c r="AE464" s="33">
        <f t="shared" si="383"/>
        <v>1323.1208791208792</v>
      </c>
      <c r="AF464" s="50"/>
      <c r="AG464" s="33">
        <f t="shared" si="384"/>
        <v>2243</v>
      </c>
      <c r="AH464" s="33">
        <f>SUM(D435:D935)</f>
        <v>1125318652.060914</v>
      </c>
      <c r="AI464" s="213">
        <f t="shared" si="385"/>
        <v>-0.17476085356880058</v>
      </c>
      <c r="AJ464" s="50"/>
      <c r="AK464" s="111"/>
      <c r="AL464" s="23">
        <f t="shared" si="386"/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si="387"/>
        <v>1.0241645596359723E-3</v>
      </c>
      <c r="AS464" s="25"/>
      <c r="AT464" s="25"/>
      <c r="AU464" s="24"/>
      <c r="AV464" s="298">
        <f t="shared" si="388"/>
        <v>0.84562210138271643</v>
      </c>
      <c r="AW464" s="298"/>
      <c r="AX464" s="24">
        <f t="shared" si="389"/>
        <v>62957.808791208794</v>
      </c>
      <c r="AY464" s="308"/>
      <c r="AZ464" s="111"/>
      <c r="BA464" s="65">
        <f t="shared" si="390"/>
        <v>784478</v>
      </c>
      <c r="BB464" s="66"/>
      <c r="BC464" s="66">
        <v>497409711</v>
      </c>
      <c r="BD464" s="66"/>
      <c r="BE464" s="66">
        <f t="shared" si="391"/>
        <v>13733</v>
      </c>
      <c r="BF464" s="66"/>
      <c r="BG464" s="144">
        <f t="shared" si="392"/>
        <v>1.750590838748824E-2</v>
      </c>
      <c r="BH464" s="66"/>
      <c r="BI464" s="170"/>
      <c r="BJ464" s="66"/>
      <c r="BK464" s="66">
        <f t="shared" si="393"/>
        <v>5409711</v>
      </c>
      <c r="BL464" s="66"/>
      <c r="BM464" s="144">
        <f t="shared" si="394"/>
        <v>1.5297305161033557E-2</v>
      </c>
      <c r="BN464" s="65">
        <f t="shared" si="395"/>
        <v>1093208.1560439561</v>
      </c>
      <c r="BO464" s="66"/>
      <c r="BP464" s="66">
        <f t="shared" si="396"/>
        <v>32968441</v>
      </c>
      <c r="BQ464" s="66"/>
      <c r="BR464" s="435">
        <f t="shared" si="397"/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398"/>
        <v>44365</v>
      </c>
      <c r="C465" s="61"/>
      <c r="D465" s="17">
        <v>13389</v>
      </c>
      <c r="E465" s="16"/>
      <c r="F465" s="16"/>
      <c r="G465" s="16"/>
      <c r="H465" s="16">
        <f t="shared" si="374"/>
        <v>33888808</v>
      </c>
      <c r="I465" s="16"/>
      <c r="J465" s="436">
        <f t="shared" si="375"/>
        <v>3.952423437183168E-4</v>
      </c>
      <c r="K465" s="16"/>
      <c r="L465" s="16"/>
      <c r="M465" s="16"/>
      <c r="N465" s="16">
        <f t="shared" si="376"/>
        <v>79998</v>
      </c>
      <c r="O465" s="16">
        <f t="shared" si="377"/>
        <v>74317.561403508778</v>
      </c>
      <c r="P465" s="41"/>
      <c r="Q465" s="17">
        <f t="shared" si="378"/>
        <v>79998</v>
      </c>
      <c r="R465" s="16"/>
      <c r="S465" s="60">
        <f t="shared" si="379"/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si="380"/>
        <v>1907</v>
      </c>
      <c r="AA465" s="33">
        <f t="shared" si="381"/>
        <v>602413</v>
      </c>
      <c r="AB465" s="33"/>
      <c r="AC465" s="46">
        <f t="shared" si="382"/>
        <v>1.7776163741138374E-2</v>
      </c>
      <c r="AD465" s="33"/>
      <c r="AE465" s="33">
        <f t="shared" si="383"/>
        <v>1321.0811403508771</v>
      </c>
      <c r="AF465" s="50"/>
      <c r="AG465" s="33">
        <f t="shared" si="384"/>
        <v>2215</v>
      </c>
      <c r="AH465" s="33">
        <f>SUM(D436:D936)</f>
        <v>1125290111.060914</v>
      </c>
      <c r="AI465" s="213">
        <f t="shared" si="385"/>
        <v>-0.15425735013363878</v>
      </c>
      <c r="AJ465" s="50"/>
      <c r="AK465" s="111"/>
      <c r="AL465" s="23">
        <f t="shared" si="386"/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si="387"/>
        <v>1.0516723863527233E-3</v>
      </c>
      <c r="AS465" s="25"/>
      <c r="AT465" s="25"/>
      <c r="AU465" s="24"/>
      <c r="AV465" s="298">
        <f t="shared" si="388"/>
        <v>0.8461769738256949</v>
      </c>
      <c r="AW465" s="298"/>
      <c r="AX465" s="24">
        <f t="shared" si="389"/>
        <v>62885.809210526313</v>
      </c>
      <c r="AY465" s="308"/>
      <c r="AZ465" s="111"/>
      <c r="BA465" s="65">
        <f t="shared" si="390"/>
        <v>820364</v>
      </c>
      <c r="BB465" s="66"/>
      <c r="BC465" s="66">
        <v>498230075</v>
      </c>
      <c r="BD465" s="66"/>
      <c r="BE465" s="66">
        <f t="shared" si="391"/>
        <v>13389</v>
      </c>
      <c r="BF465" s="66"/>
      <c r="BG465" s="144">
        <f t="shared" si="392"/>
        <v>1.6320803935813859E-2</v>
      </c>
      <c r="BH465" s="66"/>
      <c r="BI465" s="170"/>
      <c r="BJ465" s="66"/>
      <c r="BK465" s="66">
        <f t="shared" si="393"/>
        <v>4983961</v>
      </c>
      <c r="BL465" s="66"/>
      <c r="BM465" s="144">
        <f t="shared" si="394"/>
        <v>1.6051088682275002E-2</v>
      </c>
      <c r="BN465" s="65">
        <f t="shared" si="395"/>
        <v>1092609.8135964912</v>
      </c>
      <c r="BO465" s="66"/>
      <c r="BP465" s="66">
        <f t="shared" si="396"/>
        <v>32981830</v>
      </c>
      <c r="BQ465" s="66"/>
      <c r="BR465" s="435">
        <f t="shared" si="397"/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398"/>
        <v>44366</v>
      </c>
      <c r="C466" s="61"/>
      <c r="D466" s="17">
        <v>7782</v>
      </c>
      <c r="E466" s="16"/>
      <c r="F466" s="16"/>
      <c r="G466" s="16"/>
      <c r="H466" s="16">
        <f t="shared" si="374"/>
        <v>33896590</v>
      </c>
      <c r="I466" s="16"/>
      <c r="J466" s="436">
        <f t="shared" si="375"/>
        <v>2.2963333499366516E-4</v>
      </c>
      <c r="K466" s="16"/>
      <c r="L466" s="16"/>
      <c r="M466" s="16"/>
      <c r="N466" s="16">
        <f t="shared" si="376"/>
        <v>78353</v>
      </c>
      <c r="O466" s="16">
        <f t="shared" si="377"/>
        <v>74171.969365426703</v>
      </c>
      <c r="P466" s="41"/>
      <c r="Q466" s="17">
        <f t="shared" si="378"/>
        <v>78353</v>
      </c>
      <c r="R466" s="16"/>
      <c r="S466" s="60">
        <f t="shared" si="379"/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si="380"/>
        <v>1977</v>
      </c>
      <c r="AA466" s="33">
        <f t="shared" si="381"/>
        <v>602583</v>
      </c>
      <c r="AB466" s="33"/>
      <c r="AC466" s="46">
        <f t="shared" si="382"/>
        <v>1.7777097932269881E-2</v>
      </c>
      <c r="AD466" s="33"/>
      <c r="AE466" s="33">
        <f t="shared" si="383"/>
        <v>1318.562363238512</v>
      </c>
      <c r="AF466" s="50"/>
      <c r="AG466" s="33">
        <f t="shared" si="384"/>
        <v>2077</v>
      </c>
      <c r="AH466" s="33">
        <f>SUM(D437:D937)</f>
        <v>1125259897.060914</v>
      </c>
      <c r="AI466" s="213">
        <f t="shared" si="385"/>
        <v>-0.18196140212682158</v>
      </c>
      <c r="AJ466" s="50"/>
      <c r="AK466" s="111"/>
      <c r="AL466" s="23">
        <f t="shared" si="386"/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si="387"/>
        <v>6.5957758508887368E-4</v>
      </c>
      <c r="AS466" s="25"/>
      <c r="AT466" s="25"/>
      <c r="AU466" s="24"/>
      <c r="AV466" s="298">
        <f t="shared" si="388"/>
        <v>0.84654069922667741</v>
      </c>
      <c r="AW466" s="298"/>
      <c r="AX466" s="24">
        <f t="shared" si="389"/>
        <v>62789.590809628011</v>
      </c>
      <c r="AY466" s="308"/>
      <c r="AZ466" s="111"/>
      <c r="BA466" s="65">
        <f t="shared" si="390"/>
        <v>459136</v>
      </c>
      <c r="BB466" s="66"/>
      <c r="BC466" s="66">
        <v>498689211</v>
      </c>
      <c r="BD466" s="66"/>
      <c r="BE466" s="66">
        <f t="shared" si="391"/>
        <v>7782</v>
      </c>
      <c r="BF466" s="66"/>
      <c r="BG466" s="144">
        <f t="shared" si="392"/>
        <v>1.6949226373013659E-2</v>
      </c>
      <c r="BH466" s="66"/>
      <c r="BI466" s="170"/>
      <c r="BJ466" s="66"/>
      <c r="BK466" s="66">
        <f t="shared" si="393"/>
        <v>4794358</v>
      </c>
      <c r="BL466" s="66"/>
      <c r="BM466" s="144">
        <f t="shared" si="394"/>
        <v>1.6342751208816696E-2</v>
      </c>
      <c r="BN466" s="65">
        <f t="shared" si="395"/>
        <v>1091223.6564551422</v>
      </c>
      <c r="BO466" s="66"/>
      <c r="BP466" s="66">
        <f t="shared" si="396"/>
        <v>32989612</v>
      </c>
      <c r="BQ466" s="66"/>
      <c r="BR466" s="435">
        <f t="shared" si="397"/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398"/>
        <v>44367</v>
      </c>
      <c r="C467" s="61"/>
      <c r="D467" s="17">
        <v>4422</v>
      </c>
      <c r="E467" s="16"/>
      <c r="F467" s="16"/>
      <c r="G467" s="16"/>
      <c r="H467" s="16">
        <f t="shared" si="374"/>
        <v>33901012</v>
      </c>
      <c r="I467" s="16"/>
      <c r="J467" s="436">
        <f t="shared" si="375"/>
        <v>1.3045560040110229E-4</v>
      </c>
      <c r="K467" s="16"/>
      <c r="L467" s="16"/>
      <c r="M467" s="16"/>
      <c r="N467" s="16">
        <f t="shared" si="376"/>
        <v>77490</v>
      </c>
      <c r="O467" s="16">
        <f t="shared" si="377"/>
        <v>74019.676855895203</v>
      </c>
      <c r="P467" s="41"/>
      <c r="Q467" s="17">
        <f t="shared" si="378"/>
        <v>77490</v>
      </c>
      <c r="R467" s="16"/>
      <c r="S467" s="60">
        <f t="shared" si="379"/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si="380"/>
        <v>1811</v>
      </c>
      <c r="AA467" s="33">
        <f t="shared" si="381"/>
        <v>602669</v>
      </c>
      <c r="AB467" s="33"/>
      <c r="AC467" s="46">
        <f t="shared" si="382"/>
        <v>1.7777315910215304E-2</v>
      </c>
      <c r="AD467" s="33"/>
      <c r="AE467" s="33">
        <f t="shared" si="383"/>
        <v>1315.8711790393013</v>
      </c>
      <c r="AF467" s="50"/>
      <c r="AG467" s="33">
        <f t="shared" si="384"/>
        <v>2063</v>
      </c>
      <c r="AH467" s="33">
        <f>SUM(D438:D938)</f>
        <v>1125230883.060914</v>
      </c>
      <c r="AI467" s="213">
        <f t="shared" si="385"/>
        <v>-0.16646464646464645</v>
      </c>
      <c r="AJ467" s="50"/>
      <c r="AK467" s="111"/>
      <c r="AL467" s="23">
        <f t="shared" si="386"/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si="387"/>
        <v>5.7404042949459597E-4</v>
      </c>
      <c r="AS467" s="25"/>
      <c r="AT467" s="25"/>
      <c r="AU467" s="24"/>
      <c r="AV467" s="298">
        <f t="shared" si="388"/>
        <v>0.84691616285673121</v>
      </c>
      <c r="AW467" s="298"/>
      <c r="AX467" s="24">
        <f t="shared" si="389"/>
        <v>62688.46069868996</v>
      </c>
      <c r="AY467" s="308"/>
      <c r="AZ467" s="111"/>
      <c r="BA467" s="65">
        <f t="shared" si="390"/>
        <v>372514</v>
      </c>
      <c r="BB467" s="66"/>
      <c r="BC467" s="66">
        <v>499061725</v>
      </c>
      <c r="BD467" s="66"/>
      <c r="BE467" s="66">
        <f t="shared" si="391"/>
        <v>4422</v>
      </c>
      <c r="BF467" s="66"/>
      <c r="BG467" s="144">
        <f t="shared" si="392"/>
        <v>1.1870694792678932E-2</v>
      </c>
      <c r="BH467" s="66"/>
      <c r="BI467" s="170"/>
      <c r="BJ467" s="66"/>
      <c r="BK467" s="66">
        <f t="shared" si="393"/>
        <v>4712064</v>
      </c>
      <c r="BL467" s="66"/>
      <c r="BM467" s="144">
        <f t="shared" si="394"/>
        <v>1.6445022818026241E-2</v>
      </c>
      <c r="BN467" s="65">
        <f t="shared" si="395"/>
        <v>1089654.4213973798</v>
      </c>
      <c r="BO467" s="66"/>
      <c r="BP467" s="66">
        <f t="shared" si="396"/>
        <v>32994034</v>
      </c>
      <c r="BQ467" s="66"/>
      <c r="BR467" s="435">
        <f t="shared" si="397"/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398"/>
        <v>44368</v>
      </c>
      <c r="C468" s="61"/>
      <c r="D468" s="17">
        <v>9755</v>
      </c>
      <c r="E468" s="16"/>
      <c r="F468" s="16"/>
      <c r="G468" s="16"/>
      <c r="H468" s="16">
        <f t="shared" si="374"/>
        <v>33910767</v>
      </c>
      <c r="I468" s="16"/>
      <c r="J468" s="436">
        <f t="shared" si="375"/>
        <v>2.8774952204966626E-4</v>
      </c>
      <c r="K468" s="16"/>
      <c r="L468" s="16"/>
      <c r="M468" s="16"/>
      <c r="N468" s="16">
        <f t="shared" si="376"/>
        <v>75724</v>
      </c>
      <c r="O468" s="16">
        <f t="shared" si="377"/>
        <v>73879.666666666672</v>
      </c>
      <c r="P468" s="41"/>
      <c r="Q468" s="17">
        <f t="shared" si="378"/>
        <v>75724</v>
      </c>
      <c r="R468" s="16"/>
      <c r="S468" s="60">
        <f t="shared" si="379"/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si="380"/>
        <v>1695</v>
      </c>
      <c r="AA468" s="33">
        <f t="shared" si="381"/>
        <v>602906</v>
      </c>
      <c r="AB468" s="33"/>
      <c r="AC468" s="46">
        <f t="shared" si="382"/>
        <v>1.7779190898277234E-2</v>
      </c>
      <c r="AD468" s="33"/>
      <c r="AE468" s="33">
        <f t="shared" si="383"/>
        <v>1313.520697167756</v>
      </c>
      <c r="AF468" s="50"/>
      <c r="AG468" s="33">
        <f t="shared" si="384"/>
        <v>2048</v>
      </c>
      <c r="AH468" s="33">
        <f>SUM(D439:D939)</f>
        <v>1125211244.060914</v>
      </c>
      <c r="AI468" s="213">
        <f t="shared" si="385"/>
        <v>-0.15196687370600415</v>
      </c>
      <c r="AJ468" s="50"/>
      <c r="AK468" s="111"/>
      <c r="AL468" s="23">
        <f t="shared" si="386"/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si="387"/>
        <v>2.8150922380253221E-3</v>
      </c>
      <c r="AS468" s="25"/>
      <c r="AT468" s="25"/>
      <c r="AU468" s="24"/>
      <c r="AV468" s="298">
        <f t="shared" si="388"/>
        <v>0.84905599451643188</v>
      </c>
      <c r="AW468" s="298"/>
      <c r="AX468" s="24">
        <f t="shared" si="389"/>
        <v>62727.973856209152</v>
      </c>
      <c r="AY468" s="308"/>
      <c r="AZ468" s="111"/>
      <c r="BA468" s="65">
        <f t="shared" si="390"/>
        <v>1247281</v>
      </c>
      <c r="BB468" s="66"/>
      <c r="BC468" s="66">
        <v>500309006</v>
      </c>
      <c r="BD468" s="66"/>
      <c r="BE468" s="66">
        <f t="shared" si="391"/>
        <v>9755</v>
      </c>
      <c r="BF468" s="66"/>
      <c r="BG468" s="144">
        <f t="shared" si="392"/>
        <v>7.8210122658807432E-3</v>
      </c>
      <c r="BH468" s="66"/>
      <c r="BI468" s="170"/>
      <c r="BJ468" s="66"/>
      <c r="BK468" s="66">
        <f t="shared" si="393"/>
        <v>4905218</v>
      </c>
      <c r="BL468" s="66"/>
      <c r="BM468" s="144">
        <f t="shared" si="394"/>
        <v>1.5437438254528138E-2</v>
      </c>
      <c r="BN468" s="65">
        <f t="shared" si="395"/>
        <v>1089997.834422658</v>
      </c>
      <c r="BO468" s="66"/>
      <c r="BP468" s="66">
        <f t="shared" si="396"/>
        <v>33003789</v>
      </c>
      <c r="BQ468" s="66"/>
      <c r="BR468" s="435">
        <f t="shared" si="397"/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398"/>
        <v>44369</v>
      </c>
      <c r="C469" s="61"/>
      <c r="D469" s="17">
        <v>12874</v>
      </c>
      <c r="E469" s="16"/>
      <c r="F469" s="16"/>
      <c r="G469" s="16"/>
      <c r="H469" s="16">
        <f t="shared" si="374"/>
        <v>33923641</v>
      </c>
      <c r="I469" s="16"/>
      <c r="J469" s="436">
        <f t="shared" si="375"/>
        <v>3.7964343301347326E-4</v>
      </c>
      <c r="K469" s="16"/>
      <c r="L469" s="16"/>
      <c r="M469" s="16"/>
      <c r="N469" s="16">
        <f t="shared" si="376"/>
        <v>76018</v>
      </c>
      <c r="O469" s="16">
        <f t="shared" si="377"/>
        <v>73747.045652173911</v>
      </c>
      <c r="P469" s="41"/>
      <c r="Q469" s="17">
        <f t="shared" si="378"/>
        <v>76018</v>
      </c>
      <c r="R469" s="16"/>
      <c r="S469" s="60">
        <f t="shared" si="379"/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si="380"/>
        <v>1692</v>
      </c>
      <c r="AA469" s="33">
        <f t="shared" si="381"/>
        <v>603337</v>
      </c>
      <c r="AB469" s="33"/>
      <c r="AC469" s="46">
        <f t="shared" si="382"/>
        <v>1.7785148710894566E-2</v>
      </c>
      <c r="AD469" s="33"/>
      <c r="AE469" s="33">
        <f t="shared" si="383"/>
        <v>1311.6021739130435</v>
      </c>
      <c r="AF469" s="50"/>
      <c r="AG469" s="33">
        <f t="shared" si="384"/>
        <v>2126</v>
      </c>
      <c r="AH469" s="33">
        <f>SUM(D440:D940)</f>
        <v>1125197703.060914</v>
      </c>
      <c r="AI469" s="213">
        <f t="shared" si="385"/>
        <v>-0.10181664554288128</v>
      </c>
      <c r="AJ469" s="50"/>
      <c r="AK469" s="111"/>
      <c r="AL469" s="23">
        <f t="shared" si="386"/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si="387"/>
        <v>1.0292739615742352E-3</v>
      </c>
      <c r="AS469" s="25"/>
      <c r="AT469" s="25"/>
      <c r="AU469" s="24"/>
      <c r="AV469" s="298">
        <f t="shared" si="388"/>
        <v>0.84960735788944353</v>
      </c>
      <c r="AW469" s="298"/>
      <c r="AX469" s="24">
        <f t="shared" si="389"/>
        <v>62656.032608695656</v>
      </c>
      <c r="AY469" s="308"/>
      <c r="AZ469" s="111"/>
      <c r="BA469" s="65">
        <f t="shared" si="390"/>
        <v>481846</v>
      </c>
      <c r="BB469" s="66"/>
      <c r="BC469" s="66">
        <v>500790852</v>
      </c>
      <c r="BD469" s="66"/>
      <c r="BE469" s="66">
        <f t="shared" si="391"/>
        <v>12874</v>
      </c>
      <c r="BF469" s="66"/>
      <c r="BG469" s="144">
        <f t="shared" si="392"/>
        <v>2.6718080050472558E-2</v>
      </c>
      <c r="BH469" s="66"/>
      <c r="BI469" s="170"/>
      <c r="BJ469" s="66"/>
      <c r="BK469" s="66">
        <f t="shared" si="393"/>
        <v>4773447</v>
      </c>
      <c r="BL469" s="66"/>
      <c r="BM469" s="144">
        <f t="shared" si="394"/>
        <v>1.5925179435322106E-2</v>
      </c>
      <c r="BN469" s="65">
        <f t="shared" si="395"/>
        <v>1088675.7652173913</v>
      </c>
      <c r="BO469" s="66"/>
      <c r="BP469" s="66">
        <f t="shared" si="396"/>
        <v>33016663</v>
      </c>
      <c r="BQ469" s="66"/>
      <c r="BR469" s="435">
        <f t="shared" si="397"/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398"/>
        <v>44370</v>
      </c>
      <c r="C470" s="61"/>
      <c r="D470" s="17">
        <v>13365</v>
      </c>
      <c r="E470" s="16"/>
      <c r="F470" s="16"/>
      <c r="G470" s="16"/>
      <c r="H470" s="16">
        <f t="shared" si="374"/>
        <v>33937006</v>
      </c>
      <c r="I470" s="16"/>
      <c r="J470" s="436">
        <f t="shared" si="375"/>
        <v>3.9397304080655729E-4</v>
      </c>
      <c r="K470" s="16"/>
      <c r="L470" s="16"/>
      <c r="M470" s="16"/>
      <c r="N470" s="16">
        <f t="shared" si="376"/>
        <v>75320</v>
      </c>
      <c r="O470" s="16">
        <f t="shared" si="377"/>
        <v>73616.065075921913</v>
      </c>
      <c r="P470" s="41"/>
      <c r="Q470" s="17">
        <f t="shared" si="378"/>
        <v>75320</v>
      </c>
      <c r="R470" s="16"/>
      <c r="S470" s="60">
        <f t="shared" si="379"/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si="380"/>
        <v>1646</v>
      </c>
      <c r="AA470" s="33">
        <f t="shared" si="381"/>
        <v>603666</v>
      </c>
      <c r="AB470" s="33"/>
      <c r="AC470" s="46">
        <f t="shared" si="382"/>
        <v>1.7787839033295984E-2</v>
      </c>
      <c r="AD470" s="33"/>
      <c r="AE470" s="33">
        <f t="shared" si="383"/>
        <v>1309.4707158351409</v>
      </c>
      <c r="AF470" s="50"/>
      <c r="AG470" s="33">
        <f t="shared" si="384"/>
        <v>2021</v>
      </c>
      <c r="AH470" s="33">
        <f>SUM(D441:D941)</f>
        <v>1125177337.060914</v>
      </c>
      <c r="AI470" s="213">
        <f t="shared" si="385"/>
        <v>-0.13963388676032354</v>
      </c>
      <c r="AJ470" s="50"/>
      <c r="AK470" s="111"/>
      <c r="AL470" s="23">
        <f t="shared" si="386"/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si="387"/>
        <v>1.0216927999750188E-3</v>
      </c>
      <c r="AS470" s="25"/>
      <c r="AT470" s="25"/>
      <c r="AU470" s="24"/>
      <c r="AV470" s="298">
        <f t="shared" si="388"/>
        <v>0.85014046318641068</v>
      </c>
      <c r="AW470" s="298"/>
      <c r="AX470" s="24">
        <f t="shared" si="389"/>
        <v>62583.995661605208</v>
      </c>
      <c r="AY470" s="308"/>
      <c r="AZ470" s="111"/>
      <c r="BA470" s="65">
        <f t="shared" si="390"/>
        <v>889271</v>
      </c>
      <c r="BB470" s="66"/>
      <c r="BC470" s="66">
        <f>502180123-500000</f>
        <v>501680123</v>
      </c>
      <c r="BD470" s="66"/>
      <c r="BE470" s="66">
        <f t="shared" si="391"/>
        <v>13365</v>
      </c>
      <c r="BF470" s="66"/>
      <c r="BG470" s="144">
        <f t="shared" si="392"/>
        <v>1.5029164337980211E-2</v>
      </c>
      <c r="BH470" s="66"/>
      <c r="BI470" s="170"/>
      <c r="BJ470" s="66"/>
      <c r="BK470" s="66">
        <f t="shared" si="393"/>
        <v>5054890</v>
      </c>
      <c r="BL470" s="66"/>
      <c r="BM470" s="144">
        <f t="shared" si="394"/>
        <v>1.4900423154608705E-2</v>
      </c>
      <c r="BN470" s="65">
        <f t="shared" si="395"/>
        <v>1088243.2169197397</v>
      </c>
      <c r="BO470" s="66"/>
      <c r="BP470" s="66">
        <f t="shared" si="396"/>
        <v>33030028</v>
      </c>
      <c r="BQ470" s="66"/>
      <c r="BR470" s="435">
        <f t="shared" si="397"/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398"/>
        <v>44371</v>
      </c>
      <c r="C471" s="61"/>
      <c r="D471" s="17">
        <v>15460</v>
      </c>
      <c r="E471" s="16"/>
      <c r="F471" s="16"/>
      <c r="G471" s="16"/>
      <c r="H471" s="16">
        <f t="shared" si="374"/>
        <v>33952466</v>
      </c>
      <c r="I471" s="16"/>
      <c r="J471" s="436">
        <f t="shared" si="375"/>
        <v>4.555499091463755E-4</v>
      </c>
      <c r="K471" s="16"/>
      <c r="L471" s="16"/>
      <c r="M471" s="16"/>
      <c r="N471" s="16">
        <f t="shared" si="376"/>
        <v>77047</v>
      </c>
      <c r="O471" s="16">
        <f t="shared" si="377"/>
        <v>73490.186147186148</v>
      </c>
      <c r="P471" s="41"/>
      <c r="Q471" s="17">
        <f t="shared" si="378"/>
        <v>77047</v>
      </c>
      <c r="R471" s="16"/>
      <c r="S471" s="60">
        <f t="shared" si="379"/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si="380"/>
        <v>1633</v>
      </c>
      <c r="AA471" s="33">
        <f t="shared" si="381"/>
        <v>604046</v>
      </c>
      <c r="AB471" s="33"/>
      <c r="AC471" s="46">
        <f t="shared" si="382"/>
        <v>1.7790931592421004E-2</v>
      </c>
      <c r="AD471" s="33"/>
      <c r="AE471" s="33">
        <f t="shared" si="383"/>
        <v>1307.4588744588746</v>
      </c>
      <c r="AF471" s="50"/>
      <c r="AG471" s="33">
        <f t="shared" si="384"/>
        <v>2026</v>
      </c>
      <c r="AH471" s="33">
        <f>SUM(D442:D942)</f>
        <v>1125154599.060914</v>
      </c>
      <c r="AI471" s="213">
        <f t="shared" si="385"/>
        <v>-9.6745430227374057E-2</v>
      </c>
      <c r="AJ471" s="50"/>
      <c r="AK471" s="111" t="s">
        <v>26</v>
      </c>
      <c r="AL471" s="23">
        <f t="shared" si="386"/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si="387"/>
        <v>8.0807669082439554E-4</v>
      </c>
      <c r="AS471" s="25"/>
      <c r="AT471" s="25"/>
      <c r="AU471" s="24"/>
      <c r="AV471" s="298">
        <f t="shared" si="388"/>
        <v>0.85044002400296936</v>
      </c>
      <c r="AW471" s="298"/>
      <c r="AX471" s="24">
        <f t="shared" si="389"/>
        <v>62498.995670995668</v>
      </c>
      <c r="AY471" s="308"/>
      <c r="AZ471" s="111" t="s">
        <v>26</v>
      </c>
      <c r="BA471" s="65">
        <f t="shared" si="390"/>
        <v>500000</v>
      </c>
      <c r="BB471" s="66"/>
      <c r="BC471" s="66">
        <v>502180123</v>
      </c>
      <c r="BD471" s="66"/>
      <c r="BE471" s="66">
        <f t="shared" si="391"/>
        <v>15460</v>
      </c>
      <c r="BF471" s="66"/>
      <c r="BG471" s="144">
        <f t="shared" si="392"/>
        <v>3.092E-2</v>
      </c>
      <c r="BH471" s="66"/>
      <c r="BI471" s="170"/>
      <c r="BJ471" s="66"/>
      <c r="BK471" s="66">
        <f t="shared" si="393"/>
        <v>4770412</v>
      </c>
      <c r="BL471" s="66"/>
      <c r="BM471" s="144">
        <f t="shared" si="394"/>
        <v>1.6151015887097383E-2</v>
      </c>
      <c r="BN471" s="65">
        <f t="shared" si="395"/>
        <v>1086969.9632034632</v>
      </c>
      <c r="BO471" s="66"/>
      <c r="BP471" s="66">
        <f t="shared" si="396"/>
        <v>33045488</v>
      </c>
      <c r="BQ471" s="66"/>
      <c r="BR471" s="435">
        <f t="shared" si="397"/>
        <v>6.580405413616898E-2</v>
      </c>
      <c r="BS471" s="66"/>
      <c r="BT471" s="75"/>
      <c r="BU471" s="170"/>
      <c r="BV471" s="1"/>
      <c r="BW471" s="61">
        <f t="shared" ref="BW471:BW579" si="399">+BW470+1</f>
        <v>462</v>
      </c>
    </row>
    <row r="472" spans="2:75" x14ac:dyDescent="0.3">
      <c r="B472" s="158">
        <f t="shared" si="398"/>
        <v>44372</v>
      </c>
      <c r="C472" s="61"/>
      <c r="D472" s="17">
        <v>15537</v>
      </c>
      <c r="E472" s="16"/>
      <c r="F472" s="16"/>
      <c r="G472" s="16"/>
      <c r="H472" s="16">
        <f t="shared" ref="H472:H503" si="400">+H471+D472</f>
        <v>33968003</v>
      </c>
      <c r="I472" s="16"/>
      <c r="J472" s="436">
        <f t="shared" ref="J472:J503" si="401">+D472/H471</f>
        <v>4.5761035442904206E-4</v>
      </c>
      <c r="K472" s="16"/>
      <c r="L472" s="16"/>
      <c r="M472" s="16"/>
      <c r="N472" s="16">
        <f t="shared" ref="N472:N503" si="402">SUM(D466:D472)</f>
        <v>79195</v>
      </c>
      <c r="O472" s="16">
        <f t="shared" ref="O472:O503" si="403">+H472/BW472</f>
        <v>73365.017278617714</v>
      </c>
      <c r="P472" s="41"/>
      <c r="Q472" s="17">
        <f t="shared" ref="Q472:Q503" si="404">SUM(D466:D472)</f>
        <v>79195</v>
      </c>
      <c r="R472" s="16"/>
      <c r="S472" s="60">
        <f t="shared" ref="S472:S503" si="405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:Z503" si="406">SUM(W467:W472)</f>
        <v>1850</v>
      </c>
      <c r="AA472" s="33">
        <f t="shared" ref="AA472:AA503" si="407">+AA471+W472</f>
        <v>604433</v>
      </c>
      <c r="AB472" s="33"/>
      <c r="AC472" s="46">
        <f t="shared" ref="AC472:AC503" si="408">+AA472/H472</f>
        <v>1.7794187076584984E-2</v>
      </c>
      <c r="AD472" s="33"/>
      <c r="AE472" s="33">
        <f t="shared" ref="AE472:AE503" si="409">+AA472/BW472</f>
        <v>1305.4708423326133</v>
      </c>
      <c r="AF472" s="50"/>
      <c r="AG472" s="33">
        <f t="shared" ref="AG472:AG503" si="410">SUM(W466:W472)</f>
        <v>2020</v>
      </c>
      <c r="AH472" s="33">
        <f>SUM(D443:D943)</f>
        <v>1125131099.060914</v>
      </c>
      <c r="AI472" s="213">
        <f t="shared" ref="AI472:AI503" si="411">+(AG472-AG465)/AG465</f>
        <v>-8.8036117381489837E-2</v>
      </c>
      <c r="AJ472" s="50"/>
      <c r="AK472" s="111"/>
      <c r="AL472" s="23">
        <f t="shared" ref="AL472:AL503" si="412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:AR503" si="413">+AL472/AP471</f>
        <v>7.9391751957503317E-4</v>
      </c>
      <c r="AS472" s="25"/>
      <c r="AT472" s="25"/>
      <c r="AU472" s="24"/>
      <c r="AV472" s="298">
        <f t="shared" ref="AV472:AV503" si="414">+AP472/H472</f>
        <v>0.85072590225571987</v>
      </c>
      <c r="AW472" s="298"/>
      <c r="AX472" s="24">
        <f t="shared" ref="AX472:AX503" si="415">+AP472/BW472</f>
        <v>62413.520518358535</v>
      </c>
      <c r="AY472" s="308"/>
      <c r="AZ472" s="111"/>
      <c r="BA472" s="65">
        <f t="shared" ref="BA472:BA503" si="416">+BC472-BC471</f>
        <v>826269</v>
      </c>
      <c r="BB472" s="66"/>
      <c r="BC472" s="66">
        <v>503006392</v>
      </c>
      <c r="BD472" s="66"/>
      <c r="BE472" s="66">
        <f t="shared" ref="BE472:BE503" si="417">+D472</f>
        <v>15537</v>
      </c>
      <c r="BF472" s="66"/>
      <c r="BG472" s="144">
        <f t="shared" ref="BG472:BG503" si="418">+BE472/BA472</f>
        <v>1.8803803603911075E-2</v>
      </c>
      <c r="BH472" s="66"/>
      <c r="BI472" s="170"/>
      <c r="BJ472" s="66"/>
      <c r="BK472" s="66">
        <f t="shared" ref="BK472:BK503" si="419">SUM(BA466:BA472)</f>
        <v>4776317</v>
      </c>
      <c r="BL472" s="66"/>
      <c r="BM472" s="144">
        <f t="shared" ref="BM472:BM503" si="420">+Q472/BK472</f>
        <v>1.6580767147574168E-2</v>
      </c>
      <c r="BN472" s="65">
        <f t="shared" ref="BN472:BN503" si="421">+BC472/BW472</f>
        <v>1086406.8941684666</v>
      </c>
      <c r="BO472" s="66"/>
      <c r="BP472" s="66">
        <f t="shared" ref="BP472:BP503" si="422">+BP471+BE472</f>
        <v>33061025</v>
      </c>
      <c r="BQ472" s="66"/>
      <c r="BR472" s="435">
        <f t="shared" ref="BR472:BR503" si="423">+BP472/BC472</f>
        <v>6.5726848656030595E-2</v>
      </c>
      <c r="BS472" s="66"/>
      <c r="BT472" s="75"/>
      <c r="BU472" s="170"/>
      <c r="BV472" s="1"/>
      <c r="BW472" s="61">
        <f t="shared" si="399"/>
        <v>463</v>
      </c>
    </row>
    <row r="473" spans="2:75" x14ac:dyDescent="0.3">
      <c r="B473" s="158">
        <f t="shared" si="398"/>
        <v>44373</v>
      </c>
      <c r="C473" s="61"/>
      <c r="D473" s="17">
        <v>6586</v>
      </c>
      <c r="E473" s="16"/>
      <c r="F473" s="16"/>
      <c r="G473" s="16"/>
      <c r="H473" s="16">
        <f t="shared" si="400"/>
        <v>33974589</v>
      </c>
      <c r="I473" s="16"/>
      <c r="J473" s="436">
        <f t="shared" si="401"/>
        <v>1.9388834839657781E-4</v>
      </c>
      <c r="K473" s="16"/>
      <c r="L473" s="16"/>
      <c r="M473" s="16"/>
      <c r="N473" s="16">
        <f t="shared" si="402"/>
        <v>77999</v>
      </c>
      <c r="O473" s="16">
        <f t="shared" si="403"/>
        <v>73221.096982758623</v>
      </c>
      <c r="P473" s="41"/>
      <c r="Q473" s="17">
        <f t="shared" si="404"/>
        <v>77999</v>
      </c>
      <c r="R473" s="16"/>
      <c r="S473" s="60">
        <f t="shared" si="405"/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si="406"/>
        <v>1913</v>
      </c>
      <c r="AA473" s="33">
        <f t="shared" si="407"/>
        <v>604582</v>
      </c>
      <c r="AB473" s="33"/>
      <c r="AC473" s="46">
        <f t="shared" si="408"/>
        <v>1.7795123290527518E-2</v>
      </c>
      <c r="AD473" s="33"/>
      <c r="AE473" s="33">
        <f t="shared" si="409"/>
        <v>1302.9784482758621</v>
      </c>
      <c r="AF473" s="50"/>
      <c r="AG473" s="33">
        <f t="shared" si="410"/>
        <v>1999</v>
      </c>
      <c r="AH473" s="33">
        <f>SUM(D444:D944)</f>
        <v>1125106706.060914</v>
      </c>
      <c r="AI473" s="213">
        <f t="shared" si="411"/>
        <v>-3.7554164660568129E-2</v>
      </c>
      <c r="AJ473" s="50"/>
      <c r="AK473" s="111"/>
      <c r="AL473" s="23">
        <f t="shared" si="412"/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si="413"/>
        <v>5.3451064557230978E-4</v>
      </c>
      <c r="AS473" s="25"/>
      <c r="AT473" s="25"/>
      <c r="AU473" s="24"/>
      <c r="AV473" s="298">
        <f t="shared" si="414"/>
        <v>0.85101562229347349</v>
      </c>
      <c r="AW473" s="298"/>
      <c r="AX473" s="24">
        <f t="shared" si="415"/>
        <v>62312.297413793101</v>
      </c>
      <c r="AY473" s="308"/>
      <c r="AZ473" s="111"/>
      <c r="BA473" s="65">
        <f t="shared" si="416"/>
        <v>451282</v>
      </c>
      <c r="BB473" s="66"/>
      <c r="BC473" s="66">
        <v>503457674</v>
      </c>
      <c r="BD473" s="66"/>
      <c r="BE473" s="66">
        <f t="shared" si="417"/>
        <v>6586</v>
      </c>
      <c r="BF473" s="66"/>
      <c r="BG473" s="144">
        <f t="shared" si="418"/>
        <v>1.4593978931133969E-2</v>
      </c>
      <c r="BH473" s="66"/>
      <c r="BI473" s="170"/>
      <c r="BJ473" s="66"/>
      <c r="BK473" s="66">
        <f t="shared" si="419"/>
        <v>4768463</v>
      </c>
      <c r="BL473" s="66"/>
      <c r="BM473" s="144">
        <f t="shared" si="420"/>
        <v>1.6357262287659567E-2</v>
      </c>
      <c r="BN473" s="65">
        <f t="shared" si="421"/>
        <v>1085038.0905172413</v>
      </c>
      <c r="BO473" s="66"/>
      <c r="BP473" s="66">
        <f t="shared" si="422"/>
        <v>33067611</v>
      </c>
      <c r="BQ473" s="66"/>
      <c r="BR473" s="435">
        <f t="shared" si="423"/>
        <v>6.56810149248018E-2</v>
      </c>
      <c r="BS473" s="66"/>
      <c r="BT473" s="75"/>
      <c r="BU473" s="170"/>
      <c r="BV473" s="1"/>
      <c r="BW473" s="61">
        <f t="shared" si="399"/>
        <v>464</v>
      </c>
    </row>
    <row r="474" spans="2:75" x14ac:dyDescent="0.3">
      <c r="B474" s="347">
        <f t="shared" si="398"/>
        <v>44374</v>
      </c>
      <c r="C474" s="61"/>
      <c r="D474" s="17">
        <v>7306</v>
      </c>
      <c r="E474" s="16"/>
      <c r="F474" s="16"/>
      <c r="G474" s="16"/>
      <c r="H474" s="16">
        <f t="shared" si="400"/>
        <v>33981895</v>
      </c>
      <c r="I474" s="16"/>
      <c r="J474" s="436">
        <f t="shared" si="401"/>
        <v>2.1504307233856458E-4</v>
      </c>
      <c r="K474" s="16"/>
      <c r="L474" s="16"/>
      <c r="M474" s="16"/>
      <c r="N474" s="16">
        <f t="shared" si="402"/>
        <v>80883</v>
      </c>
      <c r="O474" s="16">
        <f t="shared" si="403"/>
        <v>73079.344086021505</v>
      </c>
      <c r="P474" s="41"/>
      <c r="Q474" s="17">
        <f t="shared" si="404"/>
        <v>80883</v>
      </c>
      <c r="R474" s="16"/>
      <c r="S474" s="60">
        <f t="shared" si="405"/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si="406"/>
        <v>1782</v>
      </c>
      <c r="AA474" s="33">
        <f t="shared" si="407"/>
        <v>604688</v>
      </c>
      <c r="AB474" s="33"/>
      <c r="AC474" s="46">
        <f t="shared" si="408"/>
        <v>1.779441670336513E-2</v>
      </c>
      <c r="AD474" s="33"/>
      <c r="AE474" s="33">
        <f t="shared" si="409"/>
        <v>1300.4043010752689</v>
      </c>
      <c r="AF474" s="50"/>
      <c r="AG474" s="33">
        <f t="shared" si="410"/>
        <v>2019</v>
      </c>
      <c r="AH474" s="33">
        <f>SUM(D445:D945)</f>
        <v>1125083893.060914</v>
      </c>
      <c r="AI474" s="213">
        <f t="shared" si="411"/>
        <v>-2.1328162869607366E-2</v>
      </c>
      <c r="AJ474" s="50"/>
      <c r="AK474" s="111"/>
      <c r="AL474" s="23">
        <f t="shared" si="412"/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si="413"/>
        <v>5.6037258932049242E-4</v>
      </c>
      <c r="AS474" s="25"/>
      <c r="AT474" s="25"/>
      <c r="AU474" s="24"/>
      <c r="AV474" s="298">
        <f t="shared" si="414"/>
        <v>0.85130943992381825</v>
      </c>
      <c r="AW474" s="298"/>
      <c r="AX474" s="24">
        <f t="shared" si="415"/>
        <v>62213.135483870967</v>
      </c>
      <c r="AY474" s="308"/>
      <c r="AZ474" s="111"/>
      <c r="BA474" s="65">
        <f t="shared" si="416"/>
        <v>366543</v>
      </c>
      <c r="BB474" s="66"/>
      <c r="BC474" s="66">
        <v>503824217</v>
      </c>
      <c r="BD474" s="66"/>
      <c r="BE474" s="66">
        <f t="shared" si="417"/>
        <v>7306</v>
      </c>
      <c r="BF474" s="66"/>
      <c r="BG474" s="144">
        <f t="shared" si="418"/>
        <v>1.9932177125194041E-2</v>
      </c>
      <c r="BH474" s="66"/>
      <c r="BI474" s="170"/>
      <c r="BJ474" s="66"/>
      <c r="BK474" s="66">
        <f t="shared" si="419"/>
        <v>4762492</v>
      </c>
      <c r="BL474" s="66"/>
      <c r="BM474" s="144">
        <f t="shared" si="420"/>
        <v>1.6983335615051953E-2</v>
      </c>
      <c r="BN474" s="65">
        <f t="shared" si="421"/>
        <v>1083492.9397849462</v>
      </c>
      <c r="BO474" s="66"/>
      <c r="BP474" s="66">
        <f t="shared" si="422"/>
        <v>33074917</v>
      </c>
      <c r="BQ474" s="66"/>
      <c r="BR474" s="435">
        <f t="shared" si="423"/>
        <v>6.5647731657170416E-2</v>
      </c>
      <c r="BS474" s="66"/>
      <c r="BT474" s="75"/>
      <c r="BU474" s="170"/>
      <c r="BV474" s="1"/>
      <c r="BW474" s="61">
        <f t="shared" si="399"/>
        <v>465</v>
      </c>
    </row>
    <row r="475" spans="2:75" x14ac:dyDescent="0.3">
      <c r="B475" s="158">
        <f t="shared" si="398"/>
        <v>44375</v>
      </c>
      <c r="C475" s="61"/>
      <c r="D475" s="17">
        <v>11982</v>
      </c>
      <c r="E475" s="16"/>
      <c r="F475" s="16"/>
      <c r="G475" s="16"/>
      <c r="H475" s="16">
        <f t="shared" si="400"/>
        <v>33993877</v>
      </c>
      <c r="I475" s="16"/>
      <c r="J475" s="436">
        <f t="shared" si="401"/>
        <v>3.52599523952387E-4</v>
      </c>
      <c r="K475" s="16"/>
      <c r="L475" s="16"/>
      <c r="M475" s="16"/>
      <c r="N475" s="16">
        <f t="shared" si="402"/>
        <v>83110</v>
      </c>
      <c r="O475" s="16">
        <f t="shared" si="403"/>
        <v>72948.2339055794</v>
      </c>
      <c r="P475" s="41"/>
      <c r="Q475" s="17">
        <f t="shared" si="404"/>
        <v>83110</v>
      </c>
      <c r="R475" s="16"/>
      <c r="S475" s="60">
        <f t="shared" si="405"/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si="406"/>
        <v>1515</v>
      </c>
      <c r="AA475" s="33">
        <f t="shared" si="407"/>
        <v>604852</v>
      </c>
      <c r="AB475" s="33"/>
      <c r="AC475" s="46">
        <f t="shared" si="408"/>
        <v>1.7792969010272056E-2</v>
      </c>
      <c r="AD475" s="33"/>
      <c r="AE475" s="33">
        <f t="shared" si="409"/>
        <v>1297.9656652360516</v>
      </c>
      <c r="AF475" s="50"/>
      <c r="AG475" s="33">
        <f t="shared" si="410"/>
        <v>1946</v>
      </c>
      <c r="AH475" s="33">
        <f>SUM(D446:D946)</f>
        <v>1125071232.060914</v>
      </c>
      <c r="AI475" s="213">
        <f t="shared" si="411"/>
        <v>-4.98046875E-2</v>
      </c>
      <c r="AJ475" s="50"/>
      <c r="AK475" s="111"/>
      <c r="AL475" s="23">
        <f t="shared" si="412"/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si="413"/>
        <v>1.7197903232965221E-3</v>
      </c>
      <c r="AS475" s="25"/>
      <c r="AT475" s="25"/>
      <c r="AU475" s="24"/>
      <c r="AV475" s="298">
        <f t="shared" si="414"/>
        <v>0.85247293211068564</v>
      </c>
      <c r="AW475" s="298"/>
      <c r="AX475" s="24">
        <f t="shared" si="415"/>
        <v>62186.394849785407</v>
      </c>
      <c r="AY475" s="308"/>
      <c r="AZ475" s="111"/>
      <c r="BA475" s="65">
        <f t="shared" si="416"/>
        <v>1053856</v>
      </c>
      <c r="BB475" s="66"/>
      <c r="BC475" s="66">
        <v>504878073</v>
      </c>
      <c r="BD475" s="66"/>
      <c r="BE475" s="66">
        <f t="shared" si="417"/>
        <v>11982</v>
      </c>
      <c r="BF475" s="66"/>
      <c r="BG475" s="144">
        <f t="shared" si="418"/>
        <v>1.1369674794279295E-2</v>
      </c>
      <c r="BH475" s="66"/>
      <c r="BI475" s="170"/>
      <c r="BJ475" s="66"/>
      <c r="BK475" s="66">
        <f t="shared" si="419"/>
        <v>4569067</v>
      </c>
      <c r="BL475" s="66"/>
      <c r="BM475" s="144">
        <f t="shared" si="420"/>
        <v>1.8189709190081914E-2</v>
      </c>
      <c r="BN475" s="65">
        <f t="shared" si="421"/>
        <v>1083429.3412017168</v>
      </c>
      <c r="BO475" s="66"/>
      <c r="BP475" s="66">
        <f t="shared" si="422"/>
        <v>33086899</v>
      </c>
      <c r="BQ475" s="66"/>
      <c r="BR475" s="435">
        <f t="shared" si="423"/>
        <v>6.5534434489096932E-2</v>
      </c>
      <c r="BS475" s="66"/>
      <c r="BT475" s="75"/>
      <c r="BU475" s="170"/>
      <c r="BV475" s="1"/>
      <c r="BW475" s="61">
        <f t="shared" si="399"/>
        <v>466</v>
      </c>
    </row>
    <row r="476" spans="2:75" x14ac:dyDescent="0.3">
      <c r="B476" s="158">
        <f t="shared" si="398"/>
        <v>44376</v>
      </c>
      <c r="C476" s="61"/>
      <c r="D476" s="17">
        <v>11427</v>
      </c>
      <c r="E476" s="16"/>
      <c r="F476" s="16"/>
      <c r="G476" s="16"/>
      <c r="H476" s="16">
        <f t="shared" si="400"/>
        <v>34005304</v>
      </c>
      <c r="I476" s="16"/>
      <c r="J476" s="436">
        <f t="shared" si="401"/>
        <v>3.3614877173321534E-4</v>
      </c>
      <c r="K476" s="16"/>
      <c r="L476" s="16"/>
      <c r="M476" s="16"/>
      <c r="N476" s="16">
        <f t="shared" si="402"/>
        <v>81663</v>
      </c>
      <c r="O476" s="16">
        <f t="shared" si="403"/>
        <v>72816.496788008561</v>
      </c>
      <c r="P476" s="41"/>
      <c r="Q476" s="17">
        <f t="shared" si="404"/>
        <v>81663</v>
      </c>
      <c r="R476" s="16"/>
      <c r="S476" s="60">
        <f t="shared" si="405"/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si="406"/>
        <v>1480</v>
      </c>
      <c r="AA476" s="33">
        <f t="shared" si="407"/>
        <v>605146</v>
      </c>
      <c r="AB476" s="33"/>
      <c r="AC476" s="46">
        <f t="shared" si="408"/>
        <v>1.7795635645545177E-2</v>
      </c>
      <c r="AD476" s="33"/>
      <c r="AE476" s="33">
        <f t="shared" si="409"/>
        <v>1295.8158458244111</v>
      </c>
      <c r="AF476" s="50"/>
      <c r="AG476" s="33">
        <f t="shared" si="410"/>
        <v>1809</v>
      </c>
      <c r="AH476" s="33">
        <f>SUM(D447:D947)</f>
        <v>1125063482.060914</v>
      </c>
      <c r="AI476" s="213">
        <f t="shared" si="411"/>
        <v>-0.14910630291627469</v>
      </c>
      <c r="AJ476" s="50"/>
      <c r="AK476" s="111"/>
      <c r="AL476" s="23">
        <f t="shared" si="412"/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si="413"/>
        <v>9.8392414332378834E-4</v>
      </c>
      <c r="AS476" s="25"/>
      <c r="AT476" s="25"/>
      <c r="AU476" s="24"/>
      <c r="AV476" s="298">
        <f t="shared" si="414"/>
        <v>0.8530249575183918</v>
      </c>
      <c r="AW476" s="298"/>
      <c r="AX476" s="24">
        <f t="shared" si="415"/>
        <v>62114.289079229122</v>
      </c>
      <c r="AY476" s="308"/>
      <c r="AZ476" s="111"/>
      <c r="BA476" s="65">
        <f t="shared" si="416"/>
        <v>514526</v>
      </c>
      <c r="BB476" s="66"/>
      <c r="BC476" s="66">
        <v>505392599</v>
      </c>
      <c r="BD476" s="66"/>
      <c r="BE476" s="66">
        <f t="shared" si="417"/>
        <v>11427</v>
      </c>
      <c r="BF476" s="66"/>
      <c r="BG476" s="144">
        <f t="shared" si="418"/>
        <v>2.2208790226344248E-2</v>
      </c>
      <c r="BH476" s="66"/>
      <c r="BI476" s="170"/>
      <c r="BJ476" s="66"/>
      <c r="BK476" s="66">
        <f t="shared" si="419"/>
        <v>4601747</v>
      </c>
      <c r="BL476" s="66"/>
      <c r="BM476" s="144">
        <f t="shared" si="420"/>
        <v>1.7746086431957256E-2</v>
      </c>
      <c r="BN476" s="65">
        <f t="shared" si="421"/>
        <v>1082211.1327623127</v>
      </c>
      <c r="BO476" s="66"/>
      <c r="BP476" s="66">
        <f t="shared" si="422"/>
        <v>33098326</v>
      </c>
      <c r="BQ476" s="66"/>
      <c r="BR476" s="435">
        <f t="shared" si="423"/>
        <v>6.5490325868424515E-2</v>
      </c>
      <c r="BS476" s="66"/>
      <c r="BT476" s="75"/>
      <c r="BU476" s="170"/>
      <c r="BV476" s="1"/>
      <c r="BW476" s="61">
        <f t="shared" si="399"/>
        <v>467</v>
      </c>
    </row>
    <row r="477" spans="2:75" x14ac:dyDescent="0.3">
      <c r="B477" s="158">
        <f t="shared" si="398"/>
        <v>44377</v>
      </c>
      <c r="C477" s="61"/>
      <c r="D477" s="17">
        <v>14197</v>
      </c>
      <c r="E477" s="16"/>
      <c r="F477" s="16"/>
      <c r="G477" s="16"/>
      <c r="H477" s="16">
        <f t="shared" si="400"/>
        <v>34019501</v>
      </c>
      <c r="I477" s="16"/>
      <c r="J477" s="436">
        <f t="shared" si="401"/>
        <v>4.1749369451306772E-4</v>
      </c>
      <c r="K477" s="16"/>
      <c r="L477" s="16"/>
      <c r="M477" s="16"/>
      <c r="N477" s="16">
        <f t="shared" si="402"/>
        <v>82495</v>
      </c>
      <c r="O477" s="16">
        <f t="shared" si="403"/>
        <v>72691.241452991453</v>
      </c>
      <c r="P477" s="41"/>
      <c r="Q477" s="17">
        <f t="shared" si="404"/>
        <v>82495</v>
      </c>
      <c r="R477" s="16"/>
      <c r="S477" s="60">
        <f t="shared" si="405"/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si="406"/>
        <v>1349</v>
      </c>
      <c r="AA477" s="33">
        <f t="shared" si="407"/>
        <v>605395</v>
      </c>
      <c r="AB477" s="33"/>
      <c r="AC477" s="46">
        <f t="shared" si="408"/>
        <v>1.7795528511720379E-2</v>
      </c>
      <c r="AD477" s="33"/>
      <c r="AE477" s="33">
        <f t="shared" si="409"/>
        <v>1293.5790598290598</v>
      </c>
      <c r="AF477" s="50"/>
      <c r="AG477" s="33">
        <f t="shared" si="410"/>
        <v>1729</v>
      </c>
      <c r="AH477" s="33">
        <f>SUM(D448:D948)</f>
        <v>1125058247.060914</v>
      </c>
      <c r="AI477" s="213">
        <f t="shared" si="411"/>
        <v>-0.14448292924294903</v>
      </c>
      <c r="AJ477" s="50"/>
      <c r="AK477" s="111"/>
      <c r="AL477" s="23">
        <f t="shared" si="412"/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si="413"/>
        <v>6.6586519227370224E-4</v>
      </c>
      <c r="AS477" s="25"/>
      <c r="AT477" s="25"/>
      <c r="AU477" s="24"/>
      <c r="AV477" s="298">
        <f t="shared" si="414"/>
        <v>0.85323673618845852</v>
      </c>
      <c r="AW477" s="298"/>
      <c r="AX477" s="24">
        <f t="shared" si="415"/>
        <v>62022.837606837609</v>
      </c>
      <c r="AY477" s="308"/>
      <c r="AZ477" s="111"/>
      <c r="BA477" s="65">
        <f t="shared" si="416"/>
        <v>766529</v>
      </c>
      <c r="BB477" s="66"/>
      <c r="BC477" s="66">
        <v>506159128</v>
      </c>
      <c r="BD477" s="66"/>
      <c r="BE477" s="66">
        <f t="shared" si="417"/>
        <v>14197</v>
      </c>
      <c r="BF477" s="66"/>
      <c r="BG477" s="144">
        <f t="shared" si="418"/>
        <v>1.8521151841613299E-2</v>
      </c>
      <c r="BH477" s="66"/>
      <c r="BI477" s="170"/>
      <c r="BJ477" s="66"/>
      <c r="BK477" s="66">
        <f t="shared" si="419"/>
        <v>4479005</v>
      </c>
      <c r="BL477" s="66"/>
      <c r="BM477" s="144">
        <f t="shared" si="420"/>
        <v>1.8418153138922595E-2</v>
      </c>
      <c r="BN477" s="65">
        <f t="shared" si="421"/>
        <v>1081536.5982905983</v>
      </c>
      <c r="BO477" s="66"/>
      <c r="BP477" s="66">
        <f t="shared" si="422"/>
        <v>33112523</v>
      </c>
      <c r="BQ477" s="66"/>
      <c r="BR477" s="435">
        <f t="shared" si="423"/>
        <v>6.5419195601269492E-2</v>
      </c>
      <c r="BS477" s="66"/>
      <c r="BT477" s="75"/>
      <c r="BU477" s="170"/>
      <c r="BV477" s="1"/>
      <c r="BW477" s="61">
        <f t="shared" si="399"/>
        <v>468</v>
      </c>
    </row>
    <row r="478" spans="2:75" x14ac:dyDescent="0.3">
      <c r="B478" s="158">
        <f t="shared" si="398"/>
        <v>44378</v>
      </c>
      <c r="C478" s="61"/>
      <c r="D478" s="17">
        <v>16949</v>
      </c>
      <c r="E478" s="16"/>
      <c r="F478" s="16"/>
      <c r="G478" s="16"/>
      <c r="H478" s="16">
        <f t="shared" si="400"/>
        <v>34036450</v>
      </c>
      <c r="I478" s="16"/>
      <c r="J478" s="436">
        <f t="shared" si="401"/>
        <v>4.9821424482387328E-4</v>
      </c>
      <c r="K478" s="16"/>
      <c r="L478" s="16"/>
      <c r="M478" s="16"/>
      <c r="N478" s="16">
        <f t="shared" si="402"/>
        <v>83984</v>
      </c>
      <c r="O478" s="16">
        <f t="shared" si="403"/>
        <v>72572.388059701494</v>
      </c>
      <c r="P478" s="41"/>
      <c r="Q478" s="17">
        <f t="shared" si="404"/>
        <v>83984</v>
      </c>
      <c r="R478" s="16"/>
      <c r="S478" s="60">
        <f t="shared" si="405"/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si="406"/>
        <v>1277</v>
      </c>
      <c r="AA478" s="33">
        <f t="shared" si="407"/>
        <v>605710</v>
      </c>
      <c r="AB478" s="33"/>
      <c r="AC478" s="46">
        <f t="shared" si="408"/>
        <v>1.7795921725091778E-2</v>
      </c>
      <c r="AD478" s="33"/>
      <c r="AE478" s="33">
        <f t="shared" si="409"/>
        <v>1291.4925373134329</v>
      </c>
      <c r="AF478" s="50"/>
      <c r="AG478" s="33">
        <f t="shared" si="410"/>
        <v>1664</v>
      </c>
      <c r="AH478" s="33">
        <f>SUM(D449:D949)</f>
        <v>1125045271.060914</v>
      </c>
      <c r="AI478" s="213">
        <f t="shared" si="411"/>
        <v>-0.17867719644619942</v>
      </c>
      <c r="AJ478" s="50"/>
      <c r="AK478" s="111"/>
      <c r="AL478" s="23">
        <f t="shared" si="412"/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si="413"/>
        <v>8.7502232428308729E-4</v>
      </c>
      <c r="AS478" s="25"/>
      <c r="AT478" s="25"/>
      <c r="AU478" s="24"/>
      <c r="AV478" s="298">
        <f t="shared" si="414"/>
        <v>0.85355808258499344</v>
      </c>
      <c r="AW478" s="298"/>
      <c r="AX478" s="24">
        <f t="shared" si="415"/>
        <v>61944.748400852877</v>
      </c>
      <c r="AY478" s="308"/>
      <c r="AZ478" s="111"/>
      <c r="BA478" s="65">
        <f t="shared" si="416"/>
        <v>445484</v>
      </c>
      <c r="BB478" s="66"/>
      <c r="BC478" s="66">
        <v>506604612</v>
      </c>
      <c r="BD478" s="66"/>
      <c r="BE478" s="66">
        <f t="shared" si="417"/>
        <v>16949</v>
      </c>
      <c r="BF478" s="66"/>
      <c r="BG478" s="144">
        <f t="shared" si="418"/>
        <v>3.8046259798331705E-2</v>
      </c>
      <c r="BH478" s="66"/>
      <c r="BI478" s="170"/>
      <c r="BJ478" s="66"/>
      <c r="BK478" s="66">
        <f t="shared" si="419"/>
        <v>4424489</v>
      </c>
      <c r="BL478" s="66"/>
      <c r="BM478" s="144">
        <f t="shared" si="420"/>
        <v>1.8981627030827741E-2</v>
      </c>
      <c r="BN478" s="65">
        <f t="shared" si="421"/>
        <v>1080180.4093816632</v>
      </c>
      <c r="BO478" s="66"/>
      <c r="BP478" s="66">
        <f t="shared" si="422"/>
        <v>33129472</v>
      </c>
      <c r="BQ478" s="66"/>
      <c r="BR478" s="435">
        <f t="shared" si="423"/>
        <v>6.5395125143471844E-2</v>
      </c>
      <c r="BS478" s="66"/>
      <c r="BT478" s="75"/>
      <c r="BU478" s="170"/>
      <c r="BV478" s="1"/>
      <c r="BW478" s="61">
        <f t="shared" si="399"/>
        <v>469</v>
      </c>
    </row>
    <row r="479" spans="2:75" x14ac:dyDescent="0.3">
      <c r="B479" s="158">
        <f t="shared" si="398"/>
        <v>44379</v>
      </c>
      <c r="C479" s="61"/>
      <c r="D479" s="17">
        <v>18399</v>
      </c>
      <c r="E479" s="16"/>
      <c r="F479" s="16"/>
      <c r="G479" s="16"/>
      <c r="H479" s="16">
        <f t="shared" si="400"/>
        <v>34054849</v>
      </c>
      <c r="I479" s="16"/>
      <c r="J479" s="436">
        <f t="shared" si="401"/>
        <v>5.4056753862403398E-4</v>
      </c>
      <c r="K479" s="16"/>
      <c r="L479" s="16"/>
      <c r="M479" s="16"/>
      <c r="N479" s="16">
        <f t="shared" si="402"/>
        <v>86846</v>
      </c>
      <c r="O479" s="16">
        <f t="shared" si="403"/>
        <v>72457.125531914891</v>
      </c>
      <c r="P479" s="41"/>
      <c r="Q479" s="17">
        <f t="shared" si="404"/>
        <v>86846</v>
      </c>
      <c r="R479" s="16"/>
      <c r="S479" s="60">
        <f t="shared" si="405"/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si="406"/>
        <v>1450</v>
      </c>
      <c r="AA479" s="33">
        <f t="shared" si="407"/>
        <v>606032</v>
      </c>
      <c r="AB479" s="33"/>
      <c r="AC479" s="46">
        <f t="shared" si="408"/>
        <v>1.7795762359715646E-2</v>
      </c>
      <c r="AD479" s="33"/>
      <c r="AE479" s="33">
        <f t="shared" si="409"/>
        <v>1289.4297872340426</v>
      </c>
      <c r="AF479" s="50"/>
      <c r="AG479" s="33">
        <f t="shared" si="410"/>
        <v>1599</v>
      </c>
      <c r="AH479" s="33">
        <f>SUM(D450:D950)</f>
        <v>1125028297.060914</v>
      </c>
      <c r="AI479" s="213">
        <f t="shared" si="411"/>
        <v>-0.20841584158415841</v>
      </c>
      <c r="AJ479" s="50"/>
      <c r="AK479" s="111"/>
      <c r="AL479" s="23">
        <f t="shared" si="412"/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si="413"/>
        <v>7.1574892364875545E-4</v>
      </c>
      <c r="AS479" s="25"/>
      <c r="AT479" s="25"/>
      <c r="AU479" s="24"/>
      <c r="AV479" s="298">
        <f t="shared" si="414"/>
        <v>0.85370752928606441</v>
      </c>
      <c r="AW479" s="298"/>
      <c r="AX479" s="24">
        <f t="shared" si="415"/>
        <v>61857.193617021279</v>
      </c>
      <c r="AY479" s="308"/>
      <c r="AZ479" s="111"/>
      <c r="BA479" s="65">
        <f t="shared" si="416"/>
        <v>741973</v>
      </c>
      <c r="BB479" s="66"/>
      <c r="BC479" s="66">
        <v>507346585</v>
      </c>
      <c r="BD479" s="66"/>
      <c r="BE479" s="66">
        <f t="shared" si="417"/>
        <v>18399</v>
      </c>
      <c r="BF479" s="66"/>
      <c r="BG479" s="144">
        <f t="shared" si="418"/>
        <v>2.4797398288077869E-2</v>
      </c>
      <c r="BH479" s="66"/>
      <c r="BI479" s="170"/>
      <c r="BJ479" s="66"/>
      <c r="BK479" s="66">
        <f t="shared" si="419"/>
        <v>4340193</v>
      </c>
      <c r="BL479" s="66"/>
      <c r="BM479" s="144">
        <f t="shared" si="420"/>
        <v>2.0009709245648752E-2</v>
      </c>
      <c r="BN479" s="65">
        <f t="shared" si="421"/>
        <v>1079460.8191489361</v>
      </c>
      <c r="BO479" s="66"/>
      <c r="BP479" s="66">
        <f t="shared" si="422"/>
        <v>33147871</v>
      </c>
      <c r="BQ479" s="66"/>
      <c r="BR479" s="435">
        <f t="shared" si="423"/>
        <v>6.5335752678812253E-2</v>
      </c>
      <c r="BS479" s="66"/>
      <c r="BT479" s="75"/>
      <c r="BU479" s="170"/>
      <c r="BV479" s="1"/>
      <c r="BW479" s="61">
        <f t="shared" si="399"/>
        <v>470</v>
      </c>
    </row>
    <row r="480" spans="2:75" x14ac:dyDescent="0.3">
      <c r="B480" s="158">
        <f t="shared" si="398"/>
        <v>44380</v>
      </c>
      <c r="C480" s="61"/>
      <c r="D480" s="17">
        <v>7978</v>
      </c>
      <c r="E480" s="16"/>
      <c r="F480" s="16"/>
      <c r="G480" s="16"/>
      <c r="H480" s="16">
        <f t="shared" si="400"/>
        <v>34062827</v>
      </c>
      <c r="I480" s="16"/>
      <c r="J480" s="436">
        <f t="shared" si="401"/>
        <v>2.3426913447773619E-4</v>
      </c>
      <c r="K480" s="16"/>
      <c r="L480" s="16"/>
      <c r="M480" s="16"/>
      <c r="N480" s="16">
        <f t="shared" si="402"/>
        <v>88238</v>
      </c>
      <c r="O480" s="16">
        <f t="shared" si="403"/>
        <v>72320.227176220811</v>
      </c>
      <c r="P480" s="41"/>
      <c r="Q480" s="17">
        <f t="shared" si="404"/>
        <v>88238</v>
      </c>
      <c r="R480" s="16"/>
      <c r="S480" s="60">
        <f t="shared" si="405"/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si="406"/>
        <v>1440</v>
      </c>
      <c r="AA480" s="33">
        <f t="shared" si="407"/>
        <v>606128</v>
      </c>
      <c r="AB480" s="33"/>
      <c r="AC480" s="46">
        <f t="shared" si="408"/>
        <v>1.7794412659876996E-2</v>
      </c>
      <c r="AD480" s="33"/>
      <c r="AE480" s="33">
        <f t="shared" si="409"/>
        <v>1286.8959660297239</v>
      </c>
      <c r="AF480" s="50"/>
      <c r="AG480" s="33">
        <f t="shared" si="410"/>
        <v>1546</v>
      </c>
      <c r="AH480" s="33">
        <f>SUM(D451:D951)</f>
        <v>1125010476.060914</v>
      </c>
      <c r="AI480" s="213">
        <f t="shared" si="411"/>
        <v>-0.22661330665332666</v>
      </c>
      <c r="AJ480" s="50"/>
      <c r="AK480" s="111"/>
      <c r="AL480" s="23">
        <f t="shared" si="412"/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si="413"/>
        <v>5.0012243368656862E-4</v>
      </c>
      <c r="AS480" s="25"/>
      <c r="AT480" s="25"/>
      <c r="AU480" s="24"/>
      <c r="AV480" s="298">
        <f t="shared" si="414"/>
        <v>0.85393443709178929</v>
      </c>
      <c r="AW480" s="298"/>
      <c r="AX480" s="24">
        <f t="shared" si="415"/>
        <v>61756.732484076434</v>
      </c>
      <c r="AY480" s="308"/>
      <c r="AZ480" s="111"/>
      <c r="BA480" s="65">
        <f t="shared" si="416"/>
        <v>255291</v>
      </c>
      <c r="BB480" s="66"/>
      <c r="BC480" s="66">
        <v>507601876</v>
      </c>
      <c r="BD480" s="66"/>
      <c r="BE480" s="66">
        <f t="shared" si="417"/>
        <v>7978</v>
      </c>
      <c r="BF480" s="66"/>
      <c r="BG480" s="144">
        <f t="shared" si="418"/>
        <v>3.125061204664481E-2</v>
      </c>
      <c r="BH480" s="66"/>
      <c r="BI480" s="170"/>
      <c r="BJ480" s="66"/>
      <c r="BK480" s="66">
        <f t="shared" si="419"/>
        <v>4144202</v>
      </c>
      <c r="BL480" s="66"/>
      <c r="BM480" s="144">
        <f t="shared" si="420"/>
        <v>2.1291915789819125E-2</v>
      </c>
      <c r="BN480" s="65">
        <f t="shared" si="421"/>
        <v>1077710.9893842887</v>
      </c>
      <c r="BO480" s="66"/>
      <c r="BP480" s="66">
        <f t="shared" si="422"/>
        <v>33155849</v>
      </c>
      <c r="BQ480" s="66"/>
      <c r="BR480" s="435">
        <f t="shared" si="423"/>
        <v>6.5318610051787906E-2</v>
      </c>
      <c r="BS480" s="66"/>
      <c r="BT480" s="75"/>
      <c r="BU480" s="170"/>
      <c r="BV480" s="1"/>
      <c r="BW480" s="61">
        <f t="shared" si="399"/>
        <v>471</v>
      </c>
    </row>
    <row r="481" spans="2:75" x14ac:dyDescent="0.3">
      <c r="B481" s="347">
        <f t="shared" si="398"/>
        <v>44381</v>
      </c>
      <c r="C481" s="61"/>
      <c r="D481" s="17">
        <v>5749</v>
      </c>
      <c r="E481" s="16"/>
      <c r="F481" s="16"/>
      <c r="G481" s="16"/>
      <c r="H481" s="16">
        <f t="shared" si="400"/>
        <v>34068576</v>
      </c>
      <c r="I481" s="16"/>
      <c r="J481" s="436">
        <f t="shared" si="401"/>
        <v>1.6877636139830672E-4</v>
      </c>
      <c r="K481" s="16"/>
      <c r="L481" s="16"/>
      <c r="M481" s="16"/>
      <c r="N481" s="16">
        <f t="shared" si="402"/>
        <v>86681</v>
      </c>
      <c r="O481" s="16">
        <f t="shared" si="403"/>
        <v>72179.186440677964</v>
      </c>
      <c r="P481" s="41"/>
      <c r="Q481" s="17">
        <f t="shared" si="404"/>
        <v>86681</v>
      </c>
      <c r="R481" s="16"/>
      <c r="S481" s="60">
        <f t="shared" si="405"/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si="406"/>
        <v>1331</v>
      </c>
      <c r="AA481" s="33">
        <f t="shared" si="407"/>
        <v>606183</v>
      </c>
      <c r="AB481" s="33"/>
      <c r="AC481" s="46">
        <f t="shared" si="408"/>
        <v>1.7793024281378828E-2</v>
      </c>
      <c r="AD481" s="33"/>
      <c r="AE481" s="33">
        <f t="shared" si="409"/>
        <v>1284.2860169491526</v>
      </c>
      <c r="AF481" s="50"/>
      <c r="AG481" s="33">
        <f t="shared" si="410"/>
        <v>1495</v>
      </c>
      <c r="AH481" s="33">
        <f>SUM(D452:D952)</f>
        <v>1124993551.060914</v>
      </c>
      <c r="AI481" s="213">
        <f t="shared" si="411"/>
        <v>-0.25953442298167412</v>
      </c>
      <c r="AJ481" s="50"/>
      <c r="AK481" s="111"/>
      <c r="AL481" s="23">
        <f t="shared" si="412"/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si="413"/>
        <v>4.4180609893190601E-4</v>
      </c>
      <c r="AS481" s="25"/>
      <c r="AT481" s="25"/>
      <c r="AU481" s="24"/>
      <c r="AV481" s="298">
        <f t="shared" si="414"/>
        <v>0.85416754724353605</v>
      </c>
      <c r="AW481" s="298"/>
      <c r="AX481" s="24">
        <f t="shared" si="415"/>
        <v>61653.118644067799</v>
      </c>
      <c r="AY481" s="308"/>
      <c r="AZ481" s="111"/>
      <c r="BA481" s="65">
        <f t="shared" si="416"/>
        <v>483136</v>
      </c>
      <c r="BB481" s="66"/>
      <c r="BC481" s="66">
        <v>508085012</v>
      </c>
      <c r="BD481" s="66"/>
      <c r="BE481" s="66">
        <f t="shared" si="417"/>
        <v>5749</v>
      </c>
      <c r="BF481" s="66"/>
      <c r="BG481" s="144">
        <f t="shared" si="418"/>
        <v>1.1899340972314213E-2</v>
      </c>
      <c r="BH481" s="66"/>
      <c r="BI481" s="170"/>
      <c r="BJ481" s="66"/>
      <c r="BK481" s="66">
        <f t="shared" si="419"/>
        <v>4260795</v>
      </c>
      <c r="BL481" s="66"/>
      <c r="BM481" s="144">
        <f t="shared" si="420"/>
        <v>2.0343856017480306E-2</v>
      </c>
      <c r="BN481" s="65">
        <f t="shared" si="421"/>
        <v>1076451.2966101696</v>
      </c>
      <c r="BO481" s="66"/>
      <c r="BP481" s="66">
        <f t="shared" si="422"/>
        <v>33161598</v>
      </c>
      <c r="BQ481" s="66"/>
      <c r="BR481" s="435">
        <f t="shared" si="423"/>
        <v>6.5267813883083017E-2</v>
      </c>
      <c r="BS481" s="66"/>
      <c r="BT481" s="75"/>
      <c r="BU481" s="170"/>
      <c r="BV481" s="1"/>
      <c r="BW481" s="61">
        <f t="shared" si="399"/>
        <v>472</v>
      </c>
    </row>
    <row r="482" spans="2:75" x14ac:dyDescent="0.3">
      <c r="B482" s="158">
        <f t="shared" si="398"/>
        <v>44382</v>
      </c>
      <c r="C482" s="61"/>
      <c r="D482" s="17">
        <v>5132</v>
      </c>
      <c r="E482" s="16"/>
      <c r="F482" s="16"/>
      <c r="G482" s="16"/>
      <c r="H482" s="16">
        <f t="shared" si="400"/>
        <v>34073708</v>
      </c>
      <c r="I482" s="16"/>
      <c r="J482" s="436">
        <f t="shared" si="401"/>
        <v>1.5063734979706812E-4</v>
      </c>
      <c r="K482" s="16"/>
      <c r="L482" s="16"/>
      <c r="M482" s="16"/>
      <c r="N482" s="16">
        <f t="shared" si="402"/>
        <v>79831</v>
      </c>
      <c r="O482" s="16">
        <f t="shared" si="403"/>
        <v>72037.437632135305</v>
      </c>
      <c r="P482" s="41"/>
      <c r="Q482" s="17">
        <f t="shared" si="404"/>
        <v>79831</v>
      </c>
      <c r="R482" s="16"/>
      <c r="S482" s="60">
        <f t="shared" si="405"/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si="406"/>
        <v>1073</v>
      </c>
      <c r="AA482" s="33">
        <f t="shared" si="407"/>
        <v>606219</v>
      </c>
      <c r="AB482" s="33"/>
      <c r="AC482" s="46">
        <f t="shared" si="408"/>
        <v>1.7791400924137755E-2</v>
      </c>
      <c r="AD482" s="33"/>
      <c r="AE482" s="33">
        <f t="shared" si="409"/>
        <v>1281.6469344608879</v>
      </c>
      <c r="AF482" s="50"/>
      <c r="AG482" s="33">
        <f t="shared" si="410"/>
        <v>1367</v>
      </c>
      <c r="AH482" s="33">
        <f>SUM(D453:D953)</f>
        <v>1124981948.060914</v>
      </c>
      <c r="AI482" s="213">
        <f t="shared" si="411"/>
        <v>-0.29753340184994859</v>
      </c>
      <c r="AJ482" s="50"/>
      <c r="AK482" s="111"/>
      <c r="AL482" s="23">
        <f t="shared" si="412"/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si="413"/>
        <v>5.6673009791798512E-4</v>
      </c>
      <c r="AS482" s="25"/>
      <c r="AT482" s="25"/>
      <c r="AU482" s="24"/>
      <c r="AV482" s="298">
        <f t="shared" si="414"/>
        <v>0.85452290663522734</v>
      </c>
      <c r="AW482" s="298"/>
      <c r="AX482" s="24">
        <f t="shared" si="415"/>
        <v>61557.64059196617</v>
      </c>
      <c r="AY482" s="308"/>
      <c r="AZ482" s="111"/>
      <c r="BA482" s="65">
        <f t="shared" si="416"/>
        <v>380659</v>
      </c>
      <c r="BB482" s="66"/>
      <c r="BC482" s="66">
        <v>508465671</v>
      </c>
      <c r="BD482" s="66"/>
      <c r="BE482" s="66">
        <f t="shared" si="417"/>
        <v>5132</v>
      </c>
      <c r="BF482" s="66"/>
      <c r="BG482" s="144">
        <f t="shared" si="418"/>
        <v>1.3481882734941247E-2</v>
      </c>
      <c r="BH482" s="66"/>
      <c r="BI482" s="170"/>
      <c r="BJ482" s="66"/>
      <c r="BK482" s="66">
        <f t="shared" si="419"/>
        <v>3587598</v>
      </c>
      <c r="BL482" s="66"/>
      <c r="BM482" s="144">
        <f t="shared" si="420"/>
        <v>2.2251935696251363E-2</v>
      </c>
      <c r="BN482" s="65">
        <f t="shared" si="421"/>
        <v>1074980.2769556025</v>
      </c>
      <c r="BO482" s="66"/>
      <c r="BP482" s="66">
        <f t="shared" si="422"/>
        <v>33166730</v>
      </c>
      <c r="BQ482" s="66"/>
      <c r="BR482" s="435">
        <f t="shared" si="423"/>
        <v>6.5229044735254108E-2</v>
      </c>
      <c r="BS482" s="66"/>
      <c r="BT482" s="75"/>
      <c r="BU482" s="170"/>
      <c r="BV482" s="1"/>
      <c r="BW482" s="61">
        <f t="shared" si="399"/>
        <v>473</v>
      </c>
    </row>
    <row r="483" spans="2:75" x14ac:dyDescent="0.3">
      <c r="B483" s="158">
        <f t="shared" si="398"/>
        <v>44383</v>
      </c>
      <c r="C483" s="61"/>
      <c r="D483" s="17">
        <v>11612</v>
      </c>
      <c r="E483" s="16"/>
      <c r="F483" s="16"/>
      <c r="G483" s="16"/>
      <c r="H483" s="16">
        <f t="shared" si="400"/>
        <v>34085320</v>
      </c>
      <c r="I483" s="16"/>
      <c r="J483" s="436">
        <f t="shared" si="401"/>
        <v>3.4079061779833294E-4</v>
      </c>
      <c r="K483" s="16"/>
      <c r="L483" s="16"/>
      <c r="M483" s="16"/>
      <c r="N483" s="16">
        <f t="shared" si="402"/>
        <v>80016</v>
      </c>
      <c r="O483" s="16">
        <f t="shared" si="403"/>
        <v>71909.957805907179</v>
      </c>
      <c r="P483" s="41"/>
      <c r="Q483" s="17">
        <f t="shared" si="404"/>
        <v>80016</v>
      </c>
      <c r="R483" s="16"/>
      <c r="S483" s="60">
        <f t="shared" si="405"/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si="406"/>
        <v>1026</v>
      </c>
      <c r="AA483" s="33">
        <f t="shared" si="407"/>
        <v>606421</v>
      </c>
      <c r="AB483" s="33"/>
      <c r="AC483" s="46">
        <f t="shared" si="408"/>
        <v>1.7791266152114751E-2</v>
      </c>
      <c r="AD483" s="33"/>
      <c r="AE483" s="33">
        <f t="shared" si="409"/>
        <v>1279.3691983122362</v>
      </c>
      <c r="AF483" s="50"/>
      <c r="AG483" s="33">
        <f t="shared" si="410"/>
        <v>1275</v>
      </c>
      <c r="AH483" s="33">
        <f>SUM(D454:D954)</f>
        <v>1124975540.060914</v>
      </c>
      <c r="AI483" s="213">
        <f t="shared" si="411"/>
        <v>-0.29519071310116085</v>
      </c>
      <c r="AJ483" s="50"/>
      <c r="AK483" s="111"/>
      <c r="AL483" s="23">
        <f t="shared" si="412"/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si="413"/>
        <v>9.7953879764935419E-4</v>
      </c>
      <c r="AS483" s="25"/>
      <c r="AT483" s="25"/>
      <c r="AU483" s="24"/>
      <c r="AV483" s="298">
        <f t="shared" si="414"/>
        <v>0.85506854563782886</v>
      </c>
      <c r="AW483" s="298"/>
      <c r="AX483" s="24">
        <f t="shared" si="415"/>
        <v>61487.943037974685</v>
      </c>
      <c r="AY483" s="308"/>
      <c r="AZ483" s="111"/>
      <c r="BA483" s="65">
        <f t="shared" si="416"/>
        <v>750932</v>
      </c>
      <c r="BB483" s="66"/>
      <c r="BC483" s="66">
        <v>509216603</v>
      </c>
      <c r="BD483" s="66"/>
      <c r="BE483" s="66">
        <f t="shared" si="417"/>
        <v>11612</v>
      </c>
      <c r="BF483" s="66"/>
      <c r="BG483" s="144">
        <f t="shared" si="418"/>
        <v>1.5463450751865681E-2</v>
      </c>
      <c r="BH483" s="66"/>
      <c r="BI483" s="170"/>
      <c r="BJ483" s="66"/>
      <c r="BK483" s="66">
        <f t="shared" si="419"/>
        <v>3824004</v>
      </c>
      <c r="BL483" s="66"/>
      <c r="BM483" s="144">
        <f t="shared" si="420"/>
        <v>2.0924664304744451E-2</v>
      </c>
      <c r="BN483" s="65">
        <f t="shared" si="421"/>
        <v>1074296.6308016877</v>
      </c>
      <c r="BO483" s="66"/>
      <c r="BP483" s="66">
        <f t="shared" si="422"/>
        <v>33178342</v>
      </c>
      <c r="BQ483" s="66"/>
      <c r="BR483" s="435">
        <f t="shared" si="423"/>
        <v>6.5155656364173975E-2</v>
      </c>
      <c r="BS483" s="66"/>
      <c r="BT483" s="75"/>
      <c r="BU483" s="170"/>
      <c r="BV483" s="1"/>
      <c r="BW483" s="61">
        <f t="shared" si="399"/>
        <v>474</v>
      </c>
    </row>
    <row r="484" spans="2:75" x14ac:dyDescent="0.3">
      <c r="B484" s="158">
        <f t="shared" si="398"/>
        <v>44384</v>
      </c>
      <c r="C484" s="61"/>
      <c r="D484" s="17">
        <v>16812</v>
      </c>
      <c r="E484" s="16"/>
      <c r="F484" s="16"/>
      <c r="G484" s="16"/>
      <c r="H484" s="16">
        <f t="shared" si="400"/>
        <v>34102132</v>
      </c>
      <c r="I484" s="16"/>
      <c r="J484" s="436">
        <f t="shared" si="401"/>
        <v>4.9323286388392427E-4</v>
      </c>
      <c r="K484" s="16"/>
      <c r="L484" s="16"/>
      <c r="M484" s="16"/>
      <c r="N484" s="16">
        <f t="shared" si="402"/>
        <v>82631</v>
      </c>
      <c r="O484" s="16">
        <f t="shared" si="403"/>
        <v>71793.962105263156</v>
      </c>
      <c r="P484" s="41"/>
      <c r="Q484" s="17">
        <f t="shared" si="404"/>
        <v>82631</v>
      </c>
      <c r="R484" s="16"/>
      <c r="S484" s="60">
        <f t="shared" si="405"/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si="406"/>
        <v>962</v>
      </c>
      <c r="AA484" s="33">
        <f t="shared" si="407"/>
        <v>606672</v>
      </c>
      <c r="AB484" s="33"/>
      <c r="AC484" s="46">
        <f t="shared" si="408"/>
        <v>1.7789855484695208E-2</v>
      </c>
      <c r="AD484" s="33"/>
      <c r="AE484" s="33">
        <f t="shared" si="409"/>
        <v>1277.2042105263158</v>
      </c>
      <c r="AF484" s="50"/>
      <c r="AG484" s="33">
        <f t="shared" si="410"/>
        <v>1277</v>
      </c>
      <c r="AH484" s="33">
        <f>SUM(D455:D955)</f>
        <v>1124963257.060914</v>
      </c>
      <c r="AI484" s="213">
        <f t="shared" si="411"/>
        <v>-0.26142278773857719</v>
      </c>
      <c r="AJ484" s="50"/>
      <c r="AK484" s="111"/>
      <c r="AL484" s="23">
        <f t="shared" si="412"/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si="413"/>
        <v>7.9011064739974233E-4</v>
      </c>
      <c r="AS484" s="25"/>
      <c r="AT484" s="25"/>
      <c r="AU484" s="24"/>
      <c r="AV484" s="298">
        <f t="shared" si="414"/>
        <v>0.85532227134655392</v>
      </c>
      <c r="AW484" s="298"/>
      <c r="AX484" s="24">
        <f t="shared" si="415"/>
        <v>61406.974736842109</v>
      </c>
      <c r="AY484" s="308"/>
      <c r="AZ484" s="111"/>
      <c r="BA484" s="65">
        <f t="shared" si="416"/>
        <v>486270</v>
      </c>
      <c r="BB484" s="66"/>
      <c r="BC484" s="66">
        <v>509702873</v>
      </c>
      <c r="BD484" s="66"/>
      <c r="BE484" s="66">
        <f t="shared" si="417"/>
        <v>16812</v>
      </c>
      <c r="BF484" s="66"/>
      <c r="BG484" s="144">
        <f t="shared" si="418"/>
        <v>3.4573385156394597E-2</v>
      </c>
      <c r="BH484" s="66"/>
      <c r="BI484" s="170"/>
      <c r="BJ484" s="66"/>
      <c r="BK484" s="66">
        <f t="shared" si="419"/>
        <v>3543745</v>
      </c>
      <c r="BL484" s="66"/>
      <c r="BM484" s="144">
        <f t="shared" si="420"/>
        <v>2.3317422670084895E-2</v>
      </c>
      <c r="BN484" s="65">
        <f t="shared" si="421"/>
        <v>1073058.68</v>
      </c>
      <c r="BO484" s="66"/>
      <c r="BP484" s="66">
        <f t="shared" si="422"/>
        <v>33195154</v>
      </c>
      <c r="BQ484" s="66"/>
      <c r="BR484" s="435">
        <f t="shared" si="423"/>
        <v>6.5126480069889664E-2</v>
      </c>
      <c r="BS484" s="66"/>
      <c r="BT484" s="75"/>
      <c r="BU484" s="170"/>
      <c r="BV484" s="1"/>
      <c r="BW484" s="61">
        <f t="shared" si="399"/>
        <v>475</v>
      </c>
    </row>
    <row r="485" spans="2:75" x14ac:dyDescent="0.3">
      <c r="B485" s="158">
        <f t="shared" si="398"/>
        <v>44385</v>
      </c>
      <c r="C485" s="61"/>
      <c r="D485" s="17">
        <v>19347</v>
      </c>
      <c r="E485" s="16"/>
      <c r="F485" s="16"/>
      <c r="G485" s="16"/>
      <c r="H485" s="16">
        <f t="shared" si="400"/>
        <v>34121479</v>
      </c>
      <c r="I485" s="16"/>
      <c r="J485" s="436">
        <f t="shared" si="401"/>
        <v>5.6732523350739477E-4</v>
      </c>
      <c r="K485" s="16"/>
      <c r="L485" s="16"/>
      <c r="M485" s="16"/>
      <c r="N485" s="16">
        <f t="shared" si="402"/>
        <v>85029</v>
      </c>
      <c r="O485" s="16">
        <f t="shared" si="403"/>
        <v>71683.779411764699</v>
      </c>
      <c r="P485" s="41"/>
      <c r="Q485" s="17">
        <f t="shared" si="404"/>
        <v>85029</v>
      </c>
      <c r="R485" s="16"/>
      <c r="S485" s="60">
        <f t="shared" si="405"/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si="406"/>
        <v>901</v>
      </c>
      <c r="AA485" s="33">
        <f t="shared" si="407"/>
        <v>606933</v>
      </c>
      <c r="AB485" s="33"/>
      <c r="AC485" s="46">
        <f t="shared" si="408"/>
        <v>1.7787417714220419E-2</v>
      </c>
      <c r="AD485" s="33"/>
      <c r="AE485" s="33">
        <f t="shared" si="409"/>
        <v>1275.0693277310925</v>
      </c>
      <c r="AF485" s="50"/>
      <c r="AG485" s="33">
        <f t="shared" si="410"/>
        <v>1223</v>
      </c>
      <c r="AH485" s="33">
        <f>SUM(D456:D956)</f>
        <v>1124949715.060914</v>
      </c>
      <c r="AI485" s="213">
        <f t="shared" si="411"/>
        <v>-0.26502403846153844</v>
      </c>
      <c r="AJ485" s="50"/>
      <c r="AK485" s="111"/>
      <c r="AL485" s="23">
        <f t="shared" si="412"/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si="413"/>
        <v>1.1997608500704171E-3</v>
      </c>
      <c r="AS485" s="25"/>
      <c r="AT485" s="25"/>
      <c r="AU485" s="24"/>
      <c r="AV485" s="298">
        <f t="shared" si="414"/>
        <v>0.85586290090180439</v>
      </c>
      <c r="AW485" s="298"/>
      <c r="AX485" s="24">
        <f t="shared" si="415"/>
        <v>61351.487394957985</v>
      </c>
      <c r="AY485" s="308"/>
      <c r="AZ485" s="111"/>
      <c r="BA485" s="65">
        <f t="shared" si="416"/>
        <v>777468</v>
      </c>
      <c r="BB485" s="66"/>
      <c r="BC485" s="66">
        <v>510480341</v>
      </c>
      <c r="BD485" s="66"/>
      <c r="BE485" s="66">
        <f t="shared" si="417"/>
        <v>19347</v>
      </c>
      <c r="BF485" s="66"/>
      <c r="BG485" s="144">
        <f t="shared" si="418"/>
        <v>2.4884625476546945E-2</v>
      </c>
      <c r="BH485" s="66"/>
      <c r="BI485" s="170"/>
      <c r="BJ485" s="66"/>
      <c r="BK485" s="66">
        <f t="shared" si="419"/>
        <v>3875729</v>
      </c>
      <c r="BL485" s="66"/>
      <c r="BM485" s="144">
        <f t="shared" si="420"/>
        <v>2.193884040912045E-2</v>
      </c>
      <c r="BN485" s="65">
        <f t="shared" si="421"/>
        <v>1072437.6911764706</v>
      </c>
      <c r="BO485" s="66"/>
      <c r="BP485" s="66">
        <f t="shared" si="422"/>
        <v>33214501</v>
      </c>
      <c r="BQ485" s="66"/>
      <c r="BR485" s="435">
        <f t="shared" si="423"/>
        <v>6.5065191217618307E-2</v>
      </c>
      <c r="BS485" s="66"/>
      <c r="BT485" s="75"/>
      <c r="BU485" s="170"/>
      <c r="BV485" s="1"/>
      <c r="BW485" s="61">
        <f t="shared" si="399"/>
        <v>476</v>
      </c>
    </row>
    <row r="486" spans="2:75" x14ac:dyDescent="0.3">
      <c r="B486" s="158">
        <f t="shared" si="398"/>
        <v>44386</v>
      </c>
      <c r="C486" s="61"/>
      <c r="D486" s="17">
        <v>27237</v>
      </c>
      <c r="E486" s="16"/>
      <c r="F486" s="16"/>
      <c r="G486" s="16"/>
      <c r="H486" s="16">
        <f t="shared" si="400"/>
        <v>34148716</v>
      </c>
      <c r="I486" s="16"/>
      <c r="J486" s="436">
        <f t="shared" si="401"/>
        <v>7.9823620775641051E-4</v>
      </c>
      <c r="K486" s="16"/>
      <c r="L486" s="16"/>
      <c r="M486" s="16"/>
      <c r="N486" s="16">
        <f t="shared" si="402"/>
        <v>93867</v>
      </c>
      <c r="O486" s="16">
        <f t="shared" si="403"/>
        <v>71590.599580712791</v>
      </c>
      <c r="P486" s="41"/>
      <c r="Q486" s="17">
        <f t="shared" si="404"/>
        <v>93867</v>
      </c>
      <c r="R486" s="16"/>
      <c r="S486" s="60">
        <f t="shared" si="405"/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si="406"/>
        <v>1171</v>
      </c>
      <c r="AA486" s="33">
        <f t="shared" si="407"/>
        <v>607299</v>
      </c>
      <c r="AB486" s="33"/>
      <c r="AC486" s="46">
        <f t="shared" si="408"/>
        <v>1.7783948304234923E-2</v>
      </c>
      <c r="AD486" s="33"/>
      <c r="AE486" s="33">
        <f t="shared" si="409"/>
        <v>1273.1635220125786</v>
      </c>
      <c r="AF486" s="50"/>
      <c r="AG486" s="33">
        <f t="shared" si="410"/>
        <v>1267</v>
      </c>
      <c r="AH486" s="33">
        <f>SUM(D457:D957)</f>
        <v>1124935514.060914</v>
      </c>
      <c r="AI486" s="213">
        <f t="shared" si="411"/>
        <v>-0.20762976860537835</v>
      </c>
      <c r="AJ486" s="50"/>
      <c r="AK486" s="111"/>
      <c r="AL486" s="23">
        <f t="shared" si="412"/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si="413"/>
        <v>6.7334837546486172E-4</v>
      </c>
      <c r="AS486" s="25"/>
      <c r="AT486" s="25"/>
      <c r="AU486" s="24"/>
      <c r="AV486" s="298">
        <f t="shared" si="414"/>
        <v>0.8557560992922838</v>
      </c>
      <c r="AW486" s="298"/>
      <c r="AX486" s="24">
        <f t="shared" si="415"/>
        <v>61264.092243186584</v>
      </c>
      <c r="AY486" s="308"/>
      <c r="AZ486" s="111"/>
      <c r="BA486" s="65">
        <f t="shared" si="416"/>
        <v>947663</v>
      </c>
      <c r="BB486" s="66"/>
      <c r="BC486" s="66">
        <v>511428004</v>
      </c>
      <c r="BD486" s="66"/>
      <c r="BE486" s="66">
        <f t="shared" si="417"/>
        <v>27237</v>
      </c>
      <c r="BF486" s="66"/>
      <c r="BG486" s="144">
        <f t="shared" si="418"/>
        <v>2.8741229740952216E-2</v>
      </c>
      <c r="BH486" s="66"/>
      <c r="BI486" s="170"/>
      <c r="BJ486" s="66"/>
      <c r="BK486" s="66">
        <f t="shared" si="419"/>
        <v>4081419</v>
      </c>
      <c r="BL486" s="66"/>
      <c r="BM486" s="144">
        <f t="shared" si="420"/>
        <v>2.2998618862704368E-2</v>
      </c>
      <c r="BN486" s="65">
        <f t="shared" si="421"/>
        <v>1072176.109014675</v>
      </c>
      <c r="BO486" s="66"/>
      <c r="BP486" s="66">
        <f t="shared" si="422"/>
        <v>33241738</v>
      </c>
      <c r="BQ486" s="66"/>
      <c r="BR486" s="435">
        <f t="shared" si="423"/>
        <v>6.4997883846814139E-2</v>
      </c>
      <c r="BS486" s="66"/>
      <c r="BT486" s="75"/>
      <c r="BU486" s="170"/>
      <c r="BV486" s="1"/>
      <c r="BW486" s="61">
        <f t="shared" si="399"/>
        <v>477</v>
      </c>
    </row>
    <row r="487" spans="2:75" x14ac:dyDescent="0.3">
      <c r="B487" s="158">
        <f t="shared" si="398"/>
        <v>44387</v>
      </c>
      <c r="C487" s="61"/>
      <c r="D487" s="17">
        <v>14535</v>
      </c>
      <c r="E487" s="16"/>
      <c r="F487" s="16"/>
      <c r="G487" s="16"/>
      <c r="H487" s="16">
        <f t="shared" si="400"/>
        <v>34163251</v>
      </c>
      <c r="I487" s="16"/>
      <c r="J487" s="436">
        <f t="shared" si="401"/>
        <v>4.2563825825837784E-4</v>
      </c>
      <c r="K487" s="16"/>
      <c r="L487" s="16"/>
      <c r="M487" s="16"/>
      <c r="N487" s="16">
        <f t="shared" si="402"/>
        <v>100424</v>
      </c>
      <c r="O487" s="16">
        <f t="shared" si="403"/>
        <v>71471.236401673639</v>
      </c>
      <c r="P487" s="41"/>
      <c r="Q487" s="17">
        <f t="shared" si="404"/>
        <v>100424</v>
      </c>
      <c r="R487" s="16"/>
      <c r="S487" s="60">
        <f t="shared" si="405"/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si="406"/>
        <v>1234</v>
      </c>
      <c r="AA487" s="33">
        <f t="shared" si="407"/>
        <v>607417</v>
      </c>
      <c r="AB487" s="33"/>
      <c r="AC487" s="46">
        <f t="shared" si="408"/>
        <v>1.7779835999799903E-2</v>
      </c>
      <c r="AD487" s="33"/>
      <c r="AE487" s="33">
        <f t="shared" si="409"/>
        <v>1270.7468619246863</v>
      </c>
      <c r="AF487" s="50"/>
      <c r="AG487" s="33">
        <f t="shared" si="410"/>
        <v>1289</v>
      </c>
      <c r="AH487" s="33">
        <f>SUM(D458:D958)</f>
        <v>1124918750.060914</v>
      </c>
      <c r="AI487" s="213">
        <f t="shared" si="411"/>
        <v>-0.16623544631306597</v>
      </c>
      <c r="AJ487" s="50"/>
      <c r="AK487" s="111"/>
      <c r="AL487" s="23">
        <f t="shared" si="412"/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si="413"/>
        <v>4.091986263409485E-4</v>
      </c>
      <c r="AS487" s="25"/>
      <c r="AT487" s="25"/>
      <c r="AU487" s="24"/>
      <c r="AV487" s="298">
        <f t="shared" si="414"/>
        <v>0.85574203696246587</v>
      </c>
      <c r="AW487" s="298"/>
      <c r="AX487" s="24">
        <f t="shared" si="415"/>
        <v>61160.941422594144</v>
      </c>
      <c r="AY487" s="308"/>
      <c r="AZ487" s="111"/>
      <c r="BA487" s="65">
        <f t="shared" si="416"/>
        <v>242661</v>
      </c>
      <c r="BB487" s="66"/>
      <c r="BC487" s="66">
        <v>511670665</v>
      </c>
      <c r="BD487" s="66"/>
      <c r="BE487" s="66">
        <f t="shared" si="417"/>
        <v>14535</v>
      </c>
      <c r="BF487" s="66"/>
      <c r="BG487" s="144">
        <f t="shared" si="418"/>
        <v>5.9898376747808672E-2</v>
      </c>
      <c r="BH487" s="66"/>
      <c r="BI487" s="170"/>
      <c r="BJ487" s="66"/>
      <c r="BK487" s="66">
        <f t="shared" si="419"/>
        <v>4068789</v>
      </c>
      <c r="BL487" s="66"/>
      <c r="BM487" s="144">
        <f t="shared" si="420"/>
        <v>2.4681545295172594E-2</v>
      </c>
      <c r="BN487" s="65">
        <f t="shared" si="421"/>
        <v>1070440.7217573221</v>
      </c>
      <c r="BO487" s="66"/>
      <c r="BP487" s="66">
        <f t="shared" si="422"/>
        <v>33256273</v>
      </c>
      <c r="BQ487" s="66"/>
      <c r="BR487" s="435">
        <f t="shared" si="423"/>
        <v>6.4995465393741111E-2</v>
      </c>
      <c r="BS487" s="66"/>
      <c r="BT487" s="75"/>
      <c r="BU487" s="170"/>
      <c r="BV487" s="1"/>
      <c r="BW487" s="61">
        <f t="shared" si="399"/>
        <v>478</v>
      </c>
    </row>
    <row r="488" spans="2:75" x14ac:dyDescent="0.3">
      <c r="B488" s="347">
        <f t="shared" si="398"/>
        <v>44388</v>
      </c>
      <c r="C488" s="61"/>
      <c r="D488" s="17">
        <v>6642</v>
      </c>
      <c r="E488" s="16"/>
      <c r="F488" s="16"/>
      <c r="G488" s="16"/>
      <c r="H488" s="16">
        <f t="shared" si="400"/>
        <v>34169893</v>
      </c>
      <c r="I488" s="16"/>
      <c r="J488" s="436">
        <f t="shared" si="401"/>
        <v>1.9441943625330037E-4</v>
      </c>
      <c r="K488" s="16"/>
      <c r="L488" s="16"/>
      <c r="M488" s="16"/>
      <c r="N488" s="16">
        <f t="shared" si="402"/>
        <v>101317</v>
      </c>
      <c r="O488" s="16">
        <f t="shared" si="403"/>
        <v>71335.893528183718</v>
      </c>
      <c r="P488" s="41"/>
      <c r="Q488" s="17">
        <f t="shared" si="404"/>
        <v>101317</v>
      </c>
      <c r="R488" s="16"/>
      <c r="S488" s="60">
        <f t="shared" si="405"/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si="406"/>
        <v>1225</v>
      </c>
      <c r="AA488" s="33">
        <f t="shared" si="407"/>
        <v>607444</v>
      </c>
      <c r="AB488" s="33"/>
      <c r="AC488" s="46">
        <f t="shared" si="408"/>
        <v>1.777717009532339E-2</v>
      </c>
      <c r="AD488" s="33"/>
      <c r="AE488" s="33">
        <f t="shared" si="409"/>
        <v>1268.1503131524009</v>
      </c>
      <c r="AF488" s="50"/>
      <c r="AG488" s="33">
        <f t="shared" si="410"/>
        <v>1261</v>
      </c>
      <c r="AH488" s="33">
        <f>SUM(D459:D959)</f>
        <v>1124902605.060914</v>
      </c>
      <c r="AI488" s="213">
        <f t="shared" si="411"/>
        <v>-0.15652173913043479</v>
      </c>
      <c r="AJ488" s="50"/>
      <c r="AK488" s="111"/>
      <c r="AL488" s="23">
        <f t="shared" si="412"/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si="413"/>
        <v>3.1376849542653256E-4</v>
      </c>
      <c r="AS488" s="25"/>
      <c r="AT488" s="25"/>
      <c r="AU488" s="24"/>
      <c r="AV488" s="298">
        <f t="shared" si="414"/>
        <v>0.85584414911688489</v>
      </c>
      <c r="AW488" s="298"/>
      <c r="AX488" s="24">
        <f t="shared" si="415"/>
        <v>61052.407098121083</v>
      </c>
      <c r="AY488" s="308"/>
      <c r="AZ488" s="111"/>
      <c r="BA488" s="65">
        <f t="shared" si="416"/>
        <v>134862</v>
      </c>
      <c r="BB488" s="66"/>
      <c r="BC488" s="66">
        <v>511805527</v>
      </c>
      <c r="BD488" s="66"/>
      <c r="BE488" s="66">
        <f t="shared" si="417"/>
        <v>6642</v>
      </c>
      <c r="BF488" s="66"/>
      <c r="BG488" s="144">
        <f t="shared" si="418"/>
        <v>4.9250344796903503E-2</v>
      </c>
      <c r="BH488" s="66"/>
      <c r="BI488" s="170"/>
      <c r="BJ488" s="66"/>
      <c r="BK488" s="66">
        <f t="shared" si="419"/>
        <v>3720515</v>
      </c>
      <c r="BL488" s="66"/>
      <c r="BM488" s="144">
        <f t="shared" si="420"/>
        <v>2.7231982669065975E-2</v>
      </c>
      <c r="BN488" s="65">
        <f t="shared" si="421"/>
        <v>1068487.5302713988</v>
      </c>
      <c r="BO488" s="66"/>
      <c r="BP488" s="66">
        <f t="shared" si="422"/>
        <v>33262915</v>
      </c>
      <c r="BQ488" s="66"/>
      <c r="BR488" s="435">
        <f t="shared" si="423"/>
        <v>6.4991316516204795E-2</v>
      </c>
      <c r="BS488" s="66"/>
      <c r="BT488" s="75"/>
      <c r="BU488" s="170"/>
      <c r="BV488" s="1"/>
      <c r="BW488" s="61">
        <f t="shared" si="399"/>
        <v>479</v>
      </c>
    </row>
    <row r="489" spans="2:75" x14ac:dyDescent="0.3">
      <c r="B489" s="158">
        <f t="shared" si="398"/>
        <v>44389</v>
      </c>
      <c r="C489" s="61"/>
      <c r="D489" s="17">
        <v>19996</v>
      </c>
      <c r="E489" s="16"/>
      <c r="F489" s="16"/>
      <c r="G489" s="16"/>
      <c r="H489" s="16">
        <f t="shared" si="400"/>
        <v>34189889</v>
      </c>
      <c r="I489" s="16"/>
      <c r="J489" s="436">
        <f t="shared" si="401"/>
        <v>5.8519352109179853E-4</v>
      </c>
      <c r="K489" s="16"/>
      <c r="L489" s="16"/>
      <c r="M489" s="16"/>
      <c r="N489" s="16">
        <f t="shared" si="402"/>
        <v>116181</v>
      </c>
      <c r="O489" s="16">
        <f t="shared" si="403"/>
        <v>71228.93541666666</v>
      </c>
      <c r="P489" s="41"/>
      <c r="Q489" s="17">
        <f t="shared" si="404"/>
        <v>116181</v>
      </c>
      <c r="R489" s="16"/>
      <c r="S489" s="60">
        <f t="shared" si="405"/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si="406"/>
        <v>1186</v>
      </c>
      <c r="AA489" s="33">
        <f t="shared" si="407"/>
        <v>607607</v>
      </c>
      <c r="AB489" s="33"/>
      <c r="AC489" s="46">
        <f t="shared" si="408"/>
        <v>1.7771540586165695E-2</v>
      </c>
      <c r="AD489" s="33"/>
      <c r="AE489" s="33">
        <f t="shared" si="409"/>
        <v>1265.8479166666666</v>
      </c>
      <c r="AF489" s="50"/>
      <c r="AG489" s="33">
        <f t="shared" si="410"/>
        <v>1388</v>
      </c>
      <c r="AH489" s="33">
        <f>SUM(D460:D960)</f>
        <v>1124893178.060914</v>
      </c>
      <c r="AI489" s="213">
        <f t="shared" si="411"/>
        <v>1.5362106803218726E-2</v>
      </c>
      <c r="AJ489" s="50"/>
      <c r="AK489" s="111"/>
      <c r="AL489" s="23">
        <f t="shared" si="412"/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si="413"/>
        <v>1.2838143813130463E-3</v>
      </c>
      <c r="AS489" s="25"/>
      <c r="AT489" s="25"/>
      <c r="AU489" s="24"/>
      <c r="AV489" s="298">
        <f t="shared" si="414"/>
        <v>0.85644171000379676</v>
      </c>
      <c r="AW489" s="298"/>
      <c r="AX489" s="24">
        <f t="shared" si="415"/>
        <v>61003.431250000001</v>
      </c>
      <c r="AY489" s="308"/>
      <c r="AZ489" s="111"/>
      <c r="BA489" s="65">
        <f t="shared" si="416"/>
        <v>1358363</v>
      </c>
      <c r="BB489" s="66"/>
      <c r="BC489" s="66">
        <v>513163890</v>
      </c>
      <c r="BD489" s="66"/>
      <c r="BE489" s="66">
        <f t="shared" si="417"/>
        <v>19996</v>
      </c>
      <c r="BF489" s="66"/>
      <c r="BG489" s="144">
        <f t="shared" si="418"/>
        <v>1.4720660088650825E-2</v>
      </c>
      <c r="BH489" s="66"/>
      <c r="BI489" s="170"/>
      <c r="BJ489" s="66"/>
      <c r="BK489" s="66">
        <f t="shared" si="419"/>
        <v>4698219</v>
      </c>
      <c r="BL489" s="66"/>
      <c r="BM489" s="144">
        <f t="shared" si="420"/>
        <v>2.4728732313244656E-2</v>
      </c>
      <c r="BN489" s="65">
        <f t="shared" si="421"/>
        <v>1069091.4375</v>
      </c>
      <c r="BO489" s="66"/>
      <c r="BP489" s="66">
        <f t="shared" si="422"/>
        <v>33282911</v>
      </c>
      <c r="BQ489" s="66"/>
      <c r="BR489" s="435">
        <f t="shared" si="423"/>
        <v>6.4858248307377978E-2</v>
      </c>
      <c r="BS489" s="66"/>
      <c r="BT489" s="75"/>
      <c r="BU489" s="170"/>
      <c r="BV489" s="1"/>
      <c r="BW489" s="61">
        <f t="shared" si="399"/>
        <v>480</v>
      </c>
    </row>
    <row r="490" spans="2:75" x14ac:dyDescent="0.3">
      <c r="B490" s="158">
        <f t="shared" si="398"/>
        <v>44390</v>
      </c>
      <c r="C490" s="61"/>
      <c r="D490" s="17">
        <v>39754</v>
      </c>
      <c r="E490" s="16"/>
      <c r="F490" s="16"/>
      <c r="G490" s="16"/>
      <c r="H490" s="16">
        <f t="shared" si="400"/>
        <v>34229643</v>
      </c>
      <c r="I490" s="16"/>
      <c r="J490" s="436">
        <f t="shared" si="401"/>
        <v>1.1627414174991912E-3</v>
      </c>
      <c r="K490" s="16"/>
      <c r="L490" s="16"/>
      <c r="M490" s="16"/>
      <c r="N490" s="16">
        <f t="shared" si="402"/>
        <v>144323</v>
      </c>
      <c r="O490" s="16">
        <f t="shared" si="403"/>
        <v>71163.498960498953</v>
      </c>
      <c r="P490" s="41"/>
      <c r="Q490" s="17">
        <f t="shared" si="404"/>
        <v>144323</v>
      </c>
      <c r="R490" s="16"/>
      <c r="S490" s="60">
        <f t="shared" si="405"/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si="406"/>
        <v>1106</v>
      </c>
      <c r="AA490" s="33">
        <f t="shared" si="407"/>
        <v>607778</v>
      </c>
      <c r="AB490" s="33"/>
      <c r="AC490" s="46">
        <f t="shared" si="408"/>
        <v>1.7755896548497452E-2</v>
      </c>
      <c r="AD490" s="33"/>
      <c r="AE490" s="33">
        <f t="shared" si="409"/>
        <v>1263.5717255717257</v>
      </c>
      <c r="AF490" s="50"/>
      <c r="AG490" s="33">
        <f t="shared" si="410"/>
        <v>1357</v>
      </c>
      <c r="AH490" s="33">
        <f>SUM(D461:D961)</f>
        <v>1124887893.060914</v>
      </c>
      <c r="AI490" s="213">
        <f t="shared" si="411"/>
        <v>6.431372549019608E-2</v>
      </c>
      <c r="AJ490" s="50"/>
      <c r="AK490" s="111" t="s">
        <v>26</v>
      </c>
      <c r="AL490" s="23">
        <f t="shared" si="412"/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si="413"/>
        <v>6.2677485320412473E-4</v>
      </c>
      <c r="AS490" s="25"/>
      <c r="AT490" s="25"/>
      <c r="AU490" s="24"/>
      <c r="AV490" s="298">
        <f t="shared" si="414"/>
        <v>0.85598321898945895</v>
      </c>
      <c r="AW490" s="298"/>
      <c r="AX490" s="24">
        <f t="shared" si="415"/>
        <v>60914.760914760918</v>
      </c>
      <c r="AY490" s="308"/>
      <c r="AZ490" s="111" t="s">
        <v>26</v>
      </c>
      <c r="BA490" s="65">
        <f t="shared" si="416"/>
        <v>536110</v>
      </c>
      <c r="BB490" s="66"/>
      <c r="BC490" s="66">
        <v>513700000</v>
      </c>
      <c r="BD490" s="66"/>
      <c r="BE490" s="66">
        <f t="shared" si="417"/>
        <v>39754</v>
      </c>
      <c r="BF490" s="66"/>
      <c r="BG490" s="144">
        <f t="shared" si="418"/>
        <v>7.4152692544440513E-2</v>
      </c>
      <c r="BH490" s="66"/>
      <c r="BI490" s="170"/>
      <c r="BJ490" s="66"/>
      <c r="BK490" s="66">
        <f t="shared" si="419"/>
        <v>4483397</v>
      </c>
      <c r="BL490" s="66"/>
      <c r="BM490" s="144">
        <f t="shared" si="420"/>
        <v>3.2190546587777077E-2</v>
      </c>
      <c r="BN490" s="65">
        <f t="shared" si="421"/>
        <v>1067983.367983368</v>
      </c>
      <c r="BO490" s="66"/>
      <c r="BP490" s="66">
        <f t="shared" si="422"/>
        <v>33322665</v>
      </c>
      <c r="BQ490" s="66"/>
      <c r="BR490" s="435">
        <f t="shared" si="423"/>
        <v>6.4867948218804747E-2</v>
      </c>
      <c r="BS490" s="66"/>
      <c r="BT490" s="75"/>
      <c r="BU490" s="170"/>
      <c r="BV490" s="1"/>
      <c r="BW490" s="61">
        <f t="shared" si="399"/>
        <v>481</v>
      </c>
    </row>
    <row r="491" spans="2:75" x14ac:dyDescent="0.3">
      <c r="B491" s="158">
        <f t="shared" si="398"/>
        <v>44391</v>
      </c>
      <c r="C491" s="61"/>
      <c r="D491" s="17">
        <v>35447</v>
      </c>
      <c r="E491" s="16"/>
      <c r="F491" s="16"/>
      <c r="G491" s="16"/>
      <c r="H491" s="16">
        <f t="shared" si="400"/>
        <v>34265090</v>
      </c>
      <c r="I491" s="16"/>
      <c r="J491" s="436">
        <f t="shared" si="401"/>
        <v>1.0355644083112406E-3</v>
      </c>
      <c r="K491" s="16"/>
      <c r="L491" s="16"/>
      <c r="M491" s="16"/>
      <c r="N491" s="16">
        <f t="shared" si="402"/>
        <v>162958</v>
      </c>
      <c r="O491" s="16">
        <f t="shared" si="403"/>
        <v>71089.398340248968</v>
      </c>
      <c r="P491" s="41"/>
      <c r="Q491" s="17">
        <f t="shared" si="404"/>
        <v>162958</v>
      </c>
      <c r="R491" s="16"/>
      <c r="S491" s="60">
        <f t="shared" si="405"/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si="406"/>
        <v>1192</v>
      </c>
      <c r="AA491" s="33">
        <f t="shared" si="407"/>
        <v>608125</v>
      </c>
      <c r="AB491" s="33"/>
      <c r="AC491" s="46">
        <f t="shared" si="408"/>
        <v>1.7747655120707403E-2</v>
      </c>
      <c r="AD491" s="33"/>
      <c r="AE491" s="33">
        <f t="shared" si="409"/>
        <v>1261.6701244813278</v>
      </c>
      <c r="AF491" s="50"/>
      <c r="AG491" s="33">
        <f t="shared" si="410"/>
        <v>1453</v>
      </c>
      <c r="AH491" s="33">
        <f>SUM(D462:D962)</f>
        <v>1124876372.060914</v>
      </c>
      <c r="AI491" s="213">
        <f t="shared" si="411"/>
        <v>0.13782302270947533</v>
      </c>
      <c r="AJ491" s="50"/>
      <c r="AK491" s="111"/>
      <c r="AL491" s="23">
        <f t="shared" si="412"/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si="413"/>
        <v>8.2935153583617749E-4</v>
      </c>
      <c r="AS491" s="25"/>
      <c r="AT491" s="25"/>
      <c r="AU491" s="24"/>
      <c r="AV491" s="298">
        <f t="shared" si="414"/>
        <v>0.85580688683438455</v>
      </c>
      <c r="AW491" s="298"/>
      <c r="AX491" s="24">
        <f t="shared" si="415"/>
        <v>60838.796680497922</v>
      </c>
      <c r="AY491" s="308"/>
      <c r="AZ491" s="111"/>
      <c r="BA491" s="65">
        <f t="shared" si="416"/>
        <v>874420</v>
      </c>
      <c r="BB491" s="66"/>
      <c r="BC491" s="66">
        <v>514574420</v>
      </c>
      <c r="BD491" s="66"/>
      <c r="BE491" s="66">
        <f t="shared" si="417"/>
        <v>35447</v>
      </c>
      <c r="BF491" s="66"/>
      <c r="BG491" s="144">
        <f t="shared" si="418"/>
        <v>4.0537727865327874E-2</v>
      </c>
      <c r="BH491" s="66"/>
      <c r="BI491" s="170"/>
      <c r="BJ491" s="66"/>
      <c r="BK491" s="66">
        <f t="shared" si="419"/>
        <v>4871547</v>
      </c>
      <c r="BL491" s="66"/>
      <c r="BM491" s="144">
        <f t="shared" si="420"/>
        <v>3.3450975634639266E-2</v>
      </c>
      <c r="BN491" s="65">
        <f t="shared" si="421"/>
        <v>1067581.7842323652</v>
      </c>
      <c r="BO491" s="66"/>
      <c r="BP491" s="66">
        <f t="shared" si="422"/>
        <v>33358112</v>
      </c>
      <c r="BQ491" s="66"/>
      <c r="BR491" s="435">
        <f t="shared" si="423"/>
        <v>6.4826603700976815E-2</v>
      </c>
      <c r="BS491" s="66"/>
      <c r="BT491" s="75"/>
      <c r="BU491" s="170"/>
      <c r="BV491" s="1"/>
      <c r="BW491" s="61">
        <f t="shared" si="399"/>
        <v>482</v>
      </c>
    </row>
    <row r="492" spans="2:75" x14ac:dyDescent="0.3">
      <c r="B492" s="158">
        <f t="shared" si="398"/>
        <v>44392</v>
      </c>
      <c r="C492" s="61"/>
      <c r="D492" s="17">
        <v>36674</v>
      </c>
      <c r="E492" s="16"/>
      <c r="F492" s="16"/>
      <c r="G492" s="16"/>
      <c r="H492" s="16">
        <f t="shared" si="400"/>
        <v>34301764</v>
      </c>
      <c r="I492" s="16"/>
      <c r="J492" s="436">
        <f t="shared" si="401"/>
        <v>1.0703021646813126E-3</v>
      </c>
      <c r="K492" s="16"/>
      <c r="L492" s="16"/>
      <c r="M492" s="16"/>
      <c r="N492" s="16">
        <f t="shared" si="402"/>
        <v>180285</v>
      </c>
      <c r="O492" s="16">
        <f t="shared" si="403"/>
        <v>71018.144927536225</v>
      </c>
      <c r="P492" s="41"/>
      <c r="Q492" s="17">
        <f t="shared" si="404"/>
        <v>180285</v>
      </c>
      <c r="R492" s="16"/>
      <c r="S492" s="60">
        <f t="shared" si="405"/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si="406"/>
        <v>1170</v>
      </c>
      <c r="AA492" s="33">
        <f t="shared" si="407"/>
        <v>608469</v>
      </c>
      <c r="AB492" s="33"/>
      <c r="AC492" s="46">
        <f t="shared" si="408"/>
        <v>1.7738708714805453E-2</v>
      </c>
      <c r="AD492" s="33"/>
      <c r="AE492" s="33">
        <f t="shared" si="409"/>
        <v>1259.7701863354037</v>
      </c>
      <c r="AF492" s="50"/>
      <c r="AG492" s="33">
        <f t="shared" si="410"/>
        <v>1536</v>
      </c>
      <c r="AH492" s="33">
        <f>SUM(D463:D963)</f>
        <v>1124863792.060914</v>
      </c>
      <c r="AI492" s="213">
        <f t="shared" si="411"/>
        <v>0.25592804578904332</v>
      </c>
      <c r="AJ492" s="50"/>
      <c r="AK492" s="111"/>
      <c r="AL492" s="23">
        <f t="shared" si="412"/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si="413"/>
        <v>6.006281479864822E-4</v>
      </c>
      <c r="AS492" s="25"/>
      <c r="AT492" s="25"/>
      <c r="AU492" s="24"/>
      <c r="AV492" s="298">
        <f t="shared" si="414"/>
        <v>0.85540536632460074</v>
      </c>
      <c r="AW492" s="298"/>
      <c r="AX492" s="24">
        <f t="shared" si="415"/>
        <v>60749.302277432711</v>
      </c>
      <c r="AY492" s="308"/>
      <c r="AZ492" s="111"/>
      <c r="BA492" s="65">
        <f t="shared" si="416"/>
        <v>637606</v>
      </c>
      <c r="BB492" s="66"/>
      <c r="BC492" s="66">
        <v>515212026</v>
      </c>
      <c r="BD492" s="66"/>
      <c r="BE492" s="66">
        <f t="shared" si="417"/>
        <v>36674</v>
      </c>
      <c r="BF492" s="66"/>
      <c r="BG492" s="144">
        <f t="shared" si="418"/>
        <v>5.7518279313557276E-2</v>
      </c>
      <c r="BH492" s="66"/>
      <c r="BI492" s="170"/>
      <c r="BJ492" s="66"/>
      <c r="BK492" s="66">
        <f t="shared" si="419"/>
        <v>4731685</v>
      </c>
      <c r="BL492" s="66"/>
      <c r="BM492" s="144">
        <f t="shared" si="420"/>
        <v>3.810164877839501E-2</v>
      </c>
      <c r="BN492" s="65">
        <f t="shared" si="421"/>
        <v>1066691.5652173914</v>
      </c>
      <c r="BO492" s="66"/>
      <c r="BP492" s="66">
        <f t="shared" si="422"/>
        <v>33394786</v>
      </c>
      <c r="BQ492" s="66"/>
      <c r="BR492" s="435">
        <f t="shared" si="423"/>
        <v>6.4817559208138517E-2</v>
      </c>
      <c r="BS492" s="66"/>
      <c r="BT492" s="75"/>
      <c r="BU492" s="170"/>
      <c r="BV492" s="1"/>
      <c r="BW492" s="61">
        <f t="shared" si="399"/>
        <v>483</v>
      </c>
    </row>
    <row r="493" spans="2:75" x14ac:dyDescent="0.3">
      <c r="B493" s="158">
        <f t="shared" si="398"/>
        <v>44393</v>
      </c>
      <c r="C493" s="61"/>
      <c r="D493" s="17">
        <v>40529</v>
      </c>
      <c r="E493" s="16"/>
      <c r="F493" s="16"/>
      <c r="G493" s="16"/>
      <c r="H493" s="16">
        <f t="shared" si="400"/>
        <v>34342293</v>
      </c>
      <c r="I493" s="16"/>
      <c r="J493" s="436">
        <f t="shared" si="401"/>
        <v>1.1815427334874089E-3</v>
      </c>
      <c r="K493" s="16"/>
      <c r="L493" s="16"/>
      <c r="M493" s="16"/>
      <c r="N493" s="16">
        <f t="shared" si="402"/>
        <v>193577</v>
      </c>
      <c r="O493" s="16">
        <f t="shared" si="403"/>
        <v>70955.150826446275</v>
      </c>
      <c r="P493" s="41"/>
      <c r="Q493" s="17">
        <f t="shared" si="404"/>
        <v>193577</v>
      </c>
      <c r="R493" s="16"/>
      <c r="S493" s="60">
        <f t="shared" si="405"/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si="406"/>
        <v>1345</v>
      </c>
      <c r="AA493" s="33">
        <f t="shared" si="407"/>
        <v>608762</v>
      </c>
      <c r="AB493" s="33"/>
      <c r="AC493" s="46">
        <f t="shared" si="408"/>
        <v>1.7726306161327084E-2</v>
      </c>
      <c r="AD493" s="33"/>
      <c r="AE493" s="33">
        <f t="shared" si="409"/>
        <v>1257.7727272727273</v>
      </c>
      <c r="AF493" s="50"/>
      <c r="AG493" s="33">
        <f t="shared" si="410"/>
        <v>1463</v>
      </c>
      <c r="AH493" s="33">
        <f>SUM(D464:D964)</f>
        <v>1124849729.060914</v>
      </c>
      <c r="AI493" s="213">
        <f t="shared" si="411"/>
        <v>0.15469613259668508</v>
      </c>
      <c r="AJ493" s="50"/>
      <c r="AK493" s="111"/>
      <c r="AL493" s="23">
        <f t="shared" si="412"/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si="413"/>
        <v>5.6635707426438075E-4</v>
      </c>
      <c r="AS493" s="25"/>
      <c r="AT493" s="25"/>
      <c r="AU493" s="24"/>
      <c r="AV493" s="298">
        <f t="shared" si="414"/>
        <v>0.85487975424355034</v>
      </c>
      <c r="AW493" s="298"/>
      <c r="AX493" s="24">
        <f t="shared" si="415"/>
        <v>60658.121900826445</v>
      </c>
      <c r="AY493" s="308"/>
      <c r="AZ493" s="111"/>
      <c r="BA493" s="65">
        <f t="shared" si="416"/>
        <v>852776</v>
      </c>
      <c r="BB493" s="66"/>
      <c r="BC493" s="66">
        <v>516064802</v>
      </c>
      <c r="BD493" s="66"/>
      <c r="BE493" s="66">
        <f t="shared" si="417"/>
        <v>40529</v>
      </c>
      <c r="BF493" s="66"/>
      <c r="BG493" s="144">
        <f t="shared" si="418"/>
        <v>4.7525962269107012E-2</v>
      </c>
      <c r="BH493" s="66"/>
      <c r="BI493" s="170"/>
      <c r="BJ493" s="66"/>
      <c r="BK493" s="66">
        <f t="shared" si="419"/>
        <v>4636798</v>
      </c>
      <c r="BL493" s="66"/>
      <c r="BM493" s="144">
        <f t="shared" si="420"/>
        <v>4.1747990747062952E-2</v>
      </c>
      <c r="BN493" s="65">
        <f t="shared" si="421"/>
        <v>1066249.5909090908</v>
      </c>
      <c r="BO493" s="66"/>
      <c r="BP493" s="66">
        <f t="shared" si="422"/>
        <v>33435315</v>
      </c>
      <c r="BQ493" s="66"/>
      <c r="BR493" s="435">
        <f t="shared" si="423"/>
        <v>6.478898555069447E-2</v>
      </c>
      <c r="BS493" s="66"/>
      <c r="BT493" s="75"/>
      <c r="BU493" s="170"/>
      <c r="BV493" s="1"/>
      <c r="BW493" s="61">
        <f t="shared" si="399"/>
        <v>484</v>
      </c>
    </row>
    <row r="494" spans="2:75" x14ac:dyDescent="0.3">
      <c r="B494" s="158">
        <f t="shared" si="398"/>
        <v>44394</v>
      </c>
      <c r="C494" s="61"/>
      <c r="D494" s="17">
        <v>24081</v>
      </c>
      <c r="E494" s="16"/>
      <c r="F494" s="16"/>
      <c r="G494" s="16"/>
      <c r="H494" s="16">
        <f t="shared" si="400"/>
        <v>34366374</v>
      </c>
      <c r="I494" s="16"/>
      <c r="J494" s="436">
        <f t="shared" si="401"/>
        <v>7.0120536214631911E-4</v>
      </c>
      <c r="K494" s="16"/>
      <c r="L494" s="16"/>
      <c r="M494" s="16"/>
      <c r="N494" s="16">
        <f t="shared" si="402"/>
        <v>203123</v>
      </c>
      <c r="O494" s="16">
        <f t="shared" si="403"/>
        <v>70858.503092783503</v>
      </c>
      <c r="P494" s="41"/>
      <c r="Q494" s="17">
        <f t="shared" si="404"/>
        <v>203123</v>
      </c>
      <c r="R494" s="16"/>
      <c r="S494" s="60">
        <f t="shared" si="405"/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si="406"/>
        <v>1431</v>
      </c>
      <c r="AA494" s="33">
        <f t="shared" si="407"/>
        <v>608875</v>
      </c>
      <c r="AB494" s="33"/>
      <c r="AC494" s="46">
        <f t="shared" si="408"/>
        <v>1.7717173187954016E-2</v>
      </c>
      <c r="AD494" s="33"/>
      <c r="AE494" s="33">
        <f t="shared" si="409"/>
        <v>1255.4123711340205</v>
      </c>
      <c r="AF494" s="50"/>
      <c r="AG494" s="33">
        <f t="shared" si="410"/>
        <v>1458</v>
      </c>
      <c r="AH494" s="33">
        <f>SUM(D465:D965)</f>
        <v>1124835996.060914</v>
      </c>
      <c r="AI494" s="213">
        <f t="shared" si="411"/>
        <v>0.13110938712179984</v>
      </c>
      <c r="AJ494" s="50"/>
      <c r="AK494" s="111"/>
      <c r="AL494" s="23">
        <f t="shared" si="412"/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si="413"/>
        <v>3.6275656980248774E-4</v>
      </c>
      <c r="AS494" s="25"/>
      <c r="AT494" s="25"/>
      <c r="AU494" s="24"/>
      <c r="AV494" s="298">
        <f t="shared" si="414"/>
        <v>0.8545906239628307</v>
      </c>
      <c r="AW494" s="298"/>
      <c r="AX494" s="24">
        <f t="shared" si="415"/>
        <v>60555.01237113402</v>
      </c>
      <c r="AY494" s="308"/>
      <c r="AZ494" s="111"/>
      <c r="BA494" s="65">
        <f t="shared" si="416"/>
        <v>212860</v>
      </c>
      <c r="BB494" s="66"/>
      <c r="BC494" s="66">
        <v>516277662</v>
      </c>
      <c r="BD494" s="66"/>
      <c r="BE494" s="66">
        <f t="shared" si="417"/>
        <v>24081</v>
      </c>
      <c r="BF494" s="66"/>
      <c r="BG494" s="144">
        <f t="shared" si="418"/>
        <v>0.11313069623226533</v>
      </c>
      <c r="BH494" s="66"/>
      <c r="BI494" s="170"/>
      <c r="BJ494" s="66"/>
      <c r="BK494" s="66">
        <f t="shared" si="419"/>
        <v>4606997</v>
      </c>
      <c r="BL494" s="66"/>
      <c r="BM494" s="144">
        <f t="shared" si="420"/>
        <v>4.409010902329652E-2</v>
      </c>
      <c r="BN494" s="65">
        <f t="shared" si="421"/>
        <v>1064490.024742268</v>
      </c>
      <c r="BO494" s="66"/>
      <c r="BP494" s="66">
        <f t="shared" si="422"/>
        <v>33459396</v>
      </c>
      <c r="BQ494" s="66"/>
      <c r="BR494" s="435">
        <f t="shared" si="423"/>
        <v>6.480891671815156E-2</v>
      </c>
      <c r="BS494" s="66"/>
      <c r="BT494" s="75"/>
      <c r="BU494" s="170"/>
      <c r="BV494" s="1"/>
      <c r="BW494" s="61">
        <f t="shared" si="399"/>
        <v>485</v>
      </c>
    </row>
    <row r="495" spans="2:75" x14ac:dyDescent="0.3">
      <c r="B495" s="347">
        <f t="shared" si="398"/>
        <v>44395</v>
      </c>
      <c r="C495" s="61"/>
      <c r="D495" s="17">
        <v>22278</v>
      </c>
      <c r="E495" s="16"/>
      <c r="F495" s="16"/>
      <c r="G495" s="16"/>
      <c r="H495" s="16">
        <f t="shared" si="400"/>
        <v>34388652</v>
      </c>
      <c r="I495" s="16"/>
      <c r="J495" s="436">
        <f t="shared" si="401"/>
        <v>6.4824994338943064E-4</v>
      </c>
      <c r="K495" s="16"/>
      <c r="L495" s="16"/>
      <c r="M495" s="16"/>
      <c r="N495" s="16">
        <f t="shared" si="402"/>
        <v>218759</v>
      </c>
      <c r="O495" s="16">
        <f t="shared" si="403"/>
        <v>70758.543209876545</v>
      </c>
      <c r="P495" s="41"/>
      <c r="Q495" s="17">
        <f t="shared" si="404"/>
        <v>218759</v>
      </c>
      <c r="R495" s="16"/>
      <c r="S495" s="60">
        <f t="shared" si="405"/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si="406"/>
        <v>1350</v>
      </c>
      <c r="AA495" s="33">
        <f t="shared" si="407"/>
        <v>608957</v>
      </c>
      <c r="AB495" s="33"/>
      <c r="AC495" s="46">
        <f t="shared" si="408"/>
        <v>1.7708079979407161E-2</v>
      </c>
      <c r="AD495" s="33"/>
      <c r="AE495" s="33">
        <f t="shared" si="409"/>
        <v>1252.9979423868313</v>
      </c>
      <c r="AF495" s="50"/>
      <c r="AG495" s="33">
        <f t="shared" si="410"/>
        <v>1513</v>
      </c>
      <c r="AH495" s="33">
        <f>SUM(D466:D966)</f>
        <v>1124822607.060914</v>
      </c>
      <c r="AI495" s="213">
        <f t="shared" si="411"/>
        <v>0.19984139571768439</v>
      </c>
      <c r="AJ495" s="50"/>
      <c r="AK495" s="111"/>
      <c r="AL495" s="23">
        <f t="shared" si="412"/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si="413"/>
        <v>3.8652763248658519E-4</v>
      </c>
      <c r="AS495" s="25"/>
      <c r="AT495" s="25"/>
      <c r="AU495" s="24"/>
      <c r="AV495" s="298">
        <f t="shared" si="414"/>
        <v>0.85436710342702582</v>
      </c>
      <c r="AW495" s="298"/>
      <c r="AX495" s="24">
        <f t="shared" si="415"/>
        <v>60453.771604938273</v>
      </c>
      <c r="AY495" s="308"/>
      <c r="AZ495" s="111"/>
      <c r="BA495" s="65">
        <f t="shared" si="416"/>
        <v>1092874</v>
      </c>
      <c r="BB495" s="66"/>
      <c r="BC495" s="66">
        <v>517370536</v>
      </c>
      <c r="BD495" s="66"/>
      <c r="BE495" s="66">
        <f t="shared" si="417"/>
        <v>22278</v>
      </c>
      <c r="BF495" s="66"/>
      <c r="BG495" s="144">
        <f t="shared" si="418"/>
        <v>2.0384783607259392E-2</v>
      </c>
      <c r="BH495" s="66"/>
      <c r="BI495" s="170"/>
      <c r="BJ495" s="66"/>
      <c r="BK495" s="66">
        <f t="shared" si="419"/>
        <v>5565009</v>
      </c>
      <c r="BL495" s="66"/>
      <c r="BM495" s="144">
        <f t="shared" si="420"/>
        <v>3.9309729777615814E-2</v>
      </c>
      <c r="BN495" s="65">
        <f t="shared" si="421"/>
        <v>1064548.4279835392</v>
      </c>
      <c r="BO495" s="66"/>
      <c r="BP495" s="66">
        <f t="shared" si="422"/>
        <v>33481674</v>
      </c>
      <c r="BQ495" s="66"/>
      <c r="BR495" s="435">
        <f t="shared" si="423"/>
        <v>6.4715076855478296E-2</v>
      </c>
      <c r="BS495" s="66"/>
      <c r="BT495" s="75"/>
      <c r="BU495" s="170"/>
      <c r="BV495" s="1"/>
      <c r="BW495" s="61">
        <f t="shared" si="399"/>
        <v>486</v>
      </c>
    </row>
    <row r="496" spans="2:75" x14ac:dyDescent="0.3">
      <c r="B496" s="158">
        <f t="shared" si="398"/>
        <v>44396</v>
      </c>
      <c r="C496" s="61"/>
      <c r="D496" s="17">
        <v>32576</v>
      </c>
      <c r="E496" s="16"/>
      <c r="F496" s="16"/>
      <c r="G496" s="16"/>
      <c r="H496" s="16">
        <f t="shared" si="400"/>
        <v>34421228</v>
      </c>
      <c r="I496" s="16"/>
      <c r="J496" s="436">
        <f t="shared" si="401"/>
        <v>9.4728923948516502E-4</v>
      </c>
      <c r="K496" s="16"/>
      <c r="L496" s="16"/>
      <c r="M496" s="16"/>
      <c r="N496" s="16">
        <f t="shared" si="402"/>
        <v>231339</v>
      </c>
      <c r="O496" s="16">
        <f t="shared" si="403"/>
        <v>70680.139630390142</v>
      </c>
      <c r="P496" s="41"/>
      <c r="Q496" s="17">
        <f t="shared" si="404"/>
        <v>231339</v>
      </c>
      <c r="R496" s="16"/>
      <c r="S496" s="60">
        <f t="shared" si="405"/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si="406"/>
        <v>1316</v>
      </c>
      <c r="AA496" s="33">
        <f t="shared" si="407"/>
        <v>609094</v>
      </c>
      <c r="AB496" s="33"/>
      <c r="AC496" s="46">
        <f t="shared" si="408"/>
        <v>1.7695301283266244E-2</v>
      </c>
      <c r="AD496" s="33"/>
      <c r="AE496" s="33">
        <f t="shared" si="409"/>
        <v>1250.7063655030802</v>
      </c>
      <c r="AF496" s="50"/>
      <c r="AG496" s="33">
        <f t="shared" si="410"/>
        <v>1487</v>
      </c>
      <c r="AH496" s="33">
        <f>SUM(D467:D967)</f>
        <v>1124814825.060914</v>
      </c>
      <c r="AI496" s="213">
        <f t="shared" si="411"/>
        <v>7.1325648414985593E-2</v>
      </c>
      <c r="AJ496" s="50"/>
      <c r="AK496" s="111"/>
      <c r="AL496" s="23">
        <f t="shared" si="412"/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si="413"/>
        <v>1.0695176973133877E-3</v>
      </c>
      <c r="AS496" s="25"/>
      <c r="AT496" s="25"/>
      <c r="AU496" s="24"/>
      <c r="AV496" s="298">
        <f t="shared" si="414"/>
        <v>0.85447143257062186</v>
      </c>
      <c r="AW496" s="298"/>
      <c r="AX496" s="24">
        <f t="shared" si="415"/>
        <v>60394.160164271045</v>
      </c>
      <c r="AY496" s="308"/>
      <c r="AZ496" s="111"/>
      <c r="BA496" s="65">
        <f t="shared" si="416"/>
        <v>614626</v>
      </c>
      <c r="BB496" s="66"/>
      <c r="BC496" s="66">
        <v>517985162</v>
      </c>
      <c r="BD496" s="66"/>
      <c r="BE496" s="66">
        <f t="shared" si="417"/>
        <v>32576</v>
      </c>
      <c r="BF496" s="66"/>
      <c r="BG496" s="144">
        <f t="shared" si="418"/>
        <v>5.3001337398678218E-2</v>
      </c>
      <c r="BH496" s="66"/>
      <c r="BI496" s="170"/>
      <c r="BJ496" s="66"/>
      <c r="BK496" s="66">
        <f t="shared" si="419"/>
        <v>4821272</v>
      </c>
      <c r="BL496" s="66"/>
      <c r="BM496" s="144">
        <f t="shared" si="420"/>
        <v>4.7982980425082838E-2</v>
      </c>
      <c r="BN496" s="65">
        <f t="shared" si="421"/>
        <v>1063624.5626283367</v>
      </c>
      <c r="BO496" s="66"/>
      <c r="BP496" s="66">
        <f t="shared" si="422"/>
        <v>33514250</v>
      </c>
      <c r="BQ496" s="66"/>
      <c r="BR496" s="435">
        <f t="shared" si="423"/>
        <v>6.4701177675819219E-2</v>
      </c>
      <c r="BS496" s="66"/>
      <c r="BT496" s="75"/>
      <c r="BU496" s="170"/>
      <c r="BV496" s="1"/>
      <c r="BW496" s="61">
        <f t="shared" si="399"/>
        <v>487</v>
      </c>
    </row>
    <row r="497" spans="2:75" x14ac:dyDescent="0.3">
      <c r="B497" s="158">
        <f t="shared" si="398"/>
        <v>44397</v>
      </c>
      <c r="C497" s="61"/>
      <c r="D497" s="17">
        <v>44232</v>
      </c>
      <c r="E497" s="16"/>
      <c r="F497" s="16"/>
      <c r="G497" s="16"/>
      <c r="H497" s="16">
        <f t="shared" si="400"/>
        <v>34465460</v>
      </c>
      <c r="I497" s="16"/>
      <c r="J497" s="436">
        <f t="shared" si="401"/>
        <v>1.2850209760093393E-3</v>
      </c>
      <c r="K497" s="16"/>
      <c r="L497" s="16"/>
      <c r="M497" s="16"/>
      <c r="N497" s="16">
        <f t="shared" si="402"/>
        <v>235817</v>
      </c>
      <c r="O497" s="16">
        <f t="shared" si="403"/>
        <v>70625.942622950824</v>
      </c>
      <c r="P497" s="41"/>
      <c r="Q497" s="17">
        <f t="shared" si="404"/>
        <v>235817</v>
      </c>
      <c r="R497" s="16"/>
      <c r="S497" s="60">
        <f t="shared" si="405"/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si="406"/>
        <v>1225</v>
      </c>
      <c r="AA497" s="33">
        <f t="shared" si="407"/>
        <v>609350</v>
      </c>
      <c r="AB497" s="33"/>
      <c r="AC497" s="46">
        <f t="shared" si="408"/>
        <v>1.7680019358511392E-2</v>
      </c>
      <c r="AD497" s="33"/>
      <c r="AE497" s="33">
        <f t="shared" si="409"/>
        <v>1248.6680327868853</v>
      </c>
      <c r="AF497" s="50"/>
      <c r="AG497" s="33">
        <f t="shared" si="410"/>
        <v>1572</v>
      </c>
      <c r="AH497" s="33">
        <f>SUM(D468:D968)</f>
        <v>1124810403.060914</v>
      </c>
      <c r="AI497" s="213">
        <f t="shared" si="411"/>
        <v>0.15843773028739869</v>
      </c>
      <c r="AJ497" s="50"/>
      <c r="AK497" s="111"/>
      <c r="AL497" s="23">
        <f t="shared" si="412"/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si="413"/>
        <v>7.8930486636114917E-4</v>
      </c>
      <c r="AS497" s="25"/>
      <c r="AT497" s="25"/>
      <c r="AU497" s="24"/>
      <c r="AV497" s="298">
        <f t="shared" si="414"/>
        <v>0.85404840092080592</v>
      </c>
      <c r="AW497" s="298"/>
      <c r="AX497" s="24">
        <f t="shared" si="415"/>
        <v>60317.973360655735</v>
      </c>
      <c r="AY497" s="308"/>
      <c r="AZ497" s="111"/>
      <c r="BA497" s="65">
        <f t="shared" si="416"/>
        <v>673069</v>
      </c>
      <c r="BB497" s="66"/>
      <c r="BC497" s="66">
        <v>518658231</v>
      </c>
      <c r="BD497" s="66"/>
      <c r="BE497" s="66">
        <f t="shared" si="417"/>
        <v>44232</v>
      </c>
      <c r="BF497" s="66"/>
      <c r="BG497" s="144">
        <f t="shared" si="418"/>
        <v>6.571688786736575E-2</v>
      </c>
      <c r="BH497" s="66"/>
      <c r="BI497" s="170"/>
      <c r="BJ497" s="66"/>
      <c r="BK497" s="66">
        <f t="shared" si="419"/>
        <v>4958231</v>
      </c>
      <c r="BL497" s="66"/>
      <c r="BM497" s="144">
        <f t="shared" si="420"/>
        <v>4.7560712681599546E-2</v>
      </c>
      <c r="BN497" s="65">
        <f t="shared" si="421"/>
        <v>1062824.2438524591</v>
      </c>
      <c r="BO497" s="66"/>
      <c r="BP497" s="66">
        <f t="shared" si="422"/>
        <v>33558482</v>
      </c>
      <c r="BQ497" s="66"/>
      <c r="BR497" s="435">
        <f t="shared" si="423"/>
        <v>6.4702495775103203E-2</v>
      </c>
      <c r="BS497" s="66"/>
      <c r="BT497" s="75"/>
      <c r="BU497" s="170"/>
      <c r="BV497" s="1"/>
      <c r="BW497" s="61">
        <f t="shared" si="399"/>
        <v>488</v>
      </c>
    </row>
    <row r="498" spans="2:75" x14ac:dyDescent="0.3">
      <c r="B498" s="158">
        <f t="shared" si="398"/>
        <v>44398</v>
      </c>
      <c r="C498" s="61"/>
      <c r="D498" s="17">
        <v>56525</v>
      </c>
      <c r="E498" s="16"/>
      <c r="F498" s="16"/>
      <c r="G498" s="16"/>
      <c r="H498" s="16">
        <f t="shared" si="400"/>
        <v>34521985</v>
      </c>
      <c r="I498" s="16"/>
      <c r="J498" s="436">
        <f t="shared" si="401"/>
        <v>1.6400477463524351E-3</v>
      </c>
      <c r="K498" s="16"/>
      <c r="L498" s="16"/>
      <c r="M498" s="16"/>
      <c r="N498" s="16">
        <f t="shared" si="402"/>
        <v>256895</v>
      </c>
      <c r="O498" s="16">
        <f t="shared" si="403"/>
        <v>70597.106339468301</v>
      </c>
      <c r="P498" s="41"/>
      <c r="Q498" s="17">
        <f t="shared" si="404"/>
        <v>256895</v>
      </c>
      <c r="R498" s="16"/>
      <c r="S498" s="60">
        <f t="shared" si="405"/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si="406"/>
        <v>1297</v>
      </c>
      <c r="AA498" s="33">
        <f t="shared" si="407"/>
        <v>609766</v>
      </c>
      <c r="AB498" s="33"/>
      <c r="AC498" s="46">
        <f t="shared" si="408"/>
        <v>1.7663121051700821E-2</v>
      </c>
      <c r="AD498" s="33"/>
      <c r="AE498" s="33">
        <f t="shared" si="409"/>
        <v>1246.9652351738241</v>
      </c>
      <c r="AF498" s="50"/>
      <c r="AG498" s="33">
        <f t="shared" si="410"/>
        <v>1641</v>
      </c>
      <c r="AH498" s="33">
        <f>SUM(D469:D969)</f>
        <v>1124800648.060914</v>
      </c>
      <c r="AI498" s="213">
        <f t="shared" si="411"/>
        <v>0.12938747419132829</v>
      </c>
      <c r="AJ498" s="50"/>
      <c r="AK498" s="111"/>
      <c r="AL498" s="23">
        <f t="shared" si="412"/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si="413"/>
        <v>7.8925989592518425E-4</v>
      </c>
      <c r="AS498" s="25"/>
      <c r="AT498" s="25"/>
      <c r="AU498" s="24"/>
      <c r="AV498" s="298">
        <f t="shared" si="414"/>
        <v>0.85332297664806933</v>
      </c>
      <c r="AW498" s="298"/>
      <c r="AX498" s="24">
        <f t="shared" si="415"/>
        <v>60242.132924335376</v>
      </c>
      <c r="AY498" s="308"/>
      <c r="AZ498" s="111"/>
      <c r="BA498" s="65">
        <f t="shared" si="416"/>
        <v>822020</v>
      </c>
      <c r="BB498" s="66"/>
      <c r="BC498" s="66">
        <v>519480251</v>
      </c>
      <c r="BD498" s="66"/>
      <c r="BE498" s="66">
        <f t="shared" si="417"/>
        <v>56525</v>
      </c>
      <c r="BF498" s="66"/>
      <c r="BG498" s="144">
        <f t="shared" si="418"/>
        <v>6.8763533733972412E-2</v>
      </c>
      <c r="BH498" s="66"/>
      <c r="BI498" s="170"/>
      <c r="BJ498" s="66"/>
      <c r="BK498" s="66">
        <f t="shared" si="419"/>
        <v>4905831</v>
      </c>
      <c r="BL498" s="66"/>
      <c r="BM498" s="144">
        <f t="shared" si="420"/>
        <v>5.2365236389105126E-2</v>
      </c>
      <c r="BN498" s="65">
        <f t="shared" si="421"/>
        <v>1062331.8016359918</v>
      </c>
      <c r="BO498" s="66"/>
      <c r="BP498" s="66">
        <f t="shared" si="422"/>
        <v>33615007</v>
      </c>
      <c r="BQ498" s="66"/>
      <c r="BR498" s="435">
        <f t="shared" si="423"/>
        <v>6.4708921918188569E-2</v>
      </c>
      <c r="BS498" s="66"/>
      <c r="BT498" s="75"/>
      <c r="BU498" s="170"/>
      <c r="BV498" s="1"/>
      <c r="BW498" s="61">
        <f t="shared" si="399"/>
        <v>489</v>
      </c>
    </row>
    <row r="499" spans="2:75" x14ac:dyDescent="0.3">
      <c r="B499" s="158">
        <f t="shared" si="398"/>
        <v>44399</v>
      </c>
      <c r="C499" s="61"/>
      <c r="D499" s="17">
        <v>61651</v>
      </c>
      <c r="E499" s="16"/>
      <c r="F499" s="16"/>
      <c r="G499" s="16"/>
      <c r="H499" s="16">
        <f t="shared" si="400"/>
        <v>34583636</v>
      </c>
      <c r="I499" s="16"/>
      <c r="J499" s="436">
        <f t="shared" si="401"/>
        <v>1.7858474824086737E-3</v>
      </c>
      <c r="K499" s="16"/>
      <c r="L499" s="16"/>
      <c r="M499" s="16"/>
      <c r="N499" s="16">
        <f t="shared" si="402"/>
        <v>281872</v>
      </c>
      <c r="O499" s="16">
        <f t="shared" si="403"/>
        <v>70578.848979591843</v>
      </c>
      <c r="P499" s="41"/>
      <c r="Q499" s="17">
        <f t="shared" si="404"/>
        <v>281872</v>
      </c>
      <c r="R499" s="16"/>
      <c r="S499" s="60">
        <f t="shared" si="405"/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si="406"/>
        <v>1369</v>
      </c>
      <c r="AA499" s="33">
        <f t="shared" si="407"/>
        <v>610131</v>
      </c>
      <c r="AB499" s="33"/>
      <c r="AC499" s="46">
        <f t="shared" si="408"/>
        <v>1.7642187767648261E-2</v>
      </c>
      <c r="AD499" s="33"/>
      <c r="AE499" s="33">
        <f t="shared" si="409"/>
        <v>1245.165306122449</v>
      </c>
      <c r="AF499" s="50"/>
      <c r="AG499" s="33">
        <f t="shared" si="410"/>
        <v>1662</v>
      </c>
      <c r="AH499" s="33">
        <f>SUM(D470:D970)</f>
        <v>1124787774.060914</v>
      </c>
      <c r="AI499" s="213">
        <f t="shared" si="411"/>
        <v>8.203125E-2</v>
      </c>
      <c r="AJ499" s="50"/>
      <c r="AK499" s="111"/>
      <c r="AL499" s="23">
        <f t="shared" si="412"/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si="413"/>
        <v>6.7111581031734817E-4</v>
      </c>
      <c r="AS499" s="25"/>
      <c r="AT499" s="25"/>
      <c r="AU499" s="24"/>
      <c r="AV499" s="298">
        <f t="shared" si="414"/>
        <v>0.85237344621600808</v>
      </c>
      <c r="AW499" s="298"/>
      <c r="AX499" s="24">
        <f t="shared" si="415"/>
        <v>60159.53673469388</v>
      </c>
      <c r="AY499" s="308"/>
      <c r="AZ499" s="111"/>
      <c r="BA499" s="65">
        <f t="shared" si="416"/>
        <v>931237</v>
      </c>
      <c r="BB499" s="66"/>
      <c r="BC499" s="66">
        <v>520411488</v>
      </c>
      <c r="BD499" s="66"/>
      <c r="BE499" s="66">
        <f t="shared" si="417"/>
        <v>61651</v>
      </c>
      <c r="BF499" s="66"/>
      <c r="BG499" s="144">
        <f t="shared" si="418"/>
        <v>6.6203340288240264E-2</v>
      </c>
      <c r="BH499" s="66"/>
      <c r="BI499" s="170"/>
      <c r="BJ499" s="66"/>
      <c r="BK499" s="66">
        <f t="shared" si="419"/>
        <v>5199462</v>
      </c>
      <c r="BL499" s="66"/>
      <c r="BM499" s="144">
        <f t="shared" si="420"/>
        <v>5.4211762678523276E-2</v>
      </c>
      <c r="BN499" s="65">
        <f t="shared" si="421"/>
        <v>1062064.2612244899</v>
      </c>
      <c r="BO499" s="66"/>
      <c r="BP499" s="66">
        <f t="shared" si="422"/>
        <v>33676658</v>
      </c>
      <c r="BQ499" s="66"/>
      <c r="BR499" s="435">
        <f t="shared" si="423"/>
        <v>6.4711596066841626E-2</v>
      </c>
      <c r="BS499" s="66"/>
      <c r="BT499" s="75"/>
      <c r="BU499" s="170"/>
      <c r="BV499" s="1"/>
      <c r="BW499" s="61">
        <f t="shared" si="399"/>
        <v>490</v>
      </c>
    </row>
    <row r="500" spans="2:75" x14ac:dyDescent="0.3">
      <c r="B500" s="158">
        <f t="shared" si="398"/>
        <v>44400</v>
      </c>
      <c r="C500" s="61"/>
      <c r="D500" s="17">
        <v>67485</v>
      </c>
      <c r="E500" s="16"/>
      <c r="F500" s="16"/>
      <c r="G500" s="16"/>
      <c r="H500" s="16">
        <f t="shared" si="400"/>
        <v>34651121</v>
      </c>
      <c r="I500" s="16"/>
      <c r="J500" s="436">
        <f t="shared" si="401"/>
        <v>1.9513564160807152E-3</v>
      </c>
      <c r="K500" s="16"/>
      <c r="L500" s="16"/>
      <c r="M500" s="16"/>
      <c r="N500" s="16">
        <f t="shared" si="402"/>
        <v>308828</v>
      </c>
      <c r="O500" s="16">
        <f t="shared" si="403"/>
        <v>70572.547861507133</v>
      </c>
      <c r="P500" s="41"/>
      <c r="Q500" s="17">
        <f t="shared" si="404"/>
        <v>308828</v>
      </c>
      <c r="R500" s="16"/>
      <c r="S500" s="60">
        <f t="shared" si="405"/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si="406"/>
        <v>1684</v>
      </c>
      <c r="AA500" s="33">
        <f t="shared" si="407"/>
        <v>610559</v>
      </c>
      <c r="AB500" s="33"/>
      <c r="AC500" s="46">
        <f t="shared" si="408"/>
        <v>1.7620180311049678E-2</v>
      </c>
      <c r="AD500" s="33"/>
      <c r="AE500" s="33">
        <f t="shared" si="409"/>
        <v>1243.5010183299389</v>
      </c>
      <c r="AF500" s="50"/>
      <c r="AG500" s="33">
        <f t="shared" si="410"/>
        <v>1797</v>
      </c>
      <c r="AH500" s="33">
        <f>SUM(D471:D971)</f>
        <v>1124774409.060914</v>
      </c>
      <c r="AI500" s="213">
        <f t="shared" si="411"/>
        <v>0.22829801777170197</v>
      </c>
      <c r="AJ500" s="50"/>
      <c r="AK500" s="111"/>
      <c r="AL500" s="23">
        <f t="shared" si="412"/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si="413"/>
        <v>6.6835892441502399E-4</v>
      </c>
      <c r="AS500" s="25"/>
      <c r="AT500" s="25"/>
      <c r="AU500" s="24"/>
      <c r="AV500" s="298">
        <f t="shared" si="414"/>
        <v>0.85128198305619029</v>
      </c>
      <c r="AW500" s="298"/>
      <c r="AX500" s="24">
        <f t="shared" si="415"/>
        <v>60077.138492871687</v>
      </c>
      <c r="AY500" s="308"/>
      <c r="AZ500" s="111"/>
      <c r="BA500" s="65">
        <f t="shared" si="416"/>
        <v>930368</v>
      </c>
      <c r="BB500" s="66"/>
      <c r="BC500" s="66">
        <v>521341856</v>
      </c>
      <c r="BD500" s="66"/>
      <c r="BE500" s="66">
        <f t="shared" si="417"/>
        <v>67485</v>
      </c>
      <c r="BF500" s="66"/>
      <c r="BG500" s="144">
        <f t="shared" si="418"/>
        <v>7.2535813785512826E-2</v>
      </c>
      <c r="BH500" s="66"/>
      <c r="BI500" s="170"/>
      <c r="BJ500" s="66"/>
      <c r="BK500" s="66">
        <f t="shared" si="419"/>
        <v>5277054</v>
      </c>
      <c r="BL500" s="66"/>
      <c r="BM500" s="144">
        <f t="shared" si="420"/>
        <v>5.8522804579979666E-2</v>
      </c>
      <c r="BN500" s="65">
        <f t="shared" si="421"/>
        <v>1061796.0407331975</v>
      </c>
      <c r="BO500" s="66"/>
      <c r="BP500" s="66">
        <f t="shared" si="422"/>
        <v>33744143</v>
      </c>
      <c r="BQ500" s="66"/>
      <c r="BR500" s="435">
        <f t="shared" si="423"/>
        <v>6.4725558885492598E-2</v>
      </c>
      <c r="BS500" s="66"/>
      <c r="BT500" s="75"/>
      <c r="BU500" s="170"/>
      <c r="BV500" s="1"/>
      <c r="BW500" s="61">
        <f t="shared" si="399"/>
        <v>491</v>
      </c>
    </row>
    <row r="501" spans="2:75" x14ac:dyDescent="0.3">
      <c r="B501" s="158">
        <f t="shared" si="398"/>
        <v>44401</v>
      </c>
      <c r="C501" s="61"/>
      <c r="D501" s="17">
        <v>36779</v>
      </c>
      <c r="E501" s="16"/>
      <c r="F501" s="16"/>
      <c r="G501" s="16"/>
      <c r="H501" s="16">
        <f t="shared" si="400"/>
        <v>34687900</v>
      </c>
      <c r="I501" s="16"/>
      <c r="J501" s="436">
        <f t="shared" si="401"/>
        <v>1.061408662651924E-3</v>
      </c>
      <c r="K501" s="16"/>
      <c r="L501" s="16"/>
      <c r="M501" s="16"/>
      <c r="N501" s="16">
        <f t="shared" si="402"/>
        <v>321526</v>
      </c>
      <c r="O501" s="16">
        <f t="shared" si="403"/>
        <v>70503.861788617884</v>
      </c>
      <c r="P501" s="41"/>
      <c r="Q501" s="17">
        <f t="shared" si="404"/>
        <v>321526</v>
      </c>
      <c r="R501" s="16"/>
      <c r="S501" s="60">
        <f t="shared" si="405"/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si="406"/>
        <v>1753</v>
      </c>
      <c r="AA501" s="33">
        <f t="shared" si="407"/>
        <v>610710</v>
      </c>
      <c r="AB501" s="33"/>
      <c r="AC501" s="46">
        <f t="shared" si="408"/>
        <v>1.7605851031627744E-2</v>
      </c>
      <c r="AD501" s="33"/>
      <c r="AE501" s="33">
        <f t="shared" si="409"/>
        <v>1241.280487804878</v>
      </c>
      <c r="AF501" s="50"/>
      <c r="AG501" s="33">
        <f t="shared" si="410"/>
        <v>1835</v>
      </c>
      <c r="AH501" s="33">
        <f>SUM(D472:D972)</f>
        <v>1124758949.060914</v>
      </c>
      <c r="AI501" s="213">
        <f t="shared" si="411"/>
        <v>0.25857338820301784</v>
      </c>
      <c r="AJ501" s="50"/>
      <c r="AK501" s="111"/>
      <c r="AL501" s="23">
        <f t="shared" si="412"/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si="413"/>
        <v>3.1351410906717855E-4</v>
      </c>
      <c r="AS501" s="25"/>
      <c r="AT501" s="25"/>
      <c r="AU501" s="24"/>
      <c r="AV501" s="298">
        <f t="shared" si="414"/>
        <v>0.85064598894715449</v>
      </c>
      <c r="AW501" s="298"/>
      <c r="AX501" s="24">
        <f t="shared" si="415"/>
        <v>59973.827235772354</v>
      </c>
      <c r="AY501" s="308"/>
      <c r="AZ501" s="111"/>
      <c r="BA501" s="65">
        <f t="shared" si="416"/>
        <v>393453</v>
      </c>
      <c r="BB501" s="66"/>
      <c r="BC501" s="66">
        <v>521735309</v>
      </c>
      <c r="BD501" s="66"/>
      <c r="BE501" s="66">
        <f t="shared" si="417"/>
        <v>36779</v>
      </c>
      <c r="BF501" s="66"/>
      <c r="BG501" s="144">
        <f t="shared" si="418"/>
        <v>9.3477492864459027E-2</v>
      </c>
      <c r="BH501" s="66"/>
      <c r="BI501" s="170"/>
      <c r="BJ501" s="66"/>
      <c r="BK501" s="66">
        <f t="shared" si="419"/>
        <v>5457647</v>
      </c>
      <c r="BL501" s="66"/>
      <c r="BM501" s="144">
        <f t="shared" si="420"/>
        <v>5.8912934456918892E-2</v>
      </c>
      <c r="BN501" s="65">
        <f t="shared" si="421"/>
        <v>1060437.6199186991</v>
      </c>
      <c r="BO501" s="66"/>
      <c r="BP501" s="66">
        <f t="shared" si="422"/>
        <v>33780922</v>
      </c>
      <c r="BQ501" s="66"/>
      <c r="BR501" s="435">
        <f t="shared" si="423"/>
        <v>6.4747241402440717E-2</v>
      </c>
      <c r="BS501" s="66"/>
      <c r="BT501" s="75"/>
      <c r="BU501" s="170"/>
      <c r="BV501" s="1"/>
      <c r="BW501" s="61">
        <f t="shared" si="399"/>
        <v>492</v>
      </c>
    </row>
    <row r="502" spans="2:75" x14ac:dyDescent="0.3">
      <c r="B502" s="347">
        <f t="shared" si="398"/>
        <v>44402</v>
      </c>
      <c r="C502" s="61"/>
      <c r="D502" s="17">
        <v>13818</v>
      </c>
      <c r="E502" s="16"/>
      <c r="F502" s="16"/>
      <c r="G502" s="16"/>
      <c r="H502" s="16">
        <f t="shared" si="400"/>
        <v>34701718</v>
      </c>
      <c r="I502" s="16"/>
      <c r="J502" s="436">
        <f t="shared" si="401"/>
        <v>3.9835216314622676E-4</v>
      </c>
      <c r="K502" s="16"/>
      <c r="L502" s="16"/>
      <c r="M502" s="16"/>
      <c r="N502" s="16">
        <f t="shared" si="402"/>
        <v>313066</v>
      </c>
      <c r="O502" s="16">
        <f t="shared" si="403"/>
        <v>70388.880324543614</v>
      </c>
      <c r="P502" s="41"/>
      <c r="Q502" s="17">
        <f t="shared" si="404"/>
        <v>313066</v>
      </c>
      <c r="R502" s="16"/>
      <c r="S502" s="60">
        <f t="shared" si="405"/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si="406"/>
        <v>1665</v>
      </c>
      <c r="AA502" s="33">
        <f t="shared" si="407"/>
        <v>610759</v>
      </c>
      <c r="AB502" s="33"/>
      <c r="AC502" s="46">
        <f t="shared" si="408"/>
        <v>1.7600252529283995E-2</v>
      </c>
      <c r="AD502" s="33"/>
      <c r="AE502" s="33">
        <f t="shared" si="409"/>
        <v>1238.8620689655172</v>
      </c>
      <c r="AF502" s="50"/>
      <c r="AG502" s="33">
        <f t="shared" si="410"/>
        <v>1802</v>
      </c>
      <c r="AH502" s="33">
        <f>SUM(D473:D973)</f>
        <v>1124743412.060914</v>
      </c>
      <c r="AI502" s="213">
        <f t="shared" si="411"/>
        <v>0.19101123595505617</v>
      </c>
      <c r="AJ502" s="50"/>
      <c r="AK502" s="111"/>
      <c r="AL502" s="23">
        <f t="shared" si="412"/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si="413"/>
        <v>1.6219812416141011E-4</v>
      </c>
      <c r="AS502" s="25"/>
      <c r="AT502" s="25"/>
      <c r="AU502" s="24"/>
      <c r="AV502" s="298">
        <f t="shared" si="414"/>
        <v>0.85044518545162517</v>
      </c>
      <c r="AW502" s="298"/>
      <c r="AX502" s="24">
        <f t="shared" si="415"/>
        <v>59861.884381338743</v>
      </c>
      <c r="AY502" s="308"/>
      <c r="AZ502" s="111"/>
      <c r="BA502" s="65">
        <f t="shared" si="416"/>
        <v>1873647</v>
      </c>
      <c r="BB502" s="66"/>
      <c r="BC502" s="66">
        <v>523608956</v>
      </c>
      <c r="BD502" s="66"/>
      <c r="BE502" s="66">
        <f t="shared" si="417"/>
        <v>13818</v>
      </c>
      <c r="BF502" s="66"/>
      <c r="BG502" s="144">
        <f t="shared" si="418"/>
        <v>7.3749217435301311E-3</v>
      </c>
      <c r="BH502" s="66"/>
      <c r="BI502" s="170"/>
      <c r="BJ502" s="66"/>
      <c r="BK502" s="66">
        <f t="shared" si="419"/>
        <v>6238420</v>
      </c>
      <c r="BL502" s="66"/>
      <c r="BM502" s="144">
        <f t="shared" si="420"/>
        <v>5.0183540063028782E-2</v>
      </c>
      <c r="BN502" s="65">
        <f t="shared" si="421"/>
        <v>1062087.1318458419</v>
      </c>
      <c r="BO502" s="66"/>
      <c r="BP502" s="66">
        <f t="shared" si="422"/>
        <v>33794740</v>
      </c>
      <c r="BQ502" s="66"/>
      <c r="BR502" s="435">
        <f t="shared" si="423"/>
        <v>6.4541944160328685E-2</v>
      </c>
      <c r="BS502" s="66"/>
      <c r="BT502" s="75"/>
      <c r="BU502" s="170"/>
      <c r="BV502" s="1"/>
      <c r="BW502" s="61">
        <f t="shared" si="399"/>
        <v>493</v>
      </c>
    </row>
    <row r="503" spans="2:75" x14ac:dyDescent="0.3">
      <c r="B503" s="158">
        <f t="shared" si="398"/>
        <v>44403</v>
      </c>
      <c r="C503" s="61"/>
      <c r="D503" s="17">
        <v>35816</v>
      </c>
      <c r="E503" s="16"/>
      <c r="F503" s="16"/>
      <c r="G503" s="16"/>
      <c r="H503" s="16">
        <f t="shared" si="400"/>
        <v>34737534</v>
      </c>
      <c r="I503" s="16"/>
      <c r="J503" s="436">
        <f t="shared" si="401"/>
        <v>1.0321102834159393E-3</v>
      </c>
      <c r="K503" s="16"/>
      <c r="L503" s="16"/>
      <c r="M503" s="16"/>
      <c r="N503" s="16">
        <f t="shared" si="402"/>
        <v>316306</v>
      </c>
      <c r="O503" s="16">
        <f t="shared" si="403"/>
        <v>70318.894736842107</v>
      </c>
      <c r="P503" s="41"/>
      <c r="Q503" s="17">
        <f t="shared" si="404"/>
        <v>316306</v>
      </c>
      <c r="R503" s="16"/>
      <c r="S503" s="60">
        <f t="shared" si="405"/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si="406"/>
        <v>1541</v>
      </c>
      <c r="AA503" s="33">
        <f t="shared" si="407"/>
        <v>610891</v>
      </c>
      <c r="AB503" s="33"/>
      <c r="AC503" s="46">
        <f t="shared" si="408"/>
        <v>1.7585905781337272E-2</v>
      </c>
      <c r="AD503" s="33"/>
      <c r="AE503" s="33">
        <f t="shared" si="409"/>
        <v>1236.6214574898786</v>
      </c>
      <c r="AF503" s="50"/>
      <c r="AG503" s="33">
        <f t="shared" si="410"/>
        <v>1797</v>
      </c>
      <c r="AH503" s="33">
        <f>SUM(D474:D974)</f>
        <v>1124736826.060914</v>
      </c>
      <c r="AI503" s="213">
        <f t="shared" si="411"/>
        <v>0.20847343644922664</v>
      </c>
      <c r="AJ503" s="50"/>
      <c r="AK503" s="111"/>
      <c r="AL503" s="23">
        <f t="shared" si="412"/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si="413"/>
        <v>1.2387880431591193E-3</v>
      </c>
      <c r="AS503" s="25"/>
      <c r="AT503" s="25"/>
      <c r="AU503" s="24"/>
      <c r="AV503" s="298">
        <f t="shared" si="414"/>
        <v>0.85062077233231348</v>
      </c>
      <c r="AW503" s="298"/>
      <c r="AX503" s="24">
        <f t="shared" si="415"/>
        <v>59814.712550607284</v>
      </c>
      <c r="AY503" s="308"/>
      <c r="AZ503" s="111"/>
      <c r="BA503" s="65">
        <f t="shared" si="416"/>
        <v>2374930</v>
      </c>
      <c r="BB503" s="66"/>
      <c r="BC503" s="66">
        <v>525983886</v>
      </c>
      <c r="BD503" s="66"/>
      <c r="BE503" s="66">
        <f t="shared" si="417"/>
        <v>35816</v>
      </c>
      <c r="BF503" s="66"/>
      <c r="BG503" s="144">
        <f t="shared" si="418"/>
        <v>1.5080865541300165E-2</v>
      </c>
      <c r="BH503" s="66"/>
      <c r="BI503" s="170"/>
      <c r="BJ503" s="66"/>
      <c r="BK503" s="66">
        <f t="shared" si="419"/>
        <v>7998724</v>
      </c>
      <c r="BL503" s="66"/>
      <c r="BM503" s="144">
        <f t="shared" si="420"/>
        <v>3.9544557356898428E-2</v>
      </c>
      <c r="BN503" s="65">
        <f t="shared" si="421"/>
        <v>1064744.7085020242</v>
      </c>
      <c r="BO503" s="66"/>
      <c r="BP503" s="66">
        <f t="shared" si="422"/>
        <v>33830556</v>
      </c>
      <c r="BQ503" s="66"/>
      <c r="BR503" s="435">
        <f t="shared" si="423"/>
        <v>6.4318616787435196E-2</v>
      </c>
      <c r="BS503" s="66"/>
      <c r="BT503" s="75"/>
      <c r="BU503" s="170"/>
      <c r="BV503" s="1"/>
      <c r="BW503" s="61">
        <f t="shared" si="399"/>
        <v>494</v>
      </c>
    </row>
    <row r="504" spans="2:75" x14ac:dyDescent="0.3">
      <c r="B504" s="158">
        <f t="shared" si="398"/>
        <v>44404</v>
      </c>
      <c r="C504" s="61"/>
      <c r="D504" s="17">
        <v>61581</v>
      </c>
      <c r="E504" s="16"/>
      <c r="F504" s="16"/>
      <c r="G504" s="16"/>
      <c r="H504" s="16">
        <f t="shared" ref="H504:H535" si="424">+H503+D504</f>
        <v>34799115</v>
      </c>
      <c r="I504" s="16"/>
      <c r="J504" s="436">
        <f t="shared" ref="J504:J535" si="425">+D504/H503</f>
        <v>1.7727510536585584E-3</v>
      </c>
      <c r="K504" s="16"/>
      <c r="L504" s="16"/>
      <c r="M504" s="16"/>
      <c r="N504" s="16">
        <f t="shared" ref="N504:N535" si="426">SUM(D498:D504)</f>
        <v>333655</v>
      </c>
      <c r="O504" s="16">
        <f t="shared" ref="O504:O535" si="427">+H504/BW504</f>
        <v>70301.242424242431</v>
      </c>
      <c r="P504" s="41"/>
      <c r="Q504" s="17">
        <f t="shared" ref="Q504:Q535" si="428">SUM(D498:D504)</f>
        <v>333655</v>
      </c>
      <c r="R504" s="16"/>
      <c r="S504" s="60">
        <f t="shared" ref="S504:S535" si="429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:Z535" si="430">SUM(W499:W504)</f>
        <v>1464</v>
      </c>
      <c r="AA504" s="33">
        <f t="shared" ref="AA504:AA535" si="431">+AA503+W504</f>
        <v>611230</v>
      </c>
      <c r="AB504" s="33"/>
      <c r="AC504" s="46">
        <f t="shared" ref="AC504:AC535" si="432">+AA504/H504</f>
        <v>1.7564527143865583E-2</v>
      </c>
      <c r="AD504" s="33"/>
      <c r="AE504" s="33">
        <f t="shared" ref="AE504:AE535" si="433">+AA504/BW504</f>
        <v>1234.8080808080808</v>
      </c>
      <c r="AF504" s="50"/>
      <c r="AG504" s="33">
        <f t="shared" ref="AG504:AG535" si="434">SUM(W498:W504)</f>
        <v>1880</v>
      </c>
      <c r="AH504" s="33">
        <f>SUM(D475:D975)</f>
        <v>1124729520.060914</v>
      </c>
      <c r="AI504" s="213">
        <f t="shared" ref="AI504:AI535" si="435">+(AG504-AG497)/AG497</f>
        <v>0.19592875318066158</v>
      </c>
      <c r="AJ504" s="50"/>
      <c r="AK504" s="111"/>
      <c r="AL504" s="23">
        <f t="shared" ref="AL504:AL535" si="436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:AR535" si="437">+AL504/AP503</f>
        <v>7.7723149640109934E-4</v>
      </c>
      <c r="AS504" s="25"/>
      <c r="AT504" s="25"/>
      <c r="AU504" s="24"/>
      <c r="AV504" s="298">
        <f t="shared" ref="AV504:AV535" si="438">+AP504/H504</f>
        <v>0.84977546124377012</v>
      </c>
      <c r="AW504" s="298"/>
      <c r="AX504" s="24">
        <f t="shared" ref="AX504:AX535" si="439">+AP504/BW504</f>
        <v>59740.270707070704</v>
      </c>
      <c r="AY504" s="308"/>
      <c r="AZ504" s="111"/>
      <c r="BA504" s="65">
        <f t="shared" ref="BA504:BA535" si="440">+BC504-BC503</f>
        <v>892346</v>
      </c>
      <c r="BB504" s="66"/>
      <c r="BC504" s="66">
        <v>526876232</v>
      </c>
      <c r="BD504" s="66"/>
      <c r="BE504" s="66">
        <f t="shared" ref="BE504:BE535" si="441">+D504</f>
        <v>61581</v>
      </c>
      <c r="BF504" s="66"/>
      <c r="BG504" s="144">
        <f t="shared" ref="BG504:BG535" si="442">+BE504/BA504</f>
        <v>6.9010226974738492E-2</v>
      </c>
      <c r="BH504" s="66"/>
      <c r="BI504" s="170"/>
      <c r="BJ504" s="66"/>
      <c r="BK504" s="66">
        <f t="shared" ref="BK504:BK535" si="443">SUM(BA498:BA504)</f>
        <v>8218001</v>
      </c>
      <c r="BL504" s="66"/>
      <c r="BM504" s="144">
        <f t="shared" ref="BM504:BM535" si="444">+Q504/BK504</f>
        <v>4.060050613281746E-2</v>
      </c>
      <c r="BN504" s="65">
        <f t="shared" ref="BN504:BN535" si="445">+BC504/BW504</f>
        <v>1064396.4282828283</v>
      </c>
      <c r="BO504" s="66"/>
      <c r="BP504" s="66">
        <f t="shared" ref="BP504:BP535" si="446">+BP503+BE504</f>
        <v>33892137</v>
      </c>
      <c r="BQ504" s="66"/>
      <c r="BR504" s="435">
        <f t="shared" ref="BR504:BR535" si="447">+BP504/BC504</f>
        <v>6.4326562751458483E-2</v>
      </c>
      <c r="BS504" s="66"/>
      <c r="BT504" s="75"/>
      <c r="BU504" s="170"/>
      <c r="BV504" s="1"/>
      <c r="BW504" s="61">
        <f t="shared" si="399"/>
        <v>495</v>
      </c>
    </row>
    <row r="505" spans="2:75" x14ac:dyDescent="0.3">
      <c r="B505" s="158">
        <f t="shared" si="398"/>
        <v>44405</v>
      </c>
      <c r="C505" s="61"/>
      <c r="D505" s="17">
        <v>84534</v>
      </c>
      <c r="E505" s="16"/>
      <c r="F505" s="16"/>
      <c r="G505" s="16"/>
      <c r="H505" s="16">
        <f t="shared" si="424"/>
        <v>34883649</v>
      </c>
      <c r="I505" s="16"/>
      <c r="J505" s="436">
        <f t="shared" si="425"/>
        <v>2.4291997080960249E-3</v>
      </c>
      <c r="K505" s="16"/>
      <c r="L505" s="16"/>
      <c r="M505" s="16"/>
      <c r="N505" s="16">
        <f t="shared" si="426"/>
        <v>361664</v>
      </c>
      <c r="O505" s="16">
        <f t="shared" si="427"/>
        <v>70329.9375</v>
      </c>
      <c r="P505" s="41"/>
      <c r="Q505" s="17">
        <f t="shared" si="428"/>
        <v>361664</v>
      </c>
      <c r="R505" s="16"/>
      <c r="S505" s="60">
        <f t="shared" si="429"/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si="430"/>
        <v>1582</v>
      </c>
      <c r="AA505" s="33">
        <f t="shared" si="431"/>
        <v>611713</v>
      </c>
      <c r="AB505" s="33"/>
      <c r="AC505" s="46">
        <f t="shared" si="432"/>
        <v>1.7535808825504463E-2</v>
      </c>
      <c r="AD505" s="33"/>
      <c r="AE505" s="33">
        <f t="shared" si="433"/>
        <v>1233.2923387096773</v>
      </c>
      <c r="AF505" s="50"/>
      <c r="AG505" s="33">
        <f t="shared" si="434"/>
        <v>1947</v>
      </c>
      <c r="AH505" s="33">
        <f>SUM(D476:D976)</f>
        <v>1124717538.060914</v>
      </c>
      <c r="AI505" s="213">
        <f t="shared" si="435"/>
        <v>0.18647166361974407</v>
      </c>
      <c r="AJ505" s="50"/>
      <c r="AK505" s="111"/>
      <c r="AL505" s="23">
        <f t="shared" si="436"/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si="437"/>
        <v>1.0998452087240679E-3</v>
      </c>
      <c r="AS505" s="25"/>
      <c r="AT505" s="25"/>
      <c r="AU505" s="24"/>
      <c r="AV505" s="298">
        <f t="shared" si="438"/>
        <v>0.84864854591330163</v>
      </c>
      <c r="AW505" s="298"/>
      <c r="AX505" s="24">
        <f t="shared" si="439"/>
        <v>59685.399193548386</v>
      </c>
      <c r="AY505" s="308"/>
      <c r="AZ505" s="111"/>
      <c r="BA505" s="65">
        <f t="shared" si="440"/>
        <v>204920</v>
      </c>
      <c r="BB505" s="66"/>
      <c r="BC505" s="66">
        <v>527081152</v>
      </c>
      <c r="BD505" s="66"/>
      <c r="BE505" s="66">
        <f t="shared" si="441"/>
        <v>84534</v>
      </c>
      <c r="BF505" s="66"/>
      <c r="BG505" s="144">
        <f t="shared" si="442"/>
        <v>0.41252195978918604</v>
      </c>
      <c r="BH505" s="66"/>
      <c r="BI505" s="170"/>
      <c r="BJ505" s="66"/>
      <c r="BK505" s="66">
        <f t="shared" si="443"/>
        <v>7600901</v>
      </c>
      <c r="BL505" s="66"/>
      <c r="BM505" s="144">
        <f t="shared" si="444"/>
        <v>4.7581727482044561E-2</v>
      </c>
      <c r="BN505" s="65">
        <f t="shared" si="445"/>
        <v>1062663.6129032257</v>
      </c>
      <c r="BO505" s="66"/>
      <c r="BP505" s="66">
        <f t="shared" si="446"/>
        <v>33976671</v>
      </c>
      <c r="BQ505" s="66"/>
      <c r="BR505" s="435">
        <f t="shared" si="447"/>
        <v>6.4461935075986174E-2</v>
      </c>
      <c r="BS505" s="66"/>
      <c r="BT505" s="75"/>
      <c r="BU505" s="170"/>
      <c r="BV505" s="1"/>
      <c r="BW505" s="61">
        <f t="shared" si="399"/>
        <v>496</v>
      </c>
    </row>
    <row r="506" spans="2:75" x14ac:dyDescent="0.3">
      <c r="B506" s="158">
        <f t="shared" si="398"/>
        <v>44406</v>
      </c>
      <c r="C506" s="61"/>
      <c r="D506" s="17">
        <v>84513</v>
      </c>
      <c r="E506" s="16"/>
      <c r="F506" s="16"/>
      <c r="G506" s="16"/>
      <c r="H506" s="16">
        <f t="shared" si="424"/>
        <v>34968162</v>
      </c>
      <c r="I506" s="16"/>
      <c r="J506" s="436">
        <f t="shared" si="425"/>
        <v>2.422710995630073E-3</v>
      </c>
      <c r="K506" s="16"/>
      <c r="L506" s="16"/>
      <c r="M506" s="16"/>
      <c r="N506" s="16">
        <f t="shared" si="426"/>
        <v>384526</v>
      </c>
      <c r="O506" s="16">
        <f t="shared" si="427"/>
        <v>70358.474849094564</v>
      </c>
      <c r="P506" s="41"/>
      <c r="Q506" s="17">
        <f t="shared" si="428"/>
        <v>384526</v>
      </c>
      <c r="R506" s="16"/>
      <c r="S506" s="60">
        <f t="shared" si="429"/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si="430"/>
        <v>1639</v>
      </c>
      <c r="AA506" s="33">
        <f t="shared" si="431"/>
        <v>612198</v>
      </c>
      <c r="AB506" s="33"/>
      <c r="AC506" s="46">
        <f t="shared" si="432"/>
        <v>1.7507297066400002E-2</v>
      </c>
      <c r="AD506" s="33"/>
      <c r="AE506" s="33">
        <f t="shared" si="433"/>
        <v>1231.7867203219316</v>
      </c>
      <c r="AF506" s="50"/>
      <c r="AG506" s="33">
        <f t="shared" si="434"/>
        <v>2067</v>
      </c>
      <c r="AH506" s="33">
        <f>SUM(D477:D977)</f>
        <v>1124706111.060914</v>
      </c>
      <c r="AI506" s="213">
        <f t="shared" si="435"/>
        <v>0.24368231046931407</v>
      </c>
      <c r="AJ506" s="50"/>
      <c r="AK506" s="111" t="s">
        <v>26</v>
      </c>
      <c r="AL506" s="23">
        <f t="shared" si="436"/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si="437"/>
        <v>1.5552650088207799E-3</v>
      </c>
      <c r="AS506" s="25"/>
      <c r="AT506" s="25"/>
      <c r="AU506" s="24"/>
      <c r="AV506" s="298">
        <f t="shared" si="438"/>
        <v>0.84791416832260158</v>
      </c>
      <c r="AW506" s="298"/>
      <c r="AX506" s="24">
        <f t="shared" si="439"/>
        <v>59657.947686116699</v>
      </c>
      <c r="AY506" s="308"/>
      <c r="AZ506" s="111" t="s">
        <v>26</v>
      </c>
      <c r="BA506" s="65">
        <f t="shared" si="440"/>
        <v>218848</v>
      </c>
      <c r="BB506" s="66"/>
      <c r="BC506" s="66">
        <v>527300000</v>
      </c>
      <c r="BD506" s="66"/>
      <c r="BE506" s="66">
        <f t="shared" si="441"/>
        <v>84513</v>
      </c>
      <c r="BF506" s="66"/>
      <c r="BG506" s="144">
        <f t="shared" si="442"/>
        <v>0.38617213773943559</v>
      </c>
      <c r="BH506" s="66"/>
      <c r="BI506" s="170"/>
      <c r="BJ506" s="66"/>
      <c r="BK506" s="66">
        <f t="shared" si="443"/>
        <v>6888512</v>
      </c>
      <c r="BL506" s="66"/>
      <c r="BM506" s="144">
        <f t="shared" si="444"/>
        <v>5.5821344290319881E-2</v>
      </c>
      <c r="BN506" s="65">
        <f t="shared" si="445"/>
        <v>1060965.7947686117</v>
      </c>
      <c r="BO506" s="66"/>
      <c r="BP506" s="66">
        <f t="shared" si="446"/>
        <v>34061184</v>
      </c>
      <c r="BQ506" s="66"/>
      <c r="BR506" s="435">
        <f t="shared" si="447"/>
        <v>6.4595456097098422E-2</v>
      </c>
      <c r="BS506" s="66"/>
      <c r="BT506" s="75"/>
      <c r="BU506" s="170"/>
      <c r="BV506" s="1"/>
      <c r="BW506" s="61">
        <f t="shared" si="399"/>
        <v>497</v>
      </c>
    </row>
    <row r="507" spans="2:75" x14ac:dyDescent="0.3">
      <c r="B507" s="158">
        <f t="shared" si="398"/>
        <v>44407</v>
      </c>
      <c r="C507" s="61"/>
      <c r="D507" s="17">
        <v>101098</v>
      </c>
      <c r="E507" s="16"/>
      <c r="F507" s="16"/>
      <c r="G507" s="16"/>
      <c r="H507" s="16">
        <f t="shared" si="424"/>
        <v>35069260</v>
      </c>
      <c r="I507" s="16"/>
      <c r="J507" s="436">
        <f t="shared" si="425"/>
        <v>2.8911442357193382E-3</v>
      </c>
      <c r="K507" s="16"/>
      <c r="L507" s="16"/>
      <c r="M507" s="16"/>
      <c r="N507" s="16">
        <f t="shared" si="426"/>
        <v>418139</v>
      </c>
      <c r="O507" s="16">
        <f t="shared" si="427"/>
        <v>70420.200803212851</v>
      </c>
      <c r="P507" s="41"/>
      <c r="Q507" s="17">
        <f t="shared" si="428"/>
        <v>418139</v>
      </c>
      <c r="R507" s="16"/>
      <c r="S507" s="60">
        <f t="shared" si="429"/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si="430"/>
        <v>1917</v>
      </c>
      <c r="AA507" s="33">
        <f t="shared" si="431"/>
        <v>612627</v>
      </c>
      <c r="AB507" s="33"/>
      <c r="AC507" s="46">
        <f t="shared" si="432"/>
        <v>1.7469059797668957E-2</v>
      </c>
      <c r="AD507" s="33"/>
      <c r="AE507" s="33">
        <f t="shared" si="433"/>
        <v>1230.1746987951808</v>
      </c>
      <c r="AF507" s="50"/>
      <c r="AG507" s="33">
        <f t="shared" si="434"/>
        <v>2068</v>
      </c>
      <c r="AH507" s="33">
        <f>SUM(D478:D978)</f>
        <v>1124691914.060914</v>
      </c>
      <c r="AI507" s="213">
        <f t="shared" si="435"/>
        <v>0.15080690038953812</v>
      </c>
      <c r="AJ507" s="50"/>
      <c r="AK507" s="111" t="s">
        <v>26</v>
      </c>
      <c r="AL507" s="23">
        <f t="shared" si="436"/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si="437"/>
        <v>6.8735244519392918E-5</v>
      </c>
      <c r="AS507" s="25"/>
      <c r="AT507" s="25"/>
      <c r="AU507" s="24"/>
      <c r="AV507" s="298">
        <f t="shared" si="438"/>
        <v>0.84552790677647605</v>
      </c>
      <c r="AW507" s="298"/>
      <c r="AX507" s="24">
        <f t="shared" si="439"/>
        <v>59542.244979919677</v>
      </c>
      <c r="AY507" s="308"/>
      <c r="AZ507" s="111" t="s">
        <v>26</v>
      </c>
      <c r="BA507" s="65">
        <f t="shared" si="440"/>
        <v>1878910</v>
      </c>
      <c r="BB507" s="66"/>
      <c r="BC507" s="66">
        <v>529178910</v>
      </c>
      <c r="BD507" s="66"/>
      <c r="BE507" s="66">
        <f t="shared" si="441"/>
        <v>101098</v>
      </c>
      <c r="BF507" s="66"/>
      <c r="BG507" s="144">
        <f t="shared" si="442"/>
        <v>5.3806728369107618E-2</v>
      </c>
      <c r="BH507" s="66"/>
      <c r="BI507" s="170"/>
      <c r="BJ507" s="66"/>
      <c r="BK507" s="66">
        <f t="shared" si="443"/>
        <v>7837054</v>
      </c>
      <c r="BL507" s="66"/>
      <c r="BM507" s="144">
        <f t="shared" si="444"/>
        <v>5.3354104743950977E-2</v>
      </c>
      <c r="BN507" s="65">
        <f t="shared" si="445"/>
        <v>1062608.2530120481</v>
      </c>
      <c r="BO507" s="66"/>
      <c r="BP507" s="66">
        <f t="shared" si="446"/>
        <v>34162282</v>
      </c>
      <c r="BQ507" s="66"/>
      <c r="BR507" s="435">
        <f t="shared" si="447"/>
        <v>6.4557149490330215E-2</v>
      </c>
      <c r="BS507" s="66"/>
      <c r="BT507" s="75"/>
      <c r="BU507" s="170"/>
      <c r="BV507" s="1"/>
      <c r="BW507" s="61">
        <f t="shared" si="399"/>
        <v>498</v>
      </c>
    </row>
    <row r="508" spans="2:75" x14ac:dyDescent="0.3">
      <c r="B508" s="158">
        <f t="shared" si="398"/>
        <v>44408</v>
      </c>
      <c r="C508" s="61"/>
      <c r="D508" s="17">
        <v>51898</v>
      </c>
      <c r="E508" s="16"/>
      <c r="F508" s="16"/>
      <c r="G508" s="16"/>
      <c r="H508" s="16">
        <f t="shared" si="424"/>
        <v>35121158</v>
      </c>
      <c r="I508" s="16"/>
      <c r="J508" s="436">
        <f t="shared" si="425"/>
        <v>1.4798715456214361E-3</v>
      </c>
      <c r="K508" s="16"/>
      <c r="L508" s="16"/>
      <c r="M508" s="16"/>
      <c r="N508" s="16">
        <f t="shared" si="426"/>
        <v>433258</v>
      </c>
      <c r="O508" s="16">
        <f t="shared" si="427"/>
        <v>70383.082164328662</v>
      </c>
      <c r="P508" s="41"/>
      <c r="Q508" s="17">
        <f t="shared" si="428"/>
        <v>433258</v>
      </c>
      <c r="R508" s="16"/>
      <c r="S508" s="60">
        <f t="shared" si="429"/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si="430"/>
        <v>2109</v>
      </c>
      <c r="AA508" s="33">
        <f t="shared" si="431"/>
        <v>612868</v>
      </c>
      <c r="AB508" s="33"/>
      <c r="AC508" s="46">
        <f t="shared" si="432"/>
        <v>1.7450107994730697E-2</v>
      </c>
      <c r="AD508" s="33"/>
      <c r="AE508" s="33">
        <f t="shared" si="433"/>
        <v>1228.1923847695391</v>
      </c>
      <c r="AF508" s="50"/>
      <c r="AG508" s="33">
        <f t="shared" si="434"/>
        <v>2158</v>
      </c>
      <c r="AH508" s="33">
        <f>SUM(D479:D979)</f>
        <v>1124674965.060914</v>
      </c>
      <c r="AI508" s="213">
        <f t="shared" si="435"/>
        <v>0.17602179836512261</v>
      </c>
      <c r="AJ508" s="50"/>
      <c r="AK508" s="111"/>
      <c r="AL508" s="23">
        <f t="shared" si="436"/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si="437"/>
        <v>4.7480716165276734E-4</v>
      </c>
      <c r="AS508" s="25"/>
      <c r="AT508" s="25"/>
      <c r="AU508" s="24"/>
      <c r="AV508" s="298">
        <f t="shared" si="438"/>
        <v>0.84467935254298843</v>
      </c>
      <c r="AW508" s="298"/>
      <c r="AX508" s="24">
        <f t="shared" si="439"/>
        <v>59451.136272545089</v>
      </c>
      <c r="AY508" s="308"/>
      <c r="AZ508" s="111"/>
      <c r="BA508" s="65">
        <f t="shared" si="440"/>
        <v>500910</v>
      </c>
      <c r="BB508" s="66"/>
      <c r="BC508" s="66">
        <v>529679820</v>
      </c>
      <c r="BD508" s="66"/>
      <c r="BE508" s="66">
        <f t="shared" si="441"/>
        <v>51898</v>
      </c>
      <c r="BF508" s="66"/>
      <c r="BG508" s="144">
        <f t="shared" si="442"/>
        <v>0.10360743446926593</v>
      </c>
      <c r="BH508" s="66"/>
      <c r="BI508" s="170"/>
      <c r="BJ508" s="66"/>
      <c r="BK508" s="66">
        <f t="shared" si="443"/>
        <v>7944511</v>
      </c>
      <c r="BL508" s="66"/>
      <c r="BM508" s="144">
        <f t="shared" si="444"/>
        <v>5.4535515150019934E-2</v>
      </c>
      <c r="BN508" s="65">
        <f t="shared" si="445"/>
        <v>1061482.6052104209</v>
      </c>
      <c r="BO508" s="66"/>
      <c r="BP508" s="66">
        <f t="shared" si="446"/>
        <v>34214180</v>
      </c>
      <c r="BQ508" s="66"/>
      <c r="BR508" s="435">
        <f t="shared" si="447"/>
        <v>6.4594078739869679E-2</v>
      </c>
      <c r="BS508" s="66"/>
      <c r="BT508" s="75"/>
      <c r="BU508" s="170"/>
      <c r="BV508" s="1"/>
      <c r="BW508" s="61">
        <f t="shared" si="399"/>
        <v>499</v>
      </c>
    </row>
    <row r="509" spans="2:75" x14ac:dyDescent="0.3">
      <c r="B509" s="347">
        <f t="shared" si="398"/>
        <v>44409</v>
      </c>
      <c r="C509" s="61"/>
      <c r="D509" s="17">
        <v>21768</v>
      </c>
      <c r="E509" s="16"/>
      <c r="F509" s="16"/>
      <c r="G509" s="16"/>
      <c r="H509" s="16">
        <f t="shared" si="424"/>
        <v>35142926</v>
      </c>
      <c r="I509" s="16"/>
      <c r="J509" s="436">
        <f t="shared" si="425"/>
        <v>6.1979733128389447E-4</v>
      </c>
      <c r="K509" s="16"/>
      <c r="L509" s="16"/>
      <c r="M509" s="16"/>
      <c r="N509" s="16">
        <f t="shared" si="426"/>
        <v>441208</v>
      </c>
      <c r="O509" s="16">
        <f t="shared" si="427"/>
        <v>70285.851999999999</v>
      </c>
      <c r="P509" s="41"/>
      <c r="Q509" s="17">
        <f t="shared" si="428"/>
        <v>441208</v>
      </c>
      <c r="R509" s="16"/>
      <c r="S509" s="60">
        <f t="shared" si="429"/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si="430"/>
        <v>2041</v>
      </c>
      <c r="AA509" s="33">
        <f t="shared" si="431"/>
        <v>612932</v>
      </c>
      <c r="AB509" s="33"/>
      <c r="AC509" s="46">
        <f t="shared" si="432"/>
        <v>1.7441120298292749E-2</v>
      </c>
      <c r="AD509" s="33"/>
      <c r="AE509" s="33">
        <f t="shared" si="433"/>
        <v>1225.864</v>
      </c>
      <c r="AF509" s="50"/>
      <c r="AG509" s="33">
        <f t="shared" si="434"/>
        <v>2173</v>
      </c>
      <c r="AH509" s="33">
        <f>SUM(D480:D980)</f>
        <v>1124656566.060914</v>
      </c>
      <c r="AI509" s="213">
        <f t="shared" si="435"/>
        <v>0.20588235294117646</v>
      </c>
      <c r="AJ509" s="50"/>
      <c r="AK509" s="111"/>
      <c r="AL509" s="23">
        <f t="shared" si="436"/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si="437"/>
        <v>2.4179099677925492E-4</v>
      </c>
      <c r="AS509" s="25"/>
      <c r="AT509" s="25"/>
      <c r="AU509" s="24"/>
      <c r="AV509" s="298">
        <f t="shared" si="438"/>
        <v>0.84436025617218102</v>
      </c>
      <c r="AW509" s="298"/>
      <c r="AX509" s="24">
        <f t="shared" si="439"/>
        <v>59346.58</v>
      </c>
      <c r="AY509" s="308"/>
      <c r="AZ509" s="111"/>
      <c r="BA509" s="65">
        <f t="shared" si="440"/>
        <v>238229</v>
      </c>
      <c r="BB509" s="66"/>
      <c r="BC509" s="66">
        <v>529918049</v>
      </c>
      <c r="BD509" s="66"/>
      <c r="BE509" s="66">
        <f t="shared" si="441"/>
        <v>21768</v>
      </c>
      <c r="BF509" s="66"/>
      <c r="BG509" s="144">
        <f t="shared" si="442"/>
        <v>9.1374265937396365E-2</v>
      </c>
      <c r="BH509" s="66"/>
      <c r="BI509" s="170"/>
      <c r="BJ509" s="66"/>
      <c r="BK509" s="66">
        <f t="shared" si="443"/>
        <v>6309093</v>
      </c>
      <c r="BL509" s="66"/>
      <c r="BM509" s="144">
        <f t="shared" si="444"/>
        <v>6.9932080570059757E-2</v>
      </c>
      <c r="BN509" s="65">
        <f t="shared" si="445"/>
        <v>1059836.098</v>
      </c>
      <c r="BO509" s="66"/>
      <c r="BP509" s="66">
        <f t="shared" si="446"/>
        <v>34235948</v>
      </c>
      <c r="BQ509" s="66"/>
      <c r="BR509" s="435">
        <f t="shared" si="447"/>
        <v>6.4606117992406786E-2</v>
      </c>
      <c r="BS509" s="66"/>
      <c r="BT509" s="75"/>
      <c r="BU509" s="170"/>
      <c r="BV509" s="1"/>
      <c r="BW509" s="61">
        <f t="shared" si="399"/>
        <v>500</v>
      </c>
    </row>
    <row r="510" spans="2:75" x14ac:dyDescent="0.3">
      <c r="B510" s="158">
        <f t="shared" si="398"/>
        <v>44410</v>
      </c>
      <c r="C510" s="61"/>
      <c r="D510" s="17">
        <v>56369</v>
      </c>
      <c r="E510" s="16"/>
      <c r="F510" s="16"/>
      <c r="G510" s="16"/>
      <c r="H510" s="16">
        <f t="shared" si="424"/>
        <v>35199295</v>
      </c>
      <c r="I510" s="16"/>
      <c r="J510" s="436">
        <f t="shared" si="425"/>
        <v>1.6039927921767242E-3</v>
      </c>
      <c r="K510" s="16"/>
      <c r="L510" s="16"/>
      <c r="M510" s="16"/>
      <c r="N510" s="16">
        <f t="shared" si="426"/>
        <v>461761</v>
      </c>
      <c r="O510" s="16">
        <f t="shared" si="427"/>
        <v>70258.073852295405</v>
      </c>
      <c r="P510" s="41"/>
      <c r="Q510" s="17">
        <f t="shared" si="428"/>
        <v>461761</v>
      </c>
      <c r="R510" s="16"/>
      <c r="S510" s="60">
        <f t="shared" si="429"/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si="430"/>
        <v>1915</v>
      </c>
      <c r="AA510" s="33">
        <f t="shared" si="431"/>
        <v>613145</v>
      </c>
      <c r="AB510" s="33"/>
      <c r="AC510" s="46">
        <f t="shared" si="432"/>
        <v>1.7419240925137847E-2</v>
      </c>
      <c r="AD510" s="33"/>
      <c r="AE510" s="33">
        <f t="shared" si="433"/>
        <v>1223.8423153692615</v>
      </c>
      <c r="AF510" s="50"/>
      <c r="AG510" s="33">
        <f t="shared" si="434"/>
        <v>2254</v>
      </c>
      <c r="AH510" s="33">
        <f>SUM(D481:D981)</f>
        <v>1124648588.060914</v>
      </c>
      <c r="AI510" s="213">
        <f t="shared" si="435"/>
        <v>0.25431274346132443</v>
      </c>
      <c r="AJ510" s="50"/>
      <c r="AK510" s="111"/>
      <c r="AL510" s="23">
        <f t="shared" si="436"/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si="437"/>
        <v>1.4911390007646607E-3</v>
      </c>
      <c r="AS510" s="25"/>
      <c r="AT510" s="25"/>
      <c r="AU510" s="24"/>
      <c r="AV510" s="298">
        <f t="shared" si="438"/>
        <v>0.84426511951446759</v>
      </c>
      <c r="AW510" s="298"/>
      <c r="AX510" s="24">
        <f t="shared" si="439"/>
        <v>59316.441117764472</v>
      </c>
      <c r="AY510" s="308"/>
      <c r="AZ510" s="111"/>
      <c r="BA510" s="65">
        <f t="shared" si="440"/>
        <v>2223019</v>
      </c>
      <c r="BB510" s="66"/>
      <c r="BC510" s="66">
        <v>532141068</v>
      </c>
      <c r="BD510" s="66"/>
      <c r="BE510" s="66">
        <f t="shared" si="441"/>
        <v>56369</v>
      </c>
      <c r="BF510" s="66"/>
      <c r="BG510" s="144">
        <f t="shared" si="442"/>
        <v>2.5356958262614939E-2</v>
      </c>
      <c r="BH510" s="66"/>
      <c r="BI510" s="170"/>
      <c r="BJ510" s="66"/>
      <c r="BK510" s="66">
        <f t="shared" si="443"/>
        <v>6157182</v>
      </c>
      <c r="BL510" s="66"/>
      <c r="BM510" s="144">
        <f t="shared" si="444"/>
        <v>7.4995509309291164E-2</v>
      </c>
      <c r="BN510" s="65">
        <f t="shared" si="445"/>
        <v>1062157.8203592815</v>
      </c>
      <c r="BO510" s="66"/>
      <c r="BP510" s="66">
        <f t="shared" si="446"/>
        <v>34292317</v>
      </c>
      <c r="BQ510" s="66"/>
      <c r="BR510" s="435">
        <f t="shared" si="447"/>
        <v>6.4442154650616063E-2</v>
      </c>
      <c r="BS510" s="66"/>
      <c r="BT510" s="75"/>
      <c r="BU510" s="170"/>
      <c r="BV510" s="1"/>
      <c r="BW510" s="61">
        <f t="shared" si="399"/>
        <v>501</v>
      </c>
    </row>
    <row r="511" spans="2:75" x14ac:dyDescent="0.3">
      <c r="B511" s="158">
        <f t="shared" si="398"/>
        <v>44411</v>
      </c>
      <c r="C511" s="61"/>
      <c r="D511" s="17">
        <v>104758</v>
      </c>
      <c r="E511" s="16"/>
      <c r="F511" s="16"/>
      <c r="G511" s="16"/>
      <c r="H511" s="16">
        <f t="shared" si="424"/>
        <v>35304053</v>
      </c>
      <c r="I511" s="16"/>
      <c r="J511" s="436">
        <f t="shared" si="425"/>
        <v>2.9761391527870088E-3</v>
      </c>
      <c r="K511" s="16"/>
      <c r="L511" s="16"/>
      <c r="M511" s="16"/>
      <c r="N511" s="16">
        <f t="shared" si="426"/>
        <v>504938</v>
      </c>
      <c r="O511" s="16">
        <f t="shared" si="427"/>
        <v>70326.798804780876</v>
      </c>
      <c r="P511" s="41"/>
      <c r="Q511" s="17">
        <f t="shared" si="428"/>
        <v>504938</v>
      </c>
      <c r="R511" s="16"/>
      <c r="S511" s="60">
        <f t="shared" si="429"/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si="430"/>
        <v>1948</v>
      </c>
      <c r="AA511" s="33">
        <f t="shared" si="431"/>
        <v>613661</v>
      </c>
      <c r="AB511" s="33"/>
      <c r="AC511" s="46">
        <f t="shared" si="432"/>
        <v>1.7382168557247519E-2</v>
      </c>
      <c r="AD511" s="33"/>
      <c r="AE511" s="33">
        <f t="shared" si="433"/>
        <v>1222.4322709163346</v>
      </c>
      <c r="AF511" s="50"/>
      <c r="AG511" s="33">
        <f t="shared" si="434"/>
        <v>2431</v>
      </c>
      <c r="AH511" s="33">
        <f>SUM(D482:D982)</f>
        <v>1124642839.060914</v>
      </c>
      <c r="AI511" s="213">
        <f t="shared" si="435"/>
        <v>0.29308510638297874</v>
      </c>
      <c r="AJ511" s="50"/>
      <c r="AK511" s="111"/>
      <c r="AL511" s="23">
        <f t="shared" si="436"/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si="437"/>
        <v>1.3140052622799797E-3</v>
      </c>
      <c r="AS511" s="25"/>
      <c r="AT511" s="25"/>
      <c r="AU511" s="24"/>
      <c r="AV511" s="298">
        <f t="shared" si="438"/>
        <v>0.84286600181571225</v>
      </c>
      <c r="AW511" s="298"/>
      <c r="AX511" s="24">
        <f t="shared" si="439"/>
        <v>59276.067729083668</v>
      </c>
      <c r="AY511" s="308"/>
      <c r="AZ511" s="111"/>
      <c r="BA511" s="65">
        <f t="shared" si="440"/>
        <v>7084250</v>
      </c>
      <c r="BB511" s="66"/>
      <c r="BC511" s="66">
        <v>539225318</v>
      </c>
      <c r="BD511" s="66"/>
      <c r="BE511" s="66">
        <f t="shared" si="441"/>
        <v>104758</v>
      </c>
      <c r="BF511" s="66"/>
      <c r="BG511" s="144">
        <f t="shared" si="442"/>
        <v>1.4787451035748314E-2</v>
      </c>
      <c r="BH511" s="66"/>
      <c r="BI511" s="170"/>
      <c r="BJ511" s="66"/>
      <c r="BK511" s="66">
        <f t="shared" si="443"/>
        <v>12349086</v>
      </c>
      <c r="BL511" s="66"/>
      <c r="BM511" s="144">
        <f t="shared" si="444"/>
        <v>4.0888694110641062E-2</v>
      </c>
      <c r="BN511" s="65">
        <f t="shared" si="445"/>
        <v>1074154.0199203186</v>
      </c>
      <c r="BO511" s="66"/>
      <c r="BP511" s="66">
        <f t="shared" si="446"/>
        <v>34397075</v>
      </c>
      <c r="BQ511" s="66"/>
      <c r="BR511" s="435">
        <f t="shared" si="447"/>
        <v>6.378979964735261E-2</v>
      </c>
      <c r="BS511" s="66"/>
      <c r="BT511" s="75"/>
      <c r="BU511" s="170"/>
      <c r="BV511" s="1"/>
      <c r="BW511" s="61">
        <f t="shared" si="399"/>
        <v>502</v>
      </c>
    </row>
    <row r="512" spans="2:75" x14ac:dyDescent="0.3">
      <c r="B512" s="158">
        <f t="shared" si="398"/>
        <v>44412</v>
      </c>
      <c r="C512" s="61"/>
      <c r="D512" s="17">
        <v>112279</v>
      </c>
      <c r="E512" s="16"/>
      <c r="F512" s="16"/>
      <c r="G512" s="16"/>
      <c r="H512" s="16">
        <f t="shared" si="424"/>
        <v>35416332</v>
      </c>
      <c r="I512" s="16"/>
      <c r="J512" s="436">
        <f t="shared" si="425"/>
        <v>3.1803430614609604E-3</v>
      </c>
      <c r="K512" s="16"/>
      <c r="L512" s="16"/>
      <c r="M512" s="16"/>
      <c r="N512" s="16">
        <f t="shared" si="426"/>
        <v>532683</v>
      </c>
      <c r="O512" s="16">
        <f t="shared" si="427"/>
        <v>70410.202783300192</v>
      </c>
      <c r="P512" s="41"/>
      <c r="Q512" s="17">
        <f t="shared" si="428"/>
        <v>532683</v>
      </c>
      <c r="R512" s="16"/>
      <c r="S512" s="60">
        <f t="shared" si="429"/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si="430"/>
        <v>2119</v>
      </c>
      <c r="AA512" s="33">
        <f t="shared" si="431"/>
        <v>614317</v>
      </c>
      <c r="AB512" s="33"/>
      <c r="AC512" s="46">
        <f t="shared" si="432"/>
        <v>1.7345585082046328E-2</v>
      </c>
      <c r="AD512" s="33"/>
      <c r="AE512" s="33">
        <f t="shared" si="433"/>
        <v>1221.3061630218688</v>
      </c>
      <c r="AF512" s="50"/>
      <c r="AG512" s="33">
        <f t="shared" si="434"/>
        <v>2604</v>
      </c>
      <c r="AH512" s="33">
        <f>SUM(D483:D983)</f>
        <v>1124637707.060914</v>
      </c>
      <c r="AI512" s="213">
        <f t="shared" si="435"/>
        <v>0.33744221879815101</v>
      </c>
      <c r="AJ512" s="50"/>
      <c r="AK512" s="111"/>
      <c r="AL512" s="23">
        <f t="shared" si="436"/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si="437"/>
        <v>1.0327125564740525E-3</v>
      </c>
      <c r="AS512" s="25"/>
      <c r="AT512" s="25"/>
      <c r="AU512" s="24"/>
      <c r="AV512" s="298">
        <f t="shared" si="438"/>
        <v>0.84106157577244312</v>
      </c>
      <c r="AW512" s="298"/>
      <c r="AX512" s="24">
        <f t="shared" si="439"/>
        <v>59219.316103379722</v>
      </c>
      <c r="AY512" s="308"/>
      <c r="AZ512" s="111"/>
      <c r="BA512" s="65">
        <f t="shared" si="440"/>
        <v>1157031</v>
      </c>
      <c r="BB512" s="66"/>
      <c r="BC512" s="66">
        <v>540382349</v>
      </c>
      <c r="BD512" s="66"/>
      <c r="BE512" s="66">
        <f t="shared" si="441"/>
        <v>112279</v>
      </c>
      <c r="BF512" s="66"/>
      <c r="BG512" s="144">
        <f t="shared" si="442"/>
        <v>9.7040615160700103E-2</v>
      </c>
      <c r="BH512" s="66"/>
      <c r="BI512" s="170"/>
      <c r="BJ512" s="66"/>
      <c r="BK512" s="66">
        <f t="shared" si="443"/>
        <v>13301197</v>
      </c>
      <c r="BL512" s="66"/>
      <c r="BM512" s="144">
        <f t="shared" si="444"/>
        <v>4.0047749086040904E-2</v>
      </c>
      <c r="BN512" s="65">
        <f t="shared" si="445"/>
        <v>1074318.7852882703</v>
      </c>
      <c r="BO512" s="66"/>
      <c r="BP512" s="66">
        <f t="shared" si="446"/>
        <v>34509354</v>
      </c>
      <c r="BQ512" s="66"/>
      <c r="BR512" s="435">
        <f t="shared" si="447"/>
        <v>6.3860994097718018E-2</v>
      </c>
      <c r="BS512" s="66"/>
      <c r="BT512" s="75"/>
      <c r="BU512" s="170"/>
      <c r="BV512" s="1"/>
      <c r="BW512" s="61">
        <f t="shared" si="399"/>
        <v>503</v>
      </c>
    </row>
    <row r="513" spans="2:75" x14ac:dyDescent="0.3">
      <c r="B513" s="158">
        <f t="shared" si="398"/>
        <v>44413</v>
      </c>
      <c r="C513" s="61"/>
      <c r="D513" s="17">
        <v>120945</v>
      </c>
      <c r="E513" s="16"/>
      <c r="F513" s="16"/>
      <c r="G513" s="16"/>
      <c r="H513" s="16">
        <f t="shared" si="424"/>
        <v>35537277</v>
      </c>
      <c r="I513" s="16"/>
      <c r="J513" s="436">
        <f t="shared" si="425"/>
        <v>3.4149499163267389E-3</v>
      </c>
      <c r="K513" s="16"/>
      <c r="L513" s="16"/>
      <c r="M513" s="16"/>
      <c r="N513" s="16">
        <f t="shared" si="426"/>
        <v>569115</v>
      </c>
      <c r="O513" s="16">
        <f t="shared" si="427"/>
        <v>70510.470238095237</v>
      </c>
      <c r="P513" s="41"/>
      <c r="Q513" s="17">
        <f t="shared" si="428"/>
        <v>569115</v>
      </c>
      <c r="R513" s="16"/>
      <c r="S513" s="60">
        <f t="shared" si="429"/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si="430"/>
        <v>2249</v>
      </c>
      <c r="AA513" s="33">
        <f t="shared" si="431"/>
        <v>614876</v>
      </c>
      <c r="AB513" s="33"/>
      <c r="AC513" s="46">
        <f t="shared" si="432"/>
        <v>1.7302282332999235E-2</v>
      </c>
      <c r="AD513" s="33"/>
      <c r="AE513" s="33">
        <f t="shared" si="433"/>
        <v>1219.9920634920634</v>
      </c>
      <c r="AF513" s="50"/>
      <c r="AG513" s="33">
        <f t="shared" si="434"/>
        <v>2678</v>
      </c>
      <c r="AH513" s="33">
        <f>SUM(D484:D984)</f>
        <v>1124626095.060914</v>
      </c>
      <c r="AI513" s="213">
        <f t="shared" si="435"/>
        <v>0.29559748427672955</v>
      </c>
      <c r="AJ513" s="50"/>
      <c r="AK513" s="111" t="s">
        <v>26</v>
      </c>
      <c r="AL513" s="23">
        <f t="shared" si="436"/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si="437"/>
        <v>4.258188283899093E-4</v>
      </c>
      <c r="AS513" s="25"/>
      <c r="AT513" s="25"/>
      <c r="AU513" s="24"/>
      <c r="AV513" s="298">
        <f t="shared" si="438"/>
        <v>0.83855608858270148</v>
      </c>
      <c r="AW513" s="298"/>
      <c r="AX513" s="24">
        <f t="shared" si="439"/>
        <v>59126.984126984127</v>
      </c>
      <c r="AY513" s="308"/>
      <c r="AZ513" s="111" t="s">
        <v>26</v>
      </c>
      <c r="BA513" s="65">
        <f t="shared" si="440"/>
        <v>1100613</v>
      </c>
      <c r="BB513" s="66"/>
      <c r="BC513" s="66">
        <v>541482962</v>
      </c>
      <c r="BD513" s="66"/>
      <c r="BE513" s="66">
        <f t="shared" si="441"/>
        <v>120945</v>
      </c>
      <c r="BF513" s="66"/>
      <c r="BG513" s="144">
        <f t="shared" si="442"/>
        <v>0.10988876198990925</v>
      </c>
      <c r="BH513" s="66"/>
      <c r="BI513" s="170"/>
      <c r="BJ513" s="66"/>
      <c r="BK513" s="66">
        <f t="shared" si="443"/>
        <v>14182962</v>
      </c>
      <c r="BL513" s="66"/>
      <c r="BM513" s="144">
        <f t="shared" si="444"/>
        <v>4.0126667476088562E-2</v>
      </c>
      <c r="BN513" s="65">
        <f t="shared" si="445"/>
        <v>1074370.9563492064</v>
      </c>
      <c r="BO513" s="66"/>
      <c r="BP513" s="66">
        <f t="shared" si="446"/>
        <v>34630299</v>
      </c>
      <c r="BQ513" s="66"/>
      <c r="BR513" s="435">
        <f t="shared" si="447"/>
        <v>6.3954549690891288E-2</v>
      </c>
      <c r="BS513" s="66"/>
      <c r="BT513" s="75"/>
      <c r="BU513" s="170"/>
      <c r="BV513" s="1"/>
      <c r="BW513" s="61">
        <f t="shared" si="399"/>
        <v>504</v>
      </c>
    </row>
    <row r="514" spans="2:75" x14ac:dyDescent="0.3">
      <c r="B514" s="158">
        <f t="shared" si="398"/>
        <v>44414</v>
      </c>
      <c r="C514" s="61"/>
      <c r="D514" s="17">
        <v>130706</v>
      </c>
      <c r="E514" s="16"/>
      <c r="F514" s="16"/>
      <c r="G514" s="16"/>
      <c r="H514" s="16">
        <f t="shared" si="424"/>
        <v>35667983</v>
      </c>
      <c r="I514" s="16"/>
      <c r="J514" s="436">
        <f t="shared" si="425"/>
        <v>3.67799705081512E-3</v>
      </c>
      <c r="K514" s="16"/>
      <c r="L514" s="16"/>
      <c r="M514" s="16"/>
      <c r="N514" s="16">
        <f t="shared" si="426"/>
        <v>598723</v>
      </c>
      <c r="O514" s="16">
        <f t="shared" si="427"/>
        <v>70629.669306930693</v>
      </c>
      <c r="P514" s="41"/>
      <c r="Q514" s="17">
        <f t="shared" si="428"/>
        <v>598723</v>
      </c>
      <c r="R514" s="16"/>
      <c r="S514" s="60">
        <f t="shared" si="429"/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si="430"/>
        <v>2758</v>
      </c>
      <c r="AA514" s="33">
        <f t="shared" si="431"/>
        <v>615626</v>
      </c>
      <c r="AB514" s="33"/>
      <c r="AC514" s="46">
        <f t="shared" si="432"/>
        <v>1.7259905052663057E-2</v>
      </c>
      <c r="AD514" s="33"/>
      <c r="AE514" s="33">
        <f t="shared" si="433"/>
        <v>1219.0613861386139</v>
      </c>
      <c r="AF514" s="50"/>
      <c r="AG514" s="33">
        <f t="shared" si="434"/>
        <v>2999</v>
      </c>
      <c r="AH514" s="33">
        <f>SUM(D485:D985)</f>
        <v>1124609283.060914</v>
      </c>
      <c r="AI514" s="213">
        <f t="shared" si="435"/>
        <v>0.45019342359767894</v>
      </c>
      <c r="AJ514" s="50"/>
      <c r="AK514" s="111"/>
      <c r="AL514" s="23">
        <f t="shared" si="436"/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si="437"/>
        <v>1.1567785234899328E-3</v>
      </c>
      <c r="AS514" s="25"/>
      <c r="AT514" s="25"/>
      <c r="AU514" s="24"/>
      <c r="AV514" s="298">
        <f t="shared" si="438"/>
        <v>0.83644965290019346</v>
      </c>
      <c r="AW514" s="298"/>
      <c r="AX514" s="24">
        <f t="shared" si="439"/>
        <v>59078.162376237626</v>
      </c>
      <c r="AY514" s="308"/>
      <c r="AZ514" s="111"/>
      <c r="BA514" s="65">
        <f t="shared" si="440"/>
        <v>1408885</v>
      </c>
      <c r="BB514" s="66"/>
      <c r="BC514" s="66">
        <v>542891847</v>
      </c>
      <c r="BD514" s="66"/>
      <c r="BE514" s="66">
        <f t="shared" si="441"/>
        <v>130706</v>
      </c>
      <c r="BF514" s="66"/>
      <c r="BG514" s="144">
        <f t="shared" si="442"/>
        <v>9.2772653552277151E-2</v>
      </c>
      <c r="BH514" s="66"/>
      <c r="BI514" s="170"/>
      <c r="BJ514" s="66"/>
      <c r="BK514" s="66">
        <f t="shared" si="443"/>
        <v>13712937</v>
      </c>
      <c r="BL514" s="66"/>
      <c r="BM514" s="144">
        <f t="shared" si="444"/>
        <v>4.3661179220760661E-2</v>
      </c>
      <c r="BN514" s="65">
        <f t="shared" si="445"/>
        <v>1075033.3603960397</v>
      </c>
      <c r="BO514" s="66"/>
      <c r="BP514" s="66">
        <f t="shared" si="446"/>
        <v>34761005</v>
      </c>
      <c r="BQ514" s="66"/>
      <c r="BR514" s="435">
        <f t="shared" si="447"/>
        <v>6.4029336951895693E-2</v>
      </c>
      <c r="BS514" s="66"/>
      <c r="BT514" s="75"/>
      <c r="BU514" s="170"/>
      <c r="BV514" s="1"/>
      <c r="BW514" s="61">
        <f t="shared" si="399"/>
        <v>505</v>
      </c>
    </row>
    <row r="515" spans="2:75" x14ac:dyDescent="0.3">
      <c r="B515" s="158">
        <f t="shared" si="398"/>
        <v>44415</v>
      </c>
      <c r="C515" s="61"/>
      <c r="D515" s="17">
        <v>68950</v>
      </c>
      <c r="E515" s="16"/>
      <c r="F515" s="16"/>
      <c r="G515" s="16"/>
      <c r="H515" s="16">
        <f t="shared" si="424"/>
        <v>35736933</v>
      </c>
      <c r="I515" s="16"/>
      <c r="J515" s="436">
        <f t="shared" si="425"/>
        <v>1.9331062258272356E-3</v>
      </c>
      <c r="K515" s="16"/>
      <c r="L515" s="16"/>
      <c r="M515" s="16"/>
      <c r="N515" s="16">
        <f t="shared" si="426"/>
        <v>615775</v>
      </c>
      <c r="O515" s="16">
        <f t="shared" si="427"/>
        <v>70626.349802371536</v>
      </c>
      <c r="P515" s="41"/>
      <c r="Q515" s="17">
        <f t="shared" si="428"/>
        <v>615775</v>
      </c>
      <c r="R515" s="16"/>
      <c r="S515" s="60">
        <f t="shared" si="429"/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si="430"/>
        <v>3014</v>
      </c>
      <c r="AA515" s="33">
        <f t="shared" si="431"/>
        <v>615946</v>
      </c>
      <c r="AB515" s="33"/>
      <c r="AC515" s="46">
        <f t="shared" si="432"/>
        <v>1.7235558518689895E-2</v>
      </c>
      <c r="AD515" s="33"/>
      <c r="AE515" s="33">
        <f t="shared" si="433"/>
        <v>1217.2845849802372</v>
      </c>
      <c r="AF515" s="50"/>
      <c r="AG515" s="33">
        <f t="shared" si="434"/>
        <v>3078</v>
      </c>
      <c r="AH515" s="33">
        <f>SUM(D486:D986)</f>
        <v>1124589936.060914</v>
      </c>
      <c r="AI515" s="213">
        <f t="shared" si="435"/>
        <v>0.42632066728452273</v>
      </c>
      <c r="AJ515" s="50"/>
      <c r="AK515" s="111"/>
      <c r="AL515" s="23">
        <f t="shared" si="436"/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si="437"/>
        <v>5.8090520254556544E-4</v>
      </c>
      <c r="AS515" s="25"/>
      <c r="AT515" s="25"/>
      <c r="AU515" s="24"/>
      <c r="AV515" s="298">
        <f t="shared" si="438"/>
        <v>0.83532078704123824</v>
      </c>
      <c r="AW515" s="298"/>
      <c r="AX515" s="24">
        <f t="shared" si="439"/>
        <v>58995.6581027668</v>
      </c>
      <c r="AY515" s="308"/>
      <c r="AZ515" s="111"/>
      <c r="BA515" s="65">
        <f t="shared" si="440"/>
        <v>836734</v>
      </c>
      <c r="BB515" s="66"/>
      <c r="BC515" s="66">
        <v>543728581</v>
      </c>
      <c r="BD515" s="66"/>
      <c r="BE515" s="66">
        <f t="shared" si="441"/>
        <v>68950</v>
      </c>
      <c r="BF515" s="66"/>
      <c r="BG515" s="144">
        <f t="shared" si="442"/>
        <v>8.2403726871383254E-2</v>
      </c>
      <c r="BH515" s="66"/>
      <c r="BI515" s="170"/>
      <c r="BJ515" s="66"/>
      <c r="BK515" s="66">
        <f t="shared" si="443"/>
        <v>14048761</v>
      </c>
      <c r="BL515" s="66"/>
      <c r="BM515" s="144">
        <f t="shared" si="444"/>
        <v>4.3831267397886543E-2</v>
      </c>
      <c r="BN515" s="65">
        <f t="shared" si="445"/>
        <v>1074562.4130434783</v>
      </c>
      <c r="BO515" s="66"/>
      <c r="BP515" s="66">
        <f t="shared" si="446"/>
        <v>34829955</v>
      </c>
      <c r="BQ515" s="66"/>
      <c r="BR515" s="435">
        <f t="shared" si="447"/>
        <v>6.4057612965539509E-2</v>
      </c>
      <c r="BS515" s="66"/>
      <c r="BT515" s="75"/>
      <c r="BU515" s="170"/>
      <c r="BV515" s="1"/>
      <c r="BW515" s="61">
        <f t="shared" si="399"/>
        <v>506</v>
      </c>
    </row>
    <row r="516" spans="2:75" x14ac:dyDescent="0.3">
      <c r="B516" s="347">
        <f t="shared" si="398"/>
        <v>44416</v>
      </c>
      <c r="C516" s="61"/>
      <c r="D516" s="17">
        <v>24390</v>
      </c>
      <c r="E516" s="16"/>
      <c r="F516" s="16"/>
      <c r="G516" s="16"/>
      <c r="H516" s="16">
        <f t="shared" si="424"/>
        <v>35761323</v>
      </c>
      <c r="I516" s="16"/>
      <c r="J516" s="436">
        <f t="shared" si="425"/>
        <v>6.8248721847507176E-4</v>
      </c>
      <c r="K516" s="16"/>
      <c r="L516" s="16"/>
      <c r="M516" s="16"/>
      <c r="N516" s="16">
        <f t="shared" si="426"/>
        <v>618397</v>
      </c>
      <c r="O516" s="16">
        <f t="shared" si="427"/>
        <v>70535.153846153844</v>
      </c>
      <c r="P516" s="41"/>
      <c r="Q516" s="17">
        <f t="shared" si="428"/>
        <v>618397</v>
      </c>
      <c r="R516" s="16"/>
      <c r="S516" s="60">
        <f t="shared" si="429"/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si="430"/>
        <v>2930</v>
      </c>
      <c r="AA516" s="33">
        <f t="shared" si="431"/>
        <v>616075</v>
      </c>
      <c r="AB516" s="33"/>
      <c r="AC516" s="46">
        <f t="shared" si="432"/>
        <v>1.7227410742046652E-2</v>
      </c>
      <c r="AD516" s="33"/>
      <c r="AE516" s="33">
        <f t="shared" si="433"/>
        <v>1215.1380670611441</v>
      </c>
      <c r="AF516" s="50"/>
      <c r="AG516" s="33">
        <f t="shared" si="434"/>
        <v>3143</v>
      </c>
      <c r="AH516" s="33">
        <f>SUM(D487:D987)</f>
        <v>1124562699.060914</v>
      </c>
      <c r="AI516" s="213">
        <f t="shared" si="435"/>
        <v>0.44638748274275197</v>
      </c>
      <c r="AJ516" s="50"/>
      <c r="AK516" s="111"/>
      <c r="AL516" s="23">
        <f t="shared" si="436"/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si="437"/>
        <v>2.4316789173504862E-4</v>
      </c>
      <c r="AS516" s="25"/>
      <c r="AT516" s="25"/>
      <c r="AU516" s="24"/>
      <c r="AV516" s="298">
        <f t="shared" si="438"/>
        <v>0.8349540647587339</v>
      </c>
      <c r="AW516" s="298"/>
      <c r="AX516" s="24">
        <f t="shared" si="439"/>
        <v>58893.613412228799</v>
      </c>
      <c r="AY516" s="308"/>
      <c r="AZ516" s="111"/>
      <c r="BA516" s="65">
        <f t="shared" si="440"/>
        <v>652881</v>
      </c>
      <c r="BB516" s="66"/>
      <c r="BC516" s="66">
        <v>544381462</v>
      </c>
      <c r="BD516" s="66"/>
      <c r="BE516" s="66">
        <f t="shared" si="441"/>
        <v>24390</v>
      </c>
      <c r="BF516" s="66"/>
      <c r="BG516" s="144">
        <f t="shared" si="442"/>
        <v>3.73574970017507E-2</v>
      </c>
      <c r="BH516" s="66"/>
      <c r="BI516" s="170"/>
      <c r="BJ516" s="66"/>
      <c r="BK516" s="66">
        <f t="shared" si="443"/>
        <v>14463413</v>
      </c>
      <c r="BL516" s="66"/>
      <c r="BM516" s="144">
        <f t="shared" si="444"/>
        <v>4.2755952554213862E-2</v>
      </c>
      <c r="BN516" s="65">
        <f t="shared" si="445"/>
        <v>1073730.6942800789</v>
      </c>
      <c r="BO516" s="66"/>
      <c r="BP516" s="66">
        <f t="shared" si="446"/>
        <v>34854345</v>
      </c>
      <c r="BQ516" s="66"/>
      <c r="BR516" s="435">
        <f t="shared" si="447"/>
        <v>6.4025591304944174E-2</v>
      </c>
      <c r="BS516" s="66"/>
      <c r="BT516" s="75"/>
      <c r="BU516" s="170"/>
      <c r="BV516" s="1"/>
      <c r="BW516" s="61">
        <f t="shared" si="399"/>
        <v>507</v>
      </c>
    </row>
    <row r="517" spans="2:75" x14ac:dyDescent="0.3">
      <c r="B517" s="158">
        <f t="shared" si="398"/>
        <v>44417</v>
      </c>
      <c r="C517" s="61"/>
      <c r="D517" s="17">
        <v>102375</v>
      </c>
      <c r="E517" s="16"/>
      <c r="F517" s="16"/>
      <c r="G517" s="16"/>
      <c r="H517" s="16">
        <f t="shared" si="424"/>
        <v>35863698</v>
      </c>
      <c r="I517" s="16"/>
      <c r="J517" s="436">
        <f t="shared" si="425"/>
        <v>2.8627296590788883E-3</v>
      </c>
      <c r="K517" s="16"/>
      <c r="L517" s="16"/>
      <c r="M517" s="16"/>
      <c r="N517" s="16">
        <f t="shared" si="426"/>
        <v>664403</v>
      </c>
      <c r="O517" s="16">
        <f t="shared" si="427"/>
        <v>70597.830708661422</v>
      </c>
      <c r="P517" s="41"/>
      <c r="Q517" s="17">
        <f t="shared" si="428"/>
        <v>664403</v>
      </c>
      <c r="R517" s="16"/>
      <c r="S517" s="60">
        <f t="shared" si="429"/>
        <v>0.43884606972004997</v>
      </c>
      <c r="T517" s="16"/>
      <c r="U517" s="41"/>
      <c r="V517" s="10">
        <f t="shared" si="349"/>
        <v>409</v>
      </c>
      <c r="W517" s="34">
        <v>326</v>
      </c>
      <c r="X517" s="33">
        <v>4256</v>
      </c>
      <c r="Y517" s="33"/>
      <c r="Z517" s="33">
        <f t="shared" si="430"/>
        <v>2740</v>
      </c>
      <c r="AA517" s="33">
        <f t="shared" si="431"/>
        <v>616401</v>
      </c>
      <c r="AB517" s="33"/>
      <c r="AC517" s="46">
        <f t="shared" si="432"/>
        <v>1.7187324073496268E-2</v>
      </c>
      <c r="AD517" s="33"/>
      <c r="AE517" s="33">
        <f t="shared" si="433"/>
        <v>1213.3877952755906</v>
      </c>
      <c r="AF517" s="50"/>
      <c r="AG517" s="33">
        <f t="shared" si="434"/>
        <v>3256</v>
      </c>
      <c r="AH517" s="33">
        <f>SUM(D488:D988)</f>
        <v>1124548164.060914</v>
      </c>
      <c r="AI517" s="213">
        <f t="shared" si="435"/>
        <v>0.44454303460514638</v>
      </c>
      <c r="AJ517" s="50"/>
      <c r="AK517" s="111"/>
      <c r="AL517" s="23">
        <f t="shared" si="436"/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si="437"/>
        <v>2.1520434901806358E-3</v>
      </c>
      <c r="AS517" s="25"/>
      <c r="AT517" s="25"/>
      <c r="AU517" s="24"/>
      <c r="AV517" s="298">
        <f t="shared" si="438"/>
        <v>0.83436236832018829</v>
      </c>
      <c r="AW517" s="298"/>
      <c r="AX517" s="24">
        <f t="shared" si="439"/>
        <v>58904.173228346459</v>
      </c>
      <c r="AY517" s="308"/>
      <c r="AZ517" s="111"/>
      <c r="BA517" s="65">
        <f t="shared" si="440"/>
        <v>2240677</v>
      </c>
      <c r="BB517" s="66"/>
      <c r="BC517" s="66">
        <v>546622139</v>
      </c>
      <c r="BD517" s="66"/>
      <c r="BE517" s="66">
        <f t="shared" si="441"/>
        <v>102375</v>
      </c>
      <c r="BF517" s="66"/>
      <c r="BG517" s="144">
        <f t="shared" si="442"/>
        <v>4.5689316220053136E-2</v>
      </c>
      <c r="BH517" s="66"/>
      <c r="BI517" s="170"/>
      <c r="BJ517" s="66"/>
      <c r="BK517" s="66">
        <f t="shared" si="443"/>
        <v>14481071</v>
      </c>
      <c r="BL517" s="66"/>
      <c r="BM517" s="144">
        <f t="shared" si="444"/>
        <v>4.5880791551950822E-2</v>
      </c>
      <c r="BN517" s="65">
        <f t="shared" si="445"/>
        <v>1076027.8326771653</v>
      </c>
      <c r="BO517" s="66"/>
      <c r="BP517" s="66">
        <f t="shared" si="446"/>
        <v>34956720</v>
      </c>
      <c r="BQ517" s="66"/>
      <c r="BR517" s="435">
        <f t="shared" si="447"/>
        <v>6.3950428469564793E-2</v>
      </c>
      <c r="BS517" s="66"/>
      <c r="BT517" s="75"/>
      <c r="BU517" s="170"/>
      <c r="BV517" s="1"/>
      <c r="BW517" s="61">
        <f t="shared" si="399"/>
        <v>508</v>
      </c>
    </row>
    <row r="518" spans="2:75" x14ac:dyDescent="0.3">
      <c r="B518" s="158">
        <f t="shared" si="398"/>
        <v>44418</v>
      </c>
      <c r="C518" s="61"/>
      <c r="D518" s="17">
        <v>101254</v>
      </c>
      <c r="E518" s="16"/>
      <c r="F518" s="16"/>
      <c r="G518" s="16"/>
      <c r="H518" s="16">
        <f t="shared" si="424"/>
        <v>35964952</v>
      </c>
      <c r="I518" s="16"/>
      <c r="J518" s="436">
        <f t="shared" si="425"/>
        <v>2.8233005977241947E-3</v>
      </c>
      <c r="K518" s="16"/>
      <c r="L518" s="16"/>
      <c r="M518" s="16"/>
      <c r="N518" s="16">
        <f t="shared" si="426"/>
        <v>660899</v>
      </c>
      <c r="O518" s="16">
        <f t="shared" si="427"/>
        <v>70658.05893909627</v>
      </c>
      <c r="P518" s="41"/>
      <c r="Q518" s="17">
        <f t="shared" si="428"/>
        <v>660899</v>
      </c>
      <c r="R518" s="16"/>
      <c r="S518" s="60">
        <f t="shared" si="429"/>
        <v>0.30887158423410399</v>
      </c>
      <c r="T518" s="16"/>
      <c r="U518" s="41"/>
      <c r="V518" s="10">
        <f t="shared" si="349"/>
        <v>410</v>
      </c>
      <c r="W518" s="34">
        <v>657</v>
      </c>
      <c r="X518" s="33">
        <v>4256</v>
      </c>
      <c r="Y518" s="33"/>
      <c r="Z518" s="33">
        <f t="shared" si="430"/>
        <v>2741</v>
      </c>
      <c r="AA518" s="33">
        <f t="shared" si="431"/>
        <v>617058</v>
      </c>
      <c r="AB518" s="33"/>
      <c r="AC518" s="46">
        <f t="shared" si="432"/>
        <v>1.7157203490776242E-2</v>
      </c>
      <c r="AD518" s="33"/>
      <c r="AE518" s="33">
        <f t="shared" si="433"/>
        <v>1212.294695481336</v>
      </c>
      <c r="AF518" s="50"/>
      <c r="AG518" s="33">
        <f t="shared" si="434"/>
        <v>3397</v>
      </c>
      <c r="AH518" s="33">
        <f>SUM(D489:D989)</f>
        <v>1124541522.060914</v>
      </c>
      <c r="AI518" s="213">
        <f t="shared" si="435"/>
        <v>0.39736733854380912</v>
      </c>
      <c r="AJ518" s="50"/>
      <c r="AK518" s="111"/>
      <c r="AL518" s="23">
        <f t="shared" si="436"/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si="437"/>
        <v>1.4370397402427271E-3</v>
      </c>
      <c r="AS518" s="25"/>
      <c r="AT518" s="25"/>
      <c r="AU518" s="24"/>
      <c r="AV518" s="298">
        <f t="shared" si="438"/>
        <v>0.83320898078774019</v>
      </c>
      <c r="AW518" s="298"/>
      <c r="AX518" s="24">
        <f t="shared" si="439"/>
        <v>58872.929273084483</v>
      </c>
      <c r="AY518" s="308"/>
      <c r="AZ518" s="111"/>
      <c r="BA518" s="65">
        <f t="shared" si="440"/>
        <v>1026783</v>
      </c>
      <c r="BB518" s="66"/>
      <c r="BC518" s="66">
        <v>547648922</v>
      </c>
      <c r="BD518" s="66"/>
      <c r="BE518" s="66">
        <f t="shared" si="441"/>
        <v>101254</v>
      </c>
      <c r="BF518" s="66"/>
      <c r="BG518" s="144">
        <f t="shared" si="442"/>
        <v>9.8612851985278291E-2</v>
      </c>
      <c r="BH518" s="66"/>
      <c r="BI518" s="170"/>
      <c r="BJ518" s="66"/>
      <c r="BK518" s="66">
        <f t="shared" si="443"/>
        <v>8423604</v>
      </c>
      <c r="BL518" s="66"/>
      <c r="BM518" s="144">
        <f t="shared" si="444"/>
        <v>7.845798544186075E-2</v>
      </c>
      <c r="BN518" s="65">
        <f t="shared" si="445"/>
        <v>1075931.0844793713</v>
      </c>
      <c r="BO518" s="66"/>
      <c r="BP518" s="66">
        <f t="shared" si="446"/>
        <v>35057974</v>
      </c>
      <c r="BQ518" s="66"/>
      <c r="BR518" s="435">
        <f t="shared" si="447"/>
        <v>6.4015416796529362E-2</v>
      </c>
      <c r="BS518" s="66"/>
      <c r="BT518" s="75"/>
      <c r="BU518" s="170"/>
      <c r="BV518" s="1"/>
      <c r="BW518" s="61">
        <f t="shared" si="399"/>
        <v>509</v>
      </c>
    </row>
    <row r="519" spans="2:75" x14ac:dyDescent="0.3">
      <c r="B519" s="158">
        <f t="shared" ref="B519:B584" si="448">1+B518</f>
        <v>44419</v>
      </c>
      <c r="C519" s="61"/>
      <c r="D519" s="17">
        <v>144635</v>
      </c>
      <c r="E519" s="16"/>
      <c r="F519" s="16"/>
      <c r="G519" s="16"/>
      <c r="H519" s="16">
        <f t="shared" si="424"/>
        <v>36109587</v>
      </c>
      <c r="I519" s="16"/>
      <c r="J519" s="436">
        <f t="shared" si="425"/>
        <v>4.021554095220258E-3</v>
      </c>
      <c r="K519" s="16"/>
      <c r="L519" s="16"/>
      <c r="M519" s="16"/>
      <c r="N519" s="16">
        <f t="shared" si="426"/>
        <v>693255</v>
      </c>
      <c r="O519" s="16">
        <f t="shared" si="427"/>
        <v>70803.111764705885</v>
      </c>
      <c r="P519" s="41"/>
      <c r="Q519" s="17">
        <f t="shared" si="428"/>
        <v>693255</v>
      </c>
      <c r="R519" s="16"/>
      <c r="S519" s="60">
        <f t="shared" si="429"/>
        <v>0.30144006848350707</v>
      </c>
      <c r="T519" s="16"/>
      <c r="U519" s="41"/>
      <c r="V519" s="10">
        <f t="shared" si="349"/>
        <v>411</v>
      </c>
      <c r="W519" s="34">
        <v>614</v>
      </c>
      <c r="X519" s="33">
        <v>4256</v>
      </c>
      <c r="Y519" s="33"/>
      <c r="Z519" s="33">
        <f t="shared" si="430"/>
        <v>2796</v>
      </c>
      <c r="AA519" s="33">
        <f t="shared" si="431"/>
        <v>617672</v>
      </c>
      <c r="AB519" s="33"/>
      <c r="AC519" s="46">
        <f t="shared" si="432"/>
        <v>1.7105485033656019E-2</v>
      </c>
      <c r="AD519" s="33"/>
      <c r="AE519" s="33">
        <f t="shared" si="433"/>
        <v>1211.1215686274509</v>
      </c>
      <c r="AF519" s="50"/>
      <c r="AG519" s="33">
        <f t="shared" si="434"/>
        <v>3355</v>
      </c>
      <c r="AH519" s="33">
        <f>SUM(D490:D990)</f>
        <v>1124521526.060914</v>
      </c>
      <c r="AI519" s="213">
        <f t="shared" si="435"/>
        <v>0.28840245775729645</v>
      </c>
      <c r="AJ519" s="50"/>
      <c r="AK519" s="111"/>
      <c r="AL519" s="23">
        <f t="shared" si="436"/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si="437"/>
        <v>2.7945706114541054E-3</v>
      </c>
      <c r="AS519" s="25"/>
      <c r="AT519" s="25"/>
      <c r="AU519" s="24"/>
      <c r="AV519" s="298">
        <f t="shared" si="438"/>
        <v>0.83219074203202603</v>
      </c>
      <c r="AW519" s="298"/>
      <c r="AX519" s="24">
        <f t="shared" si="439"/>
        <v>58921.694117647057</v>
      </c>
      <c r="AY519" s="308"/>
      <c r="AZ519" s="111"/>
      <c r="BA519" s="65">
        <f t="shared" si="440"/>
        <v>3442163</v>
      </c>
      <c r="BB519" s="66"/>
      <c r="BC519" s="66">
        <v>551091085</v>
      </c>
      <c r="BD519" s="66"/>
      <c r="BE519" s="66">
        <f t="shared" si="441"/>
        <v>144635</v>
      </c>
      <c r="BF519" s="66"/>
      <c r="BG519" s="144">
        <f t="shared" si="442"/>
        <v>4.2018637699609229E-2</v>
      </c>
      <c r="BH519" s="66"/>
      <c r="BI519" s="170"/>
      <c r="BJ519" s="66"/>
      <c r="BK519" s="66">
        <f t="shared" si="443"/>
        <v>10708736</v>
      </c>
      <c r="BL519" s="66"/>
      <c r="BM519" s="144">
        <f t="shared" si="444"/>
        <v>6.4737332211756829E-2</v>
      </c>
      <c r="BN519" s="65">
        <f t="shared" si="445"/>
        <v>1080570.7549019607</v>
      </c>
      <c r="BO519" s="66"/>
      <c r="BP519" s="66">
        <f t="shared" si="446"/>
        <v>35202609</v>
      </c>
      <c r="BQ519" s="66"/>
      <c r="BR519" s="435">
        <f t="shared" si="447"/>
        <v>6.387802299505535E-2</v>
      </c>
      <c r="BS519" s="66"/>
      <c r="BT519" s="75"/>
      <c r="BU519" s="170"/>
      <c r="BV519" s="1"/>
      <c r="BW519" s="61">
        <f t="shared" si="399"/>
        <v>510</v>
      </c>
    </row>
    <row r="520" spans="2:75" x14ac:dyDescent="0.3">
      <c r="B520" s="158">
        <f t="shared" si="448"/>
        <v>44420</v>
      </c>
      <c r="C520" s="61"/>
      <c r="D520" s="17">
        <v>143537</v>
      </c>
      <c r="E520" s="16"/>
      <c r="F520" s="16"/>
      <c r="G520" s="16"/>
      <c r="H520" s="16">
        <f t="shared" si="424"/>
        <v>36253124</v>
      </c>
      <c r="I520" s="16"/>
      <c r="J520" s="436">
        <f t="shared" si="425"/>
        <v>3.975038540318946E-3</v>
      </c>
      <c r="K520" s="16"/>
      <c r="L520" s="16"/>
      <c r="M520" s="16"/>
      <c r="N520" s="16">
        <f t="shared" si="426"/>
        <v>715847</v>
      </c>
      <c r="O520" s="16">
        <f t="shared" si="427"/>
        <v>70945.448140900189</v>
      </c>
      <c r="P520" s="41"/>
      <c r="Q520" s="17">
        <f t="shared" si="428"/>
        <v>715847</v>
      </c>
      <c r="R520" s="16"/>
      <c r="S520" s="60">
        <f t="shared" si="429"/>
        <v>0.2578248684360806</v>
      </c>
      <c r="T520" s="16"/>
      <c r="U520" s="41"/>
      <c r="V520" s="10">
        <f t="shared" si="349"/>
        <v>412</v>
      </c>
      <c r="W520" s="34">
        <v>660</v>
      </c>
      <c r="X520" s="33">
        <v>4256</v>
      </c>
      <c r="Y520" s="33"/>
      <c r="Z520" s="33">
        <f t="shared" si="430"/>
        <v>2706</v>
      </c>
      <c r="AA520" s="33">
        <f t="shared" si="431"/>
        <v>618332</v>
      </c>
      <c r="AB520" s="33"/>
      <c r="AC520" s="46">
        <f t="shared" si="432"/>
        <v>1.7055964611491135E-2</v>
      </c>
      <c r="AD520" s="33"/>
      <c r="AE520" s="33">
        <f t="shared" si="433"/>
        <v>1210.0430528375734</v>
      </c>
      <c r="AF520" s="50"/>
      <c r="AG520" s="33">
        <f t="shared" si="434"/>
        <v>3456</v>
      </c>
      <c r="AH520" s="33">
        <f>SUM(D491:D991)</f>
        <v>1124481772.060914</v>
      </c>
      <c r="AI520" s="213">
        <f t="shared" si="435"/>
        <v>0.29051530993278568</v>
      </c>
      <c r="AJ520" s="50"/>
      <c r="AK520" s="111"/>
      <c r="AL520" s="23">
        <f t="shared" si="436"/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si="437"/>
        <v>1.5918102537152666E-3</v>
      </c>
      <c r="AS520" s="25"/>
      <c r="AT520" s="25"/>
      <c r="AU520" s="24"/>
      <c r="AV520" s="298">
        <f t="shared" si="438"/>
        <v>0.83021529399783589</v>
      </c>
      <c r="AW520" s="298"/>
      <c r="AX520" s="24">
        <f t="shared" si="439"/>
        <v>58899.996086105675</v>
      </c>
      <c r="AY520" s="308"/>
      <c r="AZ520" s="111"/>
      <c r="BA520" s="65">
        <f t="shared" si="440"/>
        <v>1317096</v>
      </c>
      <c r="BB520" s="66"/>
      <c r="BC520" s="66">
        <v>552408181</v>
      </c>
      <c r="BD520" s="66"/>
      <c r="BE520" s="66">
        <f t="shared" si="441"/>
        <v>143537</v>
      </c>
      <c r="BF520" s="66"/>
      <c r="BG520" s="144">
        <f t="shared" si="442"/>
        <v>0.10897990731123623</v>
      </c>
      <c r="BH520" s="66"/>
      <c r="BI520" s="170"/>
      <c r="BJ520" s="66"/>
      <c r="BK520" s="66">
        <f t="shared" si="443"/>
        <v>10925219</v>
      </c>
      <c r="BL520" s="66"/>
      <c r="BM520" s="144">
        <f t="shared" si="444"/>
        <v>6.5522439412884992E-2</v>
      </c>
      <c r="BN520" s="65">
        <f t="shared" si="445"/>
        <v>1081033.6223091977</v>
      </c>
      <c r="BO520" s="66"/>
      <c r="BP520" s="66">
        <f t="shared" si="446"/>
        <v>35346146</v>
      </c>
      <c r="BQ520" s="66"/>
      <c r="BR520" s="435">
        <f t="shared" si="447"/>
        <v>6.3985558533934894E-2</v>
      </c>
      <c r="BS520" s="66"/>
      <c r="BT520" s="75"/>
      <c r="BU520" s="170"/>
      <c r="BV520" s="1"/>
      <c r="BW520" s="61">
        <f t="shared" si="399"/>
        <v>511</v>
      </c>
    </row>
    <row r="521" spans="2:75" x14ac:dyDescent="0.3">
      <c r="B521" s="158">
        <f t="shared" si="448"/>
        <v>44421</v>
      </c>
      <c r="C521" s="61"/>
      <c r="D521" s="17">
        <v>155297</v>
      </c>
      <c r="E521" s="16"/>
      <c r="F521" s="16"/>
      <c r="G521" s="16"/>
      <c r="H521" s="16">
        <f t="shared" si="424"/>
        <v>36408421</v>
      </c>
      <c r="I521" s="16"/>
      <c r="J521" s="436">
        <f t="shared" si="425"/>
        <v>4.2836860073079495E-3</v>
      </c>
      <c r="K521" s="16"/>
      <c r="L521" s="16"/>
      <c r="M521" s="16"/>
      <c r="N521" s="16">
        <f t="shared" si="426"/>
        <v>740438</v>
      </c>
      <c r="O521" s="16">
        <f t="shared" si="427"/>
        <v>71110.197265625</v>
      </c>
      <c r="P521" s="41"/>
      <c r="Q521" s="17">
        <f t="shared" si="428"/>
        <v>740438</v>
      </c>
      <c r="R521" s="16"/>
      <c r="S521" s="60">
        <f t="shared" si="429"/>
        <v>0.23669543344752081</v>
      </c>
      <c r="T521" s="16"/>
      <c r="U521" s="41"/>
      <c r="V521" s="10">
        <f t="shared" si="349"/>
        <v>413</v>
      </c>
      <c r="W521" s="34">
        <v>769</v>
      </c>
      <c r="X521" s="33">
        <v>4256</v>
      </c>
      <c r="Y521" s="33"/>
      <c r="Z521" s="33">
        <f t="shared" si="430"/>
        <v>3155</v>
      </c>
      <c r="AA521" s="33">
        <f t="shared" si="431"/>
        <v>619101</v>
      </c>
      <c r="AB521" s="33"/>
      <c r="AC521" s="46">
        <f t="shared" si="432"/>
        <v>1.7004335343188876E-2</v>
      </c>
      <c r="AD521" s="33"/>
      <c r="AE521" s="33">
        <f t="shared" si="433"/>
        <v>1209.181640625</v>
      </c>
      <c r="AF521" s="50"/>
      <c r="AG521" s="33">
        <f t="shared" si="434"/>
        <v>3475</v>
      </c>
      <c r="AH521" s="33">
        <f>SUM(D492:D992)</f>
        <v>1124446325.060914</v>
      </c>
      <c r="AI521" s="213">
        <f t="shared" si="435"/>
        <v>0.1587195731910637</v>
      </c>
      <c r="AJ521" s="50"/>
      <c r="AK521" s="111"/>
      <c r="AL521" s="23">
        <f t="shared" si="436"/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si="437"/>
        <v>1.0696428036270174E-3</v>
      </c>
      <c r="AS521" s="25"/>
      <c r="AT521" s="25"/>
      <c r="AU521" s="24"/>
      <c r="AV521" s="298">
        <f t="shared" si="438"/>
        <v>0.82755832778356408</v>
      </c>
      <c r="AW521" s="298"/>
      <c r="AX521" s="24">
        <f t="shared" si="439"/>
        <v>58847.8359375</v>
      </c>
      <c r="AY521" s="308"/>
      <c r="AZ521" s="111"/>
      <c r="BA521" s="65">
        <f t="shared" si="440"/>
        <v>1559142</v>
      </c>
      <c r="BB521" s="66"/>
      <c r="BC521" s="66">
        <v>553967323</v>
      </c>
      <c r="BD521" s="66"/>
      <c r="BE521" s="66">
        <f t="shared" si="441"/>
        <v>155297</v>
      </c>
      <c r="BF521" s="66"/>
      <c r="BG521" s="144">
        <f t="shared" si="442"/>
        <v>9.9604141252047598E-2</v>
      </c>
      <c r="BH521" s="66"/>
      <c r="BI521" s="170"/>
      <c r="BJ521" s="66"/>
      <c r="BK521" s="66">
        <f t="shared" si="443"/>
        <v>11075476</v>
      </c>
      <c r="BL521" s="66"/>
      <c r="BM521" s="144">
        <f t="shared" si="444"/>
        <v>6.6853830932413205E-2</v>
      </c>
      <c r="BN521" s="65">
        <f t="shared" si="445"/>
        <v>1081967.427734375</v>
      </c>
      <c r="BO521" s="66"/>
      <c r="BP521" s="66">
        <f t="shared" si="446"/>
        <v>35501443</v>
      </c>
      <c r="BQ521" s="66"/>
      <c r="BR521" s="435">
        <f t="shared" si="447"/>
        <v>6.408580709732585E-2</v>
      </c>
      <c r="BS521" s="66"/>
      <c r="BT521" s="75"/>
      <c r="BU521" s="170"/>
      <c r="BV521" s="1"/>
      <c r="BW521" s="61">
        <f t="shared" si="399"/>
        <v>512</v>
      </c>
    </row>
    <row r="522" spans="2:75" x14ac:dyDescent="0.3">
      <c r="B522" s="158">
        <f t="shared" si="448"/>
        <v>44422</v>
      </c>
      <c r="C522" s="61"/>
      <c r="D522" s="17">
        <v>71135</v>
      </c>
      <c r="E522" s="16"/>
      <c r="F522" s="16"/>
      <c r="G522" s="16"/>
      <c r="H522" s="16">
        <f t="shared" si="424"/>
        <v>36479556</v>
      </c>
      <c r="I522" s="16"/>
      <c r="J522" s="436">
        <f t="shared" si="425"/>
        <v>1.953806236200136E-3</v>
      </c>
      <c r="K522" s="16"/>
      <c r="L522" s="16"/>
      <c r="M522" s="16"/>
      <c r="N522" s="16">
        <f t="shared" si="426"/>
        <v>742623</v>
      </c>
      <c r="O522" s="16">
        <f t="shared" si="427"/>
        <v>71110.245614035084</v>
      </c>
      <c r="P522" s="41"/>
      <c r="Q522" s="17">
        <f t="shared" si="428"/>
        <v>742623</v>
      </c>
      <c r="R522" s="16"/>
      <c r="S522" s="60">
        <f t="shared" si="429"/>
        <v>0.20599732044983962</v>
      </c>
      <c r="T522" s="16"/>
      <c r="U522" s="41"/>
      <c r="V522" s="10">
        <f t="shared" si="349"/>
        <v>414</v>
      </c>
      <c r="W522" s="34">
        <v>258</v>
      </c>
      <c r="X522" s="33">
        <v>4256</v>
      </c>
      <c r="Y522" s="33"/>
      <c r="Z522" s="33">
        <f t="shared" si="430"/>
        <v>3284</v>
      </c>
      <c r="AA522" s="33">
        <f t="shared" si="431"/>
        <v>619359</v>
      </c>
      <c r="AB522" s="33"/>
      <c r="AC522" s="46">
        <f t="shared" si="432"/>
        <v>1.6978249406325013E-2</v>
      </c>
      <c r="AD522" s="33"/>
      <c r="AE522" s="33">
        <f t="shared" si="433"/>
        <v>1207.327485380117</v>
      </c>
      <c r="AF522" s="50"/>
      <c r="AG522" s="33">
        <f t="shared" si="434"/>
        <v>3413</v>
      </c>
      <c r="AH522" s="33">
        <f>SUM(D493:D993)</f>
        <v>1124409651.060914</v>
      </c>
      <c r="AI522" s="213">
        <f t="shared" si="435"/>
        <v>0.10883690708252111</v>
      </c>
      <c r="AJ522" s="50"/>
      <c r="AK522" s="111"/>
      <c r="AL522" s="23">
        <f t="shared" si="436"/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si="437"/>
        <v>4.8181067618379656E-4</v>
      </c>
      <c r="AS522" s="25"/>
      <c r="AT522" s="25"/>
      <c r="AU522" s="24"/>
      <c r="AV522" s="298">
        <f t="shared" si="438"/>
        <v>0.82634254101118998</v>
      </c>
      <c r="AW522" s="298"/>
      <c r="AX522" s="24">
        <f t="shared" si="439"/>
        <v>58761.42105263158</v>
      </c>
      <c r="AY522" s="308"/>
      <c r="AZ522" s="111"/>
      <c r="BA522" s="65">
        <f t="shared" si="440"/>
        <v>775678</v>
      </c>
      <c r="BB522" s="66"/>
      <c r="BC522" s="66">
        <v>554743001</v>
      </c>
      <c r="BD522" s="66"/>
      <c r="BE522" s="66">
        <f t="shared" si="441"/>
        <v>71135</v>
      </c>
      <c r="BF522" s="66"/>
      <c r="BG522" s="144">
        <f t="shared" si="442"/>
        <v>9.1706868056074808E-2</v>
      </c>
      <c r="BH522" s="66"/>
      <c r="BI522" s="170"/>
      <c r="BJ522" s="66"/>
      <c r="BK522" s="66">
        <f t="shared" si="443"/>
        <v>11014420</v>
      </c>
      <c r="BL522" s="66"/>
      <c r="BM522" s="144">
        <f t="shared" si="444"/>
        <v>6.7422796661104262E-2</v>
      </c>
      <c r="BN522" s="65">
        <f t="shared" si="445"/>
        <v>1081370.3723196881</v>
      </c>
      <c r="BO522" s="66"/>
      <c r="BP522" s="66">
        <f t="shared" si="446"/>
        <v>35572578</v>
      </c>
      <c r="BQ522" s="66"/>
      <c r="BR522" s="435">
        <f t="shared" si="447"/>
        <v>6.4124428673954556E-2</v>
      </c>
      <c r="BS522" s="66"/>
      <c r="BT522" s="75"/>
      <c r="BU522" s="170"/>
      <c r="BV522" s="1"/>
      <c r="BW522" s="61">
        <f t="shared" si="399"/>
        <v>513</v>
      </c>
    </row>
    <row r="523" spans="2:75" x14ac:dyDescent="0.3">
      <c r="B523" s="347">
        <f t="shared" si="448"/>
        <v>44423</v>
      </c>
      <c r="C523" s="61"/>
      <c r="D523" s="17">
        <v>30883</v>
      </c>
      <c r="E523" s="16"/>
      <c r="F523" s="16"/>
      <c r="G523" s="16"/>
      <c r="H523" s="16">
        <f t="shared" si="424"/>
        <v>36510439</v>
      </c>
      <c r="I523" s="16"/>
      <c r="J523" s="436">
        <f t="shared" si="425"/>
        <v>8.4658376872788694E-4</v>
      </c>
      <c r="K523" s="16"/>
      <c r="L523" s="16"/>
      <c r="M523" s="16"/>
      <c r="N523" s="16">
        <f t="shared" si="426"/>
        <v>749116</v>
      </c>
      <c r="O523" s="16">
        <f t="shared" si="427"/>
        <v>71031.982490272378</v>
      </c>
      <c r="P523" s="41"/>
      <c r="Q523" s="17">
        <f t="shared" si="428"/>
        <v>749116</v>
      </c>
      <c r="R523" s="16"/>
      <c r="S523" s="60">
        <f t="shared" si="429"/>
        <v>0.21138362572910283</v>
      </c>
      <c r="T523" s="16"/>
      <c r="U523" s="41"/>
      <c r="V523" s="10">
        <f t="shared" si="349"/>
        <v>415</v>
      </c>
      <c r="W523" s="34">
        <v>122</v>
      </c>
      <c r="X523" s="33">
        <v>4256</v>
      </c>
      <c r="Y523" s="33"/>
      <c r="Z523" s="33">
        <f t="shared" si="430"/>
        <v>3080</v>
      </c>
      <c r="AA523" s="33">
        <f t="shared" si="431"/>
        <v>619481</v>
      </c>
      <c r="AB523" s="33"/>
      <c r="AC523" s="46">
        <f t="shared" si="432"/>
        <v>1.6967229564125483E-2</v>
      </c>
      <c r="AD523" s="33"/>
      <c r="AE523" s="33">
        <f t="shared" si="433"/>
        <v>1205.215953307393</v>
      </c>
      <c r="AF523" s="50"/>
      <c r="AG523" s="33">
        <f t="shared" si="434"/>
        <v>3406</v>
      </c>
      <c r="AH523" s="33">
        <f>SUM(D494:D994)</f>
        <v>1124369122.060914</v>
      </c>
      <c r="AI523" s="213">
        <f t="shared" si="435"/>
        <v>8.3678014635698378E-2</v>
      </c>
      <c r="AJ523" s="50"/>
      <c r="AK523" s="111"/>
      <c r="AL523" s="23">
        <f t="shared" si="436"/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si="437"/>
        <v>2.9746612404227903E-4</v>
      </c>
      <c r="AS523" s="25"/>
      <c r="AT523" s="25"/>
      <c r="AU523" s="24"/>
      <c r="AV523" s="298">
        <f t="shared" si="438"/>
        <v>0.82588916556166303</v>
      </c>
      <c r="AW523" s="298"/>
      <c r="AX523" s="24">
        <f t="shared" si="439"/>
        <v>58664.544747081709</v>
      </c>
      <c r="AY523" s="308"/>
      <c r="AZ523" s="111"/>
      <c r="BA523" s="65">
        <f t="shared" si="440"/>
        <v>690474</v>
      </c>
      <c r="BB523" s="66"/>
      <c r="BC523" s="66">
        <v>555433475</v>
      </c>
      <c r="BD523" s="66"/>
      <c r="BE523" s="66">
        <f t="shared" si="441"/>
        <v>30883</v>
      </c>
      <c r="BF523" s="66"/>
      <c r="BG523" s="144">
        <f t="shared" si="442"/>
        <v>4.4727245341605909E-2</v>
      </c>
      <c r="BH523" s="66"/>
      <c r="BI523" s="170"/>
      <c r="BJ523" s="66"/>
      <c r="BK523" s="66">
        <f t="shared" si="443"/>
        <v>11052013</v>
      </c>
      <c r="BL523" s="66"/>
      <c r="BM523" s="144">
        <f t="shared" si="444"/>
        <v>6.7780955378897945E-2</v>
      </c>
      <c r="BN523" s="65">
        <f t="shared" si="445"/>
        <v>1080609.8735408559</v>
      </c>
      <c r="BO523" s="66"/>
      <c r="BP523" s="66">
        <f t="shared" si="446"/>
        <v>35603461</v>
      </c>
      <c r="BQ523" s="66"/>
      <c r="BR523" s="435">
        <f t="shared" si="447"/>
        <v>6.4100315523834786E-2</v>
      </c>
      <c r="BS523" s="66"/>
      <c r="BT523" s="75"/>
      <c r="BU523" s="170"/>
      <c r="BV523" s="1"/>
      <c r="BW523" s="61">
        <f t="shared" si="399"/>
        <v>514</v>
      </c>
    </row>
    <row r="524" spans="2:75" x14ac:dyDescent="0.3">
      <c r="B524" s="158">
        <f t="shared" si="448"/>
        <v>44424</v>
      </c>
      <c r="C524" s="61"/>
      <c r="D524" s="17">
        <v>103697</v>
      </c>
      <c r="E524" s="16"/>
      <c r="F524" s="16"/>
      <c r="G524" s="16"/>
      <c r="H524" s="16">
        <f t="shared" si="424"/>
        <v>36614136</v>
      </c>
      <c r="I524" s="16"/>
      <c r="J524" s="436">
        <f t="shared" si="425"/>
        <v>2.8402014010294424E-3</v>
      </c>
      <c r="K524" s="16"/>
      <c r="L524" s="16"/>
      <c r="M524" s="16"/>
      <c r="N524" s="16">
        <f t="shared" si="426"/>
        <v>750438</v>
      </c>
      <c r="O524" s="16">
        <f t="shared" si="427"/>
        <v>71095.409708737861</v>
      </c>
      <c r="P524" s="41"/>
      <c r="Q524" s="17">
        <f t="shared" si="428"/>
        <v>750438</v>
      </c>
      <c r="R524" s="16"/>
      <c r="S524" s="60">
        <f t="shared" si="429"/>
        <v>0.12949219073363605</v>
      </c>
      <c r="T524" s="16"/>
      <c r="U524" s="41"/>
      <c r="V524" s="10">
        <f t="shared" si="349"/>
        <v>416</v>
      </c>
      <c r="W524" s="34">
        <v>308</v>
      </c>
      <c r="X524" s="33">
        <v>4256</v>
      </c>
      <c r="Y524" s="33"/>
      <c r="Z524" s="33">
        <f t="shared" si="430"/>
        <v>2731</v>
      </c>
      <c r="AA524" s="33">
        <f t="shared" si="431"/>
        <v>619789</v>
      </c>
      <c r="AB524" s="33"/>
      <c r="AC524" s="46">
        <f t="shared" si="432"/>
        <v>1.692758774916879E-2</v>
      </c>
      <c r="AD524" s="33"/>
      <c r="AE524" s="33">
        <f t="shared" si="433"/>
        <v>1203.473786407767</v>
      </c>
      <c r="AF524" s="50"/>
      <c r="AG524" s="33">
        <f t="shared" si="434"/>
        <v>3388</v>
      </c>
      <c r="AH524" s="33">
        <f>SUM(D495:D995)</f>
        <v>1124345041.060914</v>
      </c>
      <c r="AI524" s="213">
        <f t="shared" si="435"/>
        <v>4.0540540540540543E-2</v>
      </c>
      <c r="AJ524" s="50"/>
      <c r="AK524" s="111"/>
      <c r="AL524" s="23">
        <f t="shared" si="436"/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61">
        <f t="shared" si="437"/>
        <v>2.4450168033138091E-3</v>
      </c>
      <c r="AS524" s="25"/>
      <c r="AT524" s="25"/>
      <c r="AU524" s="24"/>
      <c r="AV524" s="298">
        <f t="shared" si="438"/>
        <v>0.82556371123983374</v>
      </c>
      <c r="AW524" s="298"/>
      <c r="AX524" s="24">
        <f t="shared" si="439"/>
        <v>58693.790291262136</v>
      </c>
      <c r="AY524" s="308"/>
      <c r="AZ524" s="111"/>
      <c r="BA524" s="65">
        <f t="shared" si="440"/>
        <v>2711353</v>
      </c>
      <c r="BB524" s="66"/>
      <c r="BC524" s="66">
        <v>558144828</v>
      </c>
      <c r="BD524" s="66"/>
      <c r="BE524" s="66">
        <f t="shared" si="441"/>
        <v>103697</v>
      </c>
      <c r="BF524" s="66"/>
      <c r="BG524" s="144">
        <f t="shared" si="442"/>
        <v>3.824548113063847E-2</v>
      </c>
      <c r="BH524" s="66"/>
      <c r="BI524" s="170"/>
      <c r="BJ524" s="66"/>
      <c r="BK524" s="66">
        <f t="shared" si="443"/>
        <v>11522689</v>
      </c>
      <c r="BL524" s="66"/>
      <c r="BM524" s="144">
        <f t="shared" si="444"/>
        <v>6.5126985549987512E-2</v>
      </c>
      <c r="BN524" s="65">
        <f t="shared" si="445"/>
        <v>1083776.3650485438</v>
      </c>
      <c r="BO524" s="66"/>
      <c r="BP524" s="66">
        <f t="shared" si="446"/>
        <v>35707158</v>
      </c>
      <c r="BQ524" s="66"/>
      <c r="BR524" s="435">
        <f t="shared" si="447"/>
        <v>6.3974718045761408E-2</v>
      </c>
      <c r="BS524" s="66"/>
      <c r="BT524" s="75"/>
      <c r="BU524" s="170"/>
      <c r="BV524" s="1"/>
      <c r="BW524" s="61">
        <f t="shared" si="399"/>
        <v>515</v>
      </c>
    </row>
    <row r="525" spans="2:75" x14ac:dyDescent="0.3">
      <c r="B525" s="158">
        <f t="shared" si="448"/>
        <v>44425</v>
      </c>
      <c r="C525" s="61"/>
      <c r="D525" s="17">
        <v>144294</v>
      </c>
      <c r="E525" s="16"/>
      <c r="F525" s="16"/>
      <c r="G525" s="16"/>
      <c r="H525" s="16">
        <f t="shared" si="424"/>
        <v>36758430</v>
      </c>
      <c r="I525" s="16"/>
      <c r="J525" s="436">
        <f t="shared" si="425"/>
        <v>3.9409369102687553E-3</v>
      </c>
      <c r="K525" s="16"/>
      <c r="L525" s="16"/>
      <c r="M525" s="16"/>
      <c r="N525" s="16">
        <f t="shared" si="426"/>
        <v>793478</v>
      </c>
      <c r="O525" s="16">
        <f t="shared" si="427"/>
        <v>71237.267441860458</v>
      </c>
      <c r="P525" s="41"/>
      <c r="Q525" s="17">
        <f t="shared" si="428"/>
        <v>793478</v>
      </c>
      <c r="R525" s="16"/>
      <c r="S525" s="60">
        <f t="shared" si="429"/>
        <v>0.2006040257285909</v>
      </c>
      <c r="T525" s="16"/>
      <c r="U525" s="41"/>
      <c r="V525" s="10">
        <f t="shared" si="349"/>
        <v>417</v>
      </c>
      <c r="W525" s="34">
        <v>945</v>
      </c>
      <c r="X525" s="33">
        <v>4256</v>
      </c>
      <c r="Y525" s="33"/>
      <c r="Z525" s="33">
        <f t="shared" si="430"/>
        <v>3062</v>
      </c>
      <c r="AA525" s="33">
        <f t="shared" si="431"/>
        <v>620734</v>
      </c>
      <c r="AB525" s="33"/>
      <c r="AC525" s="46">
        <f t="shared" si="432"/>
        <v>1.6886847452407514E-2</v>
      </c>
      <c r="AD525" s="33"/>
      <c r="AE525" s="33">
        <f t="shared" si="433"/>
        <v>1202.9728682170542</v>
      </c>
      <c r="AF525" s="50"/>
      <c r="AG525" s="33">
        <f t="shared" si="434"/>
        <v>3676</v>
      </c>
      <c r="AH525" s="33">
        <f>SUM(D496:D996)</f>
        <v>1124322763.060914</v>
      </c>
      <c r="AI525" s="213">
        <f t="shared" si="435"/>
        <v>8.2131292316750079E-2</v>
      </c>
      <c r="AJ525" s="50"/>
      <c r="AK525" s="111"/>
      <c r="AL525" s="23">
        <f t="shared" si="436"/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61">
        <f t="shared" si="437"/>
        <v>2.159736254330605E-3</v>
      </c>
      <c r="AS525" s="25"/>
      <c r="AT525" s="25"/>
      <c r="AU525" s="24"/>
      <c r="AV525" s="298">
        <f t="shared" si="438"/>
        <v>0.82409898899381717</v>
      </c>
      <c r="AW525" s="298"/>
      <c r="AX525" s="24">
        <f t="shared" si="439"/>
        <v>58706.560077519382</v>
      </c>
      <c r="AY525" s="308"/>
      <c r="AZ525" s="111"/>
      <c r="BA525" s="65">
        <f t="shared" si="440"/>
        <v>2301291</v>
      </c>
      <c r="BB525" s="66"/>
      <c r="BC525" s="66">
        <v>560446119</v>
      </c>
      <c r="BD525" s="66"/>
      <c r="BE525" s="66">
        <f t="shared" si="441"/>
        <v>144294</v>
      </c>
      <c r="BF525" s="66"/>
      <c r="BG525" s="144">
        <f t="shared" si="442"/>
        <v>6.2701327211552124E-2</v>
      </c>
      <c r="BH525" s="66"/>
      <c r="BI525" s="170"/>
      <c r="BJ525" s="66"/>
      <c r="BK525" s="66">
        <f t="shared" si="443"/>
        <v>12797197</v>
      </c>
      <c r="BL525" s="66"/>
      <c r="BM525" s="144">
        <f t="shared" si="444"/>
        <v>6.2004046667406935E-2</v>
      </c>
      <c r="BN525" s="65">
        <f t="shared" si="445"/>
        <v>1086135.8895348837</v>
      </c>
      <c r="BO525" s="66"/>
      <c r="BP525" s="66">
        <f t="shared" si="446"/>
        <v>35851452</v>
      </c>
      <c r="BQ525" s="66"/>
      <c r="BR525" s="435">
        <f t="shared" si="447"/>
        <v>6.3969489277523217E-2</v>
      </c>
      <c r="BS525" s="66"/>
      <c r="BT525" s="75"/>
      <c r="BU525" s="170"/>
      <c r="BV525" s="1"/>
      <c r="BW525" s="61">
        <f t="shared" si="399"/>
        <v>516</v>
      </c>
    </row>
    <row r="526" spans="2:75" x14ac:dyDescent="0.3">
      <c r="B526" s="158">
        <f t="shared" si="448"/>
        <v>44426</v>
      </c>
      <c r="C526" s="61"/>
      <c r="D526" s="17">
        <v>158127</v>
      </c>
      <c r="E526" s="16"/>
      <c r="F526" s="16"/>
      <c r="G526" s="16"/>
      <c r="H526" s="16">
        <f t="shared" si="424"/>
        <v>36916557</v>
      </c>
      <c r="I526" s="16"/>
      <c r="J526" s="436">
        <f t="shared" si="425"/>
        <v>4.3017887325437999E-3</v>
      </c>
      <c r="K526" s="16"/>
      <c r="L526" s="16"/>
      <c r="M526" s="16"/>
      <c r="N526" s="16">
        <f t="shared" si="426"/>
        <v>806970</v>
      </c>
      <c r="O526" s="16">
        <f t="shared" si="427"/>
        <v>71405.332688588009</v>
      </c>
      <c r="P526" s="41"/>
      <c r="Q526" s="17">
        <f t="shared" si="428"/>
        <v>806970</v>
      </c>
      <c r="R526" s="16"/>
      <c r="S526" s="60">
        <f t="shared" si="429"/>
        <v>0.16403055152865828</v>
      </c>
      <c r="T526" s="16"/>
      <c r="U526" s="41"/>
      <c r="V526" s="10">
        <f t="shared" si="349"/>
        <v>418</v>
      </c>
      <c r="W526" s="34">
        <v>1127</v>
      </c>
      <c r="X526" s="33">
        <v>4256</v>
      </c>
      <c r="Y526" s="33"/>
      <c r="Z526" s="33">
        <f t="shared" si="430"/>
        <v>3529</v>
      </c>
      <c r="AA526" s="33">
        <f t="shared" si="431"/>
        <v>621861</v>
      </c>
      <c r="AB526" s="33"/>
      <c r="AC526" s="46">
        <f t="shared" si="432"/>
        <v>1.6845043268796708E-2</v>
      </c>
      <c r="AD526" s="33"/>
      <c r="AE526" s="33">
        <f t="shared" si="433"/>
        <v>1202.825918762089</v>
      </c>
      <c r="AF526" s="50"/>
      <c r="AG526" s="33">
        <f t="shared" si="434"/>
        <v>4189</v>
      </c>
      <c r="AH526" s="33">
        <f>SUM(D497:D997)</f>
        <v>1124290187.060914</v>
      </c>
      <c r="AI526" s="213">
        <f t="shared" si="435"/>
        <v>0.24858420268256334</v>
      </c>
      <c r="AJ526" s="50"/>
      <c r="AK526" s="111"/>
      <c r="AL526" s="23">
        <f t="shared" si="436"/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61">
        <f t="shared" si="437"/>
        <v>1.6274939890405524E-3</v>
      </c>
      <c r="AS526" s="25"/>
      <c r="AT526" s="25"/>
      <c r="AU526" s="24"/>
      <c r="AV526" s="298">
        <f t="shared" si="438"/>
        <v>0.82190454543201308</v>
      </c>
      <c r="AW526" s="298"/>
      <c r="AX526" s="24">
        <f t="shared" si="439"/>
        <v>58688.367504835587</v>
      </c>
      <c r="AY526" s="308"/>
      <c r="AZ526" s="111"/>
      <c r="BA526" s="65">
        <f t="shared" si="440"/>
        <v>1381861</v>
      </c>
      <c r="BB526" s="66"/>
      <c r="BC526" s="66">
        <v>561827980</v>
      </c>
      <c r="BD526" s="66"/>
      <c r="BE526" s="66">
        <f t="shared" si="441"/>
        <v>158127</v>
      </c>
      <c r="BF526" s="66"/>
      <c r="BG526" s="144">
        <f t="shared" si="442"/>
        <v>0.11443046731907189</v>
      </c>
      <c r="BH526" s="66"/>
      <c r="BI526" s="170"/>
      <c r="BJ526" s="66"/>
      <c r="BK526" s="66">
        <f t="shared" si="443"/>
        <v>10736895</v>
      </c>
      <c r="BL526" s="66"/>
      <c r="BM526" s="144">
        <f t="shared" si="444"/>
        <v>7.5158600321601363E-2</v>
      </c>
      <c r="BN526" s="65">
        <f t="shared" si="445"/>
        <v>1086707.8916827852</v>
      </c>
      <c r="BO526" s="66"/>
      <c r="BP526" s="66">
        <f t="shared" si="446"/>
        <v>36009579</v>
      </c>
      <c r="BQ526" s="66"/>
      <c r="BR526" s="435">
        <f t="shared" si="447"/>
        <v>6.4093602102195057E-2</v>
      </c>
      <c r="BS526" s="66"/>
      <c r="BT526" s="75"/>
      <c r="BU526" s="170"/>
      <c r="BV526" s="1"/>
      <c r="BW526" s="61">
        <f t="shared" si="399"/>
        <v>517</v>
      </c>
    </row>
    <row r="527" spans="2:75" x14ac:dyDescent="0.3">
      <c r="B527" s="158">
        <f t="shared" si="448"/>
        <v>44427</v>
      </c>
      <c r="C527" s="61"/>
      <c r="D527" s="17">
        <v>154917</v>
      </c>
      <c r="E527" s="16"/>
      <c r="F527" s="16"/>
      <c r="G527" s="16"/>
      <c r="H527" s="16">
        <f t="shared" si="424"/>
        <v>37071474</v>
      </c>
      <c r="I527" s="16"/>
      <c r="J527" s="436">
        <f t="shared" si="425"/>
        <v>4.1964097572804527E-3</v>
      </c>
      <c r="K527" s="16"/>
      <c r="L527" s="16"/>
      <c r="M527" s="16"/>
      <c r="N527" s="16">
        <f t="shared" si="426"/>
        <v>818350</v>
      </c>
      <c r="O527" s="16">
        <f t="shared" si="427"/>
        <v>71566.55212355213</v>
      </c>
      <c r="P527" s="41"/>
      <c r="Q527" s="17">
        <f t="shared" si="428"/>
        <v>818350</v>
      </c>
      <c r="R527" s="16"/>
      <c r="S527" s="60">
        <f t="shared" si="429"/>
        <v>0.14319121264739532</v>
      </c>
      <c r="T527" s="16"/>
      <c r="U527" s="41"/>
      <c r="V527" s="10">
        <f t="shared" si="349"/>
        <v>419</v>
      </c>
      <c r="W527" s="34">
        <v>967</v>
      </c>
      <c r="X527" s="33">
        <v>4256</v>
      </c>
      <c r="Y527" s="33"/>
      <c r="Z527" s="33">
        <f t="shared" si="430"/>
        <v>3727</v>
      </c>
      <c r="AA527" s="33">
        <f t="shared" si="431"/>
        <v>622828</v>
      </c>
      <c r="AB527" s="33"/>
      <c r="AC527" s="46">
        <f t="shared" si="432"/>
        <v>1.6800734710467675E-2</v>
      </c>
      <c r="AD527" s="33"/>
      <c r="AE527" s="33">
        <f t="shared" si="433"/>
        <v>1202.3706563706564</v>
      </c>
      <c r="AF527" s="50"/>
      <c r="AG527" s="33">
        <f t="shared" si="434"/>
        <v>4496</v>
      </c>
      <c r="AH527" s="33">
        <f>SUM(D498:D998)</f>
        <v>1124245955.060914</v>
      </c>
      <c r="AI527" s="213">
        <f t="shared" si="435"/>
        <v>0.30092592592592593</v>
      </c>
      <c r="AJ527" s="50"/>
      <c r="AK527" s="111"/>
      <c r="AL527" s="23">
        <f t="shared" si="436"/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61">
        <f t="shared" si="437"/>
        <v>1.6077774466623466E-3</v>
      </c>
      <c r="AS527" s="25"/>
      <c r="AT527" s="25"/>
      <c r="AU527" s="24"/>
      <c r="AV527" s="298">
        <f t="shared" si="438"/>
        <v>0.81978582777690467</v>
      </c>
      <c r="AW527" s="298"/>
      <c r="AX527" s="24">
        <f t="shared" si="439"/>
        <v>58669.24517374517</v>
      </c>
      <c r="AY527" s="308"/>
      <c r="AZ527" s="111"/>
      <c r="BA527" s="65">
        <f t="shared" si="440"/>
        <v>1539485</v>
      </c>
      <c r="BB527" s="66"/>
      <c r="BC527" s="66">
        <v>563367465</v>
      </c>
      <c r="BD527" s="66"/>
      <c r="BE527" s="66">
        <f t="shared" si="441"/>
        <v>154917</v>
      </c>
      <c r="BF527" s="66"/>
      <c r="BG527" s="144">
        <f t="shared" si="442"/>
        <v>0.10062910648690958</v>
      </c>
      <c r="BH527" s="66"/>
      <c r="BI527" s="170"/>
      <c r="BJ527" s="66"/>
      <c r="BK527" s="66">
        <f t="shared" si="443"/>
        <v>10959284</v>
      </c>
      <c r="BL527" s="66"/>
      <c r="BM527" s="144">
        <f t="shared" si="444"/>
        <v>7.4671849000354409E-2</v>
      </c>
      <c r="BN527" s="65">
        <f t="shared" si="445"/>
        <v>1087581.9787644788</v>
      </c>
      <c r="BO527" s="66"/>
      <c r="BP527" s="66">
        <f t="shared" si="446"/>
        <v>36164496</v>
      </c>
      <c r="BQ527" s="66"/>
      <c r="BR527" s="435">
        <f t="shared" si="447"/>
        <v>6.4193440776705135E-2</v>
      </c>
      <c r="BS527" s="66"/>
      <c r="BT527" s="75"/>
      <c r="BU527" s="170"/>
      <c r="BV527" s="1"/>
      <c r="BW527" s="61">
        <f t="shared" si="399"/>
        <v>518</v>
      </c>
    </row>
    <row r="528" spans="2:75" x14ac:dyDescent="0.3">
      <c r="B528" s="158">
        <f t="shared" si="448"/>
        <v>44428</v>
      </c>
      <c r="C528" s="61"/>
      <c r="D528" s="17">
        <v>151108</v>
      </c>
      <c r="E528" s="16"/>
      <c r="F528" s="16"/>
      <c r="G528" s="16"/>
      <c r="H528" s="16">
        <f t="shared" si="424"/>
        <v>37222582</v>
      </c>
      <c r="I528" s="16"/>
      <c r="J528" s="436">
        <f t="shared" si="425"/>
        <v>4.076126026173116E-3</v>
      </c>
      <c r="K528" s="16"/>
      <c r="L528" s="16"/>
      <c r="M528" s="16"/>
      <c r="N528" s="16">
        <f t="shared" si="426"/>
        <v>814161</v>
      </c>
      <c r="O528" s="16">
        <f t="shared" si="427"/>
        <v>71719.811175337192</v>
      </c>
      <c r="P528" s="41"/>
      <c r="Q528" s="17">
        <f t="shared" si="428"/>
        <v>814161</v>
      </c>
      <c r="R528" s="16"/>
      <c r="S528" s="60">
        <f t="shared" si="429"/>
        <v>9.9566742927834601E-2</v>
      </c>
      <c r="T528" s="16"/>
      <c r="U528" s="41"/>
      <c r="V528" s="10">
        <f t="shared" si="349"/>
        <v>420</v>
      </c>
      <c r="W528" s="34">
        <v>1059</v>
      </c>
      <c r="X528" s="33">
        <v>4256</v>
      </c>
      <c r="Y528" s="33"/>
      <c r="Z528" s="33">
        <f t="shared" si="430"/>
        <v>4528</v>
      </c>
      <c r="AA528" s="33">
        <f t="shared" si="431"/>
        <v>623887</v>
      </c>
      <c r="AB528" s="33"/>
      <c r="AC528" s="46">
        <f t="shared" si="432"/>
        <v>1.6760981277440669E-2</v>
      </c>
      <c r="AD528" s="33"/>
      <c r="AE528" s="33">
        <f t="shared" si="433"/>
        <v>1202.0944123314066</v>
      </c>
      <c r="AF528" s="50"/>
      <c r="AG528" s="33">
        <f t="shared" si="434"/>
        <v>4786</v>
      </c>
      <c r="AH528" s="33">
        <f>SUM(D499:D999)</f>
        <v>1124189430.060914</v>
      </c>
      <c r="AI528" s="213">
        <f t="shared" si="435"/>
        <v>0.37726618705035969</v>
      </c>
      <c r="AJ528" s="50"/>
      <c r="AK528" s="111"/>
      <c r="AL528" s="23">
        <f t="shared" si="436"/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61">
        <f t="shared" si="437"/>
        <v>1.5981879174821719E-3</v>
      </c>
      <c r="AS528" s="25"/>
      <c r="AT528" s="25"/>
      <c r="AU528" s="24"/>
      <c r="AV528" s="298">
        <f t="shared" si="438"/>
        <v>0.81776269577430172</v>
      </c>
      <c r="AW528" s="298"/>
      <c r="AX528" s="24">
        <f t="shared" si="439"/>
        <v>58649.78612716763</v>
      </c>
      <c r="AY528" s="308"/>
      <c r="AZ528" s="111"/>
      <c r="BA528" s="65">
        <f t="shared" si="440"/>
        <v>1649005</v>
      </c>
      <c r="BB528" s="66"/>
      <c r="BC528" s="66">
        <v>565016470</v>
      </c>
      <c r="BD528" s="66"/>
      <c r="BE528" s="66">
        <f t="shared" si="441"/>
        <v>151108</v>
      </c>
      <c r="BF528" s="66"/>
      <c r="BG528" s="144">
        <f t="shared" si="442"/>
        <v>9.163586526420478E-2</v>
      </c>
      <c r="BH528" s="66"/>
      <c r="BI528" s="170"/>
      <c r="BJ528" s="66"/>
      <c r="BK528" s="66">
        <f t="shared" si="443"/>
        <v>11049147</v>
      </c>
      <c r="BL528" s="66"/>
      <c r="BM528" s="144">
        <f t="shared" si="444"/>
        <v>7.3685416620848654E-2</v>
      </c>
      <c r="BN528" s="65">
        <f t="shared" si="445"/>
        <v>1088663.7186897881</v>
      </c>
      <c r="BO528" s="66"/>
      <c r="BP528" s="66">
        <f t="shared" si="446"/>
        <v>36315604</v>
      </c>
      <c r="BQ528" s="66"/>
      <c r="BR528" s="435">
        <f t="shared" si="447"/>
        <v>6.427353170784561E-2</v>
      </c>
      <c r="BS528" s="66"/>
      <c r="BT528" s="75"/>
      <c r="BU528" s="170"/>
      <c r="BV528" s="1"/>
      <c r="BW528" s="61">
        <f t="shared" si="399"/>
        <v>519</v>
      </c>
    </row>
    <row r="529" spans="2:75" x14ac:dyDescent="0.3">
      <c r="B529" s="158">
        <f t="shared" si="448"/>
        <v>44429</v>
      </c>
      <c r="C529" s="61"/>
      <c r="D529" s="17">
        <v>145083</v>
      </c>
      <c r="E529" s="16"/>
      <c r="F529" s="16"/>
      <c r="G529" s="16"/>
      <c r="H529" s="16">
        <f t="shared" si="424"/>
        <v>37367665</v>
      </c>
      <c r="I529" s="16"/>
      <c r="J529" s="436">
        <f t="shared" si="425"/>
        <v>3.8977145647768334E-3</v>
      </c>
      <c r="K529" s="16"/>
      <c r="L529" s="16"/>
      <c r="M529" s="16"/>
      <c r="N529" s="16">
        <f t="shared" si="426"/>
        <v>888109</v>
      </c>
      <c r="O529" s="16">
        <f t="shared" si="427"/>
        <v>71860.894230769234</v>
      </c>
      <c r="P529" s="41"/>
      <c r="Q529" s="17">
        <f t="shared" si="428"/>
        <v>888109</v>
      </c>
      <c r="R529" s="16"/>
      <c r="S529" s="60">
        <f t="shared" si="429"/>
        <v>0.19590828724669179</v>
      </c>
      <c r="T529" s="16"/>
      <c r="U529" s="41"/>
      <c r="V529" s="10">
        <f t="shared" si="349"/>
        <v>421</v>
      </c>
      <c r="W529" s="34">
        <v>783</v>
      </c>
      <c r="X529" s="33">
        <v>4256</v>
      </c>
      <c r="Y529" s="33"/>
      <c r="Z529" s="33">
        <f t="shared" si="430"/>
        <v>5189</v>
      </c>
      <c r="AA529" s="33">
        <f t="shared" si="431"/>
        <v>624670</v>
      </c>
      <c r="AB529" s="33"/>
      <c r="AC529" s="46">
        <f t="shared" si="432"/>
        <v>1.6716859348851473E-2</v>
      </c>
      <c r="AD529" s="33"/>
      <c r="AE529" s="33">
        <f t="shared" si="433"/>
        <v>1201.2884615384614</v>
      </c>
      <c r="AF529" s="50"/>
      <c r="AG529" s="33">
        <f t="shared" si="434"/>
        <v>5311</v>
      </c>
      <c r="AH529" s="33">
        <f>SUM(D500:D1000)</f>
        <v>1124127779.060914</v>
      </c>
      <c r="AI529" s="213">
        <f t="shared" si="435"/>
        <v>0.55610899501904487</v>
      </c>
      <c r="AJ529" s="50"/>
      <c r="AK529" s="111"/>
      <c r="AL529" s="23">
        <f t="shared" si="436"/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61">
        <f t="shared" si="437"/>
        <v>1.1586032094954804E-3</v>
      </c>
      <c r="AS529" s="25"/>
      <c r="AT529" s="25"/>
      <c r="AU529" s="24"/>
      <c r="AV529" s="298">
        <f t="shared" si="438"/>
        <v>0.81553144944967793</v>
      </c>
      <c r="AW529" s="298"/>
      <c r="AX529" s="24">
        <f t="shared" si="439"/>
        <v>58604.81923076923</v>
      </c>
      <c r="AY529" s="308"/>
      <c r="AZ529" s="111"/>
      <c r="BA529" s="65">
        <f t="shared" si="440"/>
        <v>1071283</v>
      </c>
      <c r="BB529" s="66"/>
      <c r="BC529" s="66">
        <v>566087753</v>
      </c>
      <c r="BD529" s="66"/>
      <c r="BE529" s="66">
        <f t="shared" si="441"/>
        <v>145083</v>
      </c>
      <c r="BF529" s="66"/>
      <c r="BG529" s="144">
        <f t="shared" si="442"/>
        <v>0.13542920031401601</v>
      </c>
      <c r="BH529" s="66"/>
      <c r="BI529" s="170"/>
      <c r="BJ529" s="66"/>
      <c r="BK529" s="66">
        <f t="shared" si="443"/>
        <v>11344752</v>
      </c>
      <c r="BL529" s="66"/>
      <c r="BM529" s="144">
        <f t="shared" si="444"/>
        <v>7.8283685707717543E-2</v>
      </c>
      <c r="BN529" s="65">
        <f t="shared" si="445"/>
        <v>1088630.2942307692</v>
      </c>
      <c r="BO529" s="66"/>
      <c r="BP529" s="66">
        <f t="shared" si="446"/>
        <v>36460687</v>
      </c>
      <c r="BQ529" s="66"/>
      <c r="BR529" s="435">
        <f t="shared" si="447"/>
        <v>6.4408189025067994E-2</v>
      </c>
      <c r="BS529" s="66"/>
      <c r="BT529" s="75"/>
      <c r="BU529" s="170"/>
      <c r="BV529" s="1"/>
      <c r="BW529" s="61">
        <f t="shared" si="399"/>
        <v>520</v>
      </c>
    </row>
    <row r="530" spans="2:75" x14ac:dyDescent="0.3">
      <c r="B530" s="347">
        <f t="shared" si="448"/>
        <v>44430</v>
      </c>
      <c r="C530" s="61"/>
      <c r="D530" s="17">
        <v>99183</v>
      </c>
      <c r="E530" s="16"/>
      <c r="F530" s="16"/>
      <c r="G530" s="16"/>
      <c r="H530" s="16">
        <f t="shared" si="424"/>
        <v>37466848</v>
      </c>
      <c r="I530" s="16"/>
      <c r="J530" s="436">
        <f t="shared" si="425"/>
        <v>2.6542466595116392E-3</v>
      </c>
      <c r="K530" s="16"/>
      <c r="L530" s="16"/>
      <c r="M530" s="16"/>
      <c r="N530" s="16">
        <f t="shared" si="426"/>
        <v>956409</v>
      </c>
      <c r="O530" s="16">
        <f t="shared" si="427"/>
        <v>71913.335892514398</v>
      </c>
      <c r="P530" s="41"/>
      <c r="Q530" s="17">
        <f t="shared" si="428"/>
        <v>956409</v>
      </c>
      <c r="R530" s="16"/>
      <c r="S530" s="60">
        <f t="shared" si="429"/>
        <v>0.27671682356270588</v>
      </c>
      <c r="T530" s="16"/>
      <c r="U530" s="41"/>
      <c r="V530" s="10">
        <f t="shared" si="349"/>
        <v>422</v>
      </c>
      <c r="W530" s="34">
        <v>387</v>
      </c>
      <c r="X530" s="33">
        <v>4256</v>
      </c>
      <c r="Y530" s="33"/>
      <c r="Z530" s="33">
        <f t="shared" si="430"/>
        <v>5268</v>
      </c>
      <c r="AA530" s="33">
        <f t="shared" si="431"/>
        <v>625057</v>
      </c>
      <c r="AB530" s="33"/>
      <c r="AC530" s="46">
        <f t="shared" si="432"/>
        <v>1.6682935271202959E-2</v>
      </c>
      <c r="AD530" s="33"/>
      <c r="AE530" s="33">
        <f t="shared" si="433"/>
        <v>1199.725527831094</v>
      </c>
      <c r="AF530" s="50"/>
      <c r="AG530" s="33">
        <f t="shared" si="434"/>
        <v>5576</v>
      </c>
      <c r="AH530" s="33">
        <f>SUM(D501:D1001)</f>
        <v>1124060294.060914</v>
      </c>
      <c r="AI530" s="213">
        <f t="shared" si="435"/>
        <v>0.63711098062243099</v>
      </c>
      <c r="AJ530" s="50"/>
      <c r="AK530" s="111"/>
      <c r="AL530" s="23">
        <f t="shared" si="436"/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61">
        <f t="shared" si="437"/>
        <v>6.2491579026744521E-4</v>
      </c>
      <c r="AS530" s="25"/>
      <c r="AT530" s="25"/>
      <c r="AU530" s="24"/>
      <c r="AV530" s="298">
        <f t="shared" si="438"/>
        <v>0.81388084740942179</v>
      </c>
      <c r="AW530" s="298"/>
      <c r="AX530" s="24">
        <f t="shared" si="439"/>
        <v>58528.886756238004</v>
      </c>
      <c r="AY530" s="308"/>
      <c r="AZ530" s="111"/>
      <c r="BA530" s="65">
        <f t="shared" si="440"/>
        <v>1182942</v>
      </c>
      <c r="BB530" s="66"/>
      <c r="BC530" s="66">
        <v>567270695</v>
      </c>
      <c r="BD530" s="66"/>
      <c r="BE530" s="66">
        <f t="shared" si="441"/>
        <v>99183</v>
      </c>
      <c r="BF530" s="66"/>
      <c r="BG530" s="144">
        <f t="shared" si="442"/>
        <v>8.384434739826635E-2</v>
      </c>
      <c r="BH530" s="66"/>
      <c r="BI530" s="170"/>
      <c r="BJ530" s="66"/>
      <c r="BK530" s="66">
        <f t="shared" si="443"/>
        <v>11837220</v>
      </c>
      <c r="BL530" s="66"/>
      <c r="BM530" s="144">
        <f t="shared" si="444"/>
        <v>8.0796758022576243E-2</v>
      </c>
      <c r="BN530" s="65">
        <f t="shared" si="445"/>
        <v>1088811.3147792707</v>
      </c>
      <c r="BO530" s="66"/>
      <c r="BP530" s="66">
        <f t="shared" si="446"/>
        <v>36559870</v>
      </c>
      <c r="BQ530" s="66"/>
      <c r="BR530" s="435">
        <f t="shared" si="447"/>
        <v>6.4448719671655164E-2</v>
      </c>
      <c r="BS530" s="66"/>
      <c r="BT530" s="75"/>
      <c r="BU530" s="170"/>
      <c r="BV530" s="1"/>
      <c r="BW530" s="61">
        <f t="shared" si="399"/>
        <v>521</v>
      </c>
    </row>
    <row r="531" spans="2:75" x14ac:dyDescent="0.3">
      <c r="B531" s="158">
        <f t="shared" si="448"/>
        <v>44431</v>
      </c>
      <c r="C531" s="61"/>
      <c r="D531" s="17">
        <v>111134</v>
      </c>
      <c r="E531" s="16"/>
      <c r="F531" s="16"/>
      <c r="G531" s="16"/>
      <c r="H531" s="16">
        <f t="shared" si="424"/>
        <v>37577982</v>
      </c>
      <c r="I531" s="16"/>
      <c r="J531" s="436">
        <f t="shared" si="425"/>
        <v>2.9661956084483009E-3</v>
      </c>
      <c r="K531" s="16"/>
      <c r="L531" s="16"/>
      <c r="M531" s="16"/>
      <c r="N531" s="16">
        <f t="shared" si="426"/>
        <v>963846</v>
      </c>
      <c r="O531" s="16">
        <f t="shared" si="427"/>
        <v>71988.471264367821</v>
      </c>
      <c r="P531" s="41"/>
      <c r="Q531" s="17">
        <f t="shared" si="428"/>
        <v>963846</v>
      </c>
      <c r="R531" s="16"/>
      <c r="S531" s="60">
        <f t="shared" si="429"/>
        <v>0.28437792329279699</v>
      </c>
      <c r="T531" s="16"/>
      <c r="U531" s="41"/>
      <c r="V531" s="10">
        <f t="shared" si="349"/>
        <v>423</v>
      </c>
      <c r="W531" s="34">
        <v>406</v>
      </c>
      <c r="X531" s="33">
        <v>4256</v>
      </c>
      <c r="Y531" s="33"/>
      <c r="Z531" s="33">
        <f t="shared" si="430"/>
        <v>4729</v>
      </c>
      <c r="AA531" s="33">
        <f t="shared" si="431"/>
        <v>625463</v>
      </c>
      <c r="AB531" s="33"/>
      <c r="AC531" s="46">
        <f t="shared" si="432"/>
        <v>1.6644400968631047E-2</v>
      </c>
      <c r="AD531" s="33"/>
      <c r="AE531" s="33">
        <f t="shared" si="433"/>
        <v>1198.2049808429119</v>
      </c>
      <c r="AF531" s="50"/>
      <c r="AG531" s="33">
        <f t="shared" si="434"/>
        <v>5674</v>
      </c>
      <c r="AH531" s="33">
        <f>SUM(D502:D1002)</f>
        <v>1124023515.060914</v>
      </c>
      <c r="AI531" s="213">
        <f t="shared" si="435"/>
        <v>0.67473435655253833</v>
      </c>
      <c r="AJ531" s="50"/>
      <c r="AK531" s="111"/>
      <c r="AL531" s="23">
        <f t="shared" si="436"/>
        <v>76679</v>
      </c>
      <c r="AM531" s="24"/>
      <c r="AN531" s="24"/>
      <c r="AO531" s="24">
        <v>178263</v>
      </c>
      <c r="AP531" s="24">
        <v>30570229</v>
      </c>
      <c r="AQ531" s="24">
        <v>20336656</v>
      </c>
      <c r="AR531" s="461">
        <f t="shared" si="437"/>
        <v>2.5145973492755025E-3</v>
      </c>
      <c r="AS531" s="25"/>
      <c r="AT531" s="25"/>
      <c r="AU531" s="24"/>
      <c r="AV531" s="298">
        <f t="shared" si="438"/>
        <v>0.81351438722813796</v>
      </c>
      <c r="AW531" s="298"/>
      <c r="AX531" s="24">
        <f t="shared" si="439"/>
        <v>58563.657088122607</v>
      </c>
      <c r="AY531" s="308"/>
      <c r="AZ531" s="111"/>
      <c r="BA531" s="65">
        <f t="shared" si="440"/>
        <v>1795660</v>
      </c>
      <c r="BB531" s="66"/>
      <c r="BC531" s="66">
        <v>569066355</v>
      </c>
      <c r="BD531" s="66"/>
      <c r="BE531" s="66">
        <f t="shared" si="441"/>
        <v>111134</v>
      </c>
      <c r="BF531" s="66"/>
      <c r="BG531" s="144">
        <f t="shared" si="442"/>
        <v>6.1890335586915118E-2</v>
      </c>
      <c r="BH531" s="66"/>
      <c r="BI531" s="170"/>
      <c r="BJ531" s="66"/>
      <c r="BK531" s="66">
        <f t="shared" si="443"/>
        <v>10921527</v>
      </c>
      <c r="BL531" s="66"/>
      <c r="BM531" s="144">
        <f t="shared" si="444"/>
        <v>8.825194498901115E-2</v>
      </c>
      <c r="BN531" s="65">
        <f t="shared" si="445"/>
        <v>1090165.4310344828</v>
      </c>
      <c r="BO531" s="66"/>
      <c r="BP531" s="66">
        <f t="shared" si="446"/>
        <v>36671004</v>
      </c>
      <c r="BQ531" s="66"/>
      <c r="BR531" s="435">
        <f t="shared" si="447"/>
        <v>6.4440646820527636E-2</v>
      </c>
      <c r="BS531" s="66"/>
      <c r="BT531" s="75"/>
      <c r="BU531" s="170"/>
      <c r="BV531" s="1"/>
      <c r="BW531" s="61">
        <f t="shared" si="399"/>
        <v>522</v>
      </c>
    </row>
    <row r="532" spans="2:75" x14ac:dyDescent="0.3">
      <c r="B532" s="158">
        <f t="shared" si="448"/>
        <v>44432</v>
      </c>
      <c r="C532" s="61"/>
      <c r="D532" s="17">
        <v>147619</v>
      </c>
      <c r="E532" s="16"/>
      <c r="F532" s="16"/>
      <c r="G532" s="16"/>
      <c r="H532" s="16">
        <f t="shared" si="424"/>
        <v>37725601</v>
      </c>
      <c r="I532" s="16"/>
      <c r="J532" s="436">
        <f t="shared" si="425"/>
        <v>3.9283376100398368E-3</v>
      </c>
      <c r="K532" s="16"/>
      <c r="L532" s="16"/>
      <c r="M532" s="16"/>
      <c r="N532" s="16">
        <f t="shared" si="426"/>
        <v>967171</v>
      </c>
      <c r="O532" s="16">
        <f t="shared" si="427"/>
        <v>72133.080305927346</v>
      </c>
      <c r="P532" s="41"/>
      <c r="Q532" s="17">
        <f t="shared" si="428"/>
        <v>967171</v>
      </c>
      <c r="R532" s="16"/>
      <c r="S532" s="60">
        <f t="shared" si="429"/>
        <v>0.21890083909068683</v>
      </c>
      <c r="T532" s="16"/>
      <c r="U532" s="41"/>
      <c r="V532" s="10">
        <f t="shared" si="349"/>
        <v>424</v>
      </c>
      <c r="W532" s="34">
        <v>1134</v>
      </c>
      <c r="X532" s="33">
        <v>4256</v>
      </c>
      <c r="Y532" s="33"/>
      <c r="Z532" s="33">
        <f t="shared" si="430"/>
        <v>4736</v>
      </c>
      <c r="AA532" s="33">
        <f t="shared" si="431"/>
        <v>626597</v>
      </c>
      <c r="AB532" s="33"/>
      <c r="AC532" s="46">
        <f t="shared" si="432"/>
        <v>1.6609331154194204E-2</v>
      </c>
      <c r="AD532" s="33"/>
      <c r="AE532" s="33">
        <f t="shared" si="433"/>
        <v>1198.0822179732313</v>
      </c>
      <c r="AF532" s="50"/>
      <c r="AG532" s="33">
        <f t="shared" si="434"/>
        <v>5863</v>
      </c>
      <c r="AH532" s="33">
        <f>SUM(D503:D1003)</f>
        <v>1124009697.060914</v>
      </c>
      <c r="AI532" s="213">
        <f t="shared" si="435"/>
        <v>0.59494015233949948</v>
      </c>
      <c r="AJ532" s="50"/>
      <c r="AK532" s="111"/>
      <c r="AL532" s="23">
        <f t="shared" si="436"/>
        <v>48415</v>
      </c>
      <c r="AM532" s="24"/>
      <c r="AN532" s="24"/>
      <c r="AO532" s="24">
        <v>178263</v>
      </c>
      <c r="AP532" s="24">
        <v>30618644</v>
      </c>
      <c r="AQ532" s="24">
        <v>20336656</v>
      </c>
      <c r="AR532" s="461">
        <f t="shared" si="437"/>
        <v>1.5837303672144557E-3</v>
      </c>
      <c r="AS532" s="25"/>
      <c r="AT532" s="25"/>
      <c r="AU532" s="24"/>
      <c r="AV532" s="298">
        <f t="shared" si="438"/>
        <v>0.81161447898470851</v>
      </c>
      <c r="AW532" s="298"/>
      <c r="AX532" s="24">
        <f t="shared" si="439"/>
        <v>58544.252390057358</v>
      </c>
      <c r="AY532" s="308"/>
      <c r="AZ532" s="111"/>
      <c r="BA532" s="65">
        <f t="shared" si="440"/>
        <v>1447069</v>
      </c>
      <c r="BB532" s="66"/>
      <c r="BC532" s="66">
        <v>570513424</v>
      </c>
      <c r="BD532" s="66"/>
      <c r="BE532" s="66">
        <f t="shared" si="441"/>
        <v>147619</v>
      </c>
      <c r="BF532" s="66"/>
      <c r="BG532" s="144">
        <f t="shared" si="442"/>
        <v>0.10201241267693524</v>
      </c>
      <c r="BH532" s="66"/>
      <c r="BI532" s="170"/>
      <c r="BJ532" s="66"/>
      <c r="BK532" s="66">
        <f t="shared" si="443"/>
        <v>10067305</v>
      </c>
      <c r="BL532" s="66"/>
      <c r="BM532" s="144">
        <f t="shared" si="444"/>
        <v>9.6070497516465431E-2</v>
      </c>
      <c r="BN532" s="65">
        <f t="shared" si="445"/>
        <v>1090847.8470363289</v>
      </c>
      <c r="BO532" s="66"/>
      <c r="BP532" s="66">
        <f t="shared" si="446"/>
        <v>36818623</v>
      </c>
      <c r="BQ532" s="66"/>
      <c r="BR532" s="435">
        <f t="shared" si="447"/>
        <v>6.4535945082336926E-2</v>
      </c>
      <c r="BS532" s="66"/>
      <c r="BT532" s="75"/>
      <c r="BU532" s="170"/>
      <c r="BV532" s="1"/>
      <c r="BW532" s="61">
        <f t="shared" si="399"/>
        <v>523</v>
      </c>
    </row>
    <row r="533" spans="2:75" x14ac:dyDescent="0.3">
      <c r="B533" s="158">
        <f t="shared" si="448"/>
        <v>44433</v>
      </c>
      <c r="C533" s="61"/>
      <c r="D533" s="17">
        <v>171737</v>
      </c>
      <c r="E533" s="16"/>
      <c r="F533" s="16"/>
      <c r="G533" s="16"/>
      <c r="H533" s="16">
        <f t="shared" si="424"/>
        <v>37897338</v>
      </c>
      <c r="I533" s="16"/>
      <c r="J533" s="436">
        <f t="shared" si="425"/>
        <v>4.5522667750210258E-3</v>
      </c>
      <c r="K533" s="16"/>
      <c r="L533" s="16"/>
      <c r="M533" s="16"/>
      <c r="N533" s="16">
        <f t="shared" si="426"/>
        <v>980781</v>
      </c>
      <c r="O533" s="16">
        <f t="shared" si="427"/>
        <v>72323.164122137401</v>
      </c>
      <c r="P533" s="41"/>
      <c r="Q533" s="17">
        <f t="shared" si="428"/>
        <v>980781</v>
      </c>
      <c r="R533" s="16"/>
      <c r="S533" s="60">
        <f t="shared" si="429"/>
        <v>0.21538718911483698</v>
      </c>
      <c r="T533" s="16"/>
      <c r="U533" s="41"/>
      <c r="V533" s="10">
        <f t="shared" si="349"/>
        <v>425</v>
      </c>
      <c r="W533" s="34">
        <v>1287</v>
      </c>
      <c r="X533" s="33">
        <v>4256</v>
      </c>
      <c r="Y533" s="33"/>
      <c r="Z533" s="33">
        <f t="shared" si="430"/>
        <v>5056</v>
      </c>
      <c r="AA533" s="33">
        <f t="shared" si="431"/>
        <v>627884</v>
      </c>
      <c r="AB533" s="33"/>
      <c r="AC533" s="46">
        <f t="shared" si="432"/>
        <v>1.6568023854340377E-2</v>
      </c>
      <c r="AD533" s="33"/>
      <c r="AE533" s="33">
        <f t="shared" si="433"/>
        <v>1198.2519083969466</v>
      </c>
      <c r="AF533" s="50"/>
      <c r="AG533" s="33">
        <f t="shared" si="434"/>
        <v>6023</v>
      </c>
      <c r="AH533" s="33">
        <f>SUM(D504:D1004)</f>
        <v>1123973881.060914</v>
      </c>
      <c r="AI533" s="213">
        <f t="shared" si="435"/>
        <v>0.43781332060157557</v>
      </c>
      <c r="AJ533" s="50"/>
      <c r="AK533" s="111"/>
      <c r="AL533" s="23">
        <f t="shared" si="436"/>
        <v>59639</v>
      </c>
      <c r="AM533" s="24"/>
      <c r="AN533" s="24"/>
      <c r="AO533" s="24">
        <v>178263</v>
      </c>
      <c r="AP533" s="24">
        <v>30678283</v>
      </c>
      <c r="AQ533" s="24">
        <v>20336656</v>
      </c>
      <c r="AR533" s="461">
        <f t="shared" si="437"/>
        <v>1.9478001703798508E-3</v>
      </c>
      <c r="AS533" s="25"/>
      <c r="AT533" s="25"/>
      <c r="AU533" s="24"/>
      <c r="AV533" s="298">
        <f t="shared" si="438"/>
        <v>0.80951023525715715</v>
      </c>
      <c r="AW533" s="298"/>
      <c r="AX533" s="24">
        <f t="shared" si="439"/>
        <v>58546.341603053435</v>
      </c>
      <c r="AY533" s="308"/>
      <c r="AZ533" s="111"/>
      <c r="BA533" s="65">
        <f t="shared" si="440"/>
        <v>3138100</v>
      </c>
      <c r="BB533" s="66"/>
      <c r="BC533" s="66">
        <v>573651524</v>
      </c>
      <c r="BD533" s="66"/>
      <c r="BE533" s="66">
        <f t="shared" si="441"/>
        <v>171737</v>
      </c>
      <c r="BF533" s="66"/>
      <c r="BG533" s="144">
        <f t="shared" si="442"/>
        <v>5.4726426818775695E-2</v>
      </c>
      <c r="BH533" s="66"/>
      <c r="BI533" s="170"/>
      <c r="BJ533" s="66"/>
      <c r="BK533" s="66">
        <f t="shared" si="443"/>
        <v>11823544</v>
      </c>
      <c r="BL533" s="66"/>
      <c r="BM533" s="144">
        <f t="shared" si="444"/>
        <v>8.2951524517521982E-2</v>
      </c>
      <c r="BN533" s="65">
        <f t="shared" si="445"/>
        <v>1094754.8167938932</v>
      </c>
      <c r="BO533" s="66"/>
      <c r="BP533" s="66">
        <f t="shared" si="446"/>
        <v>36990360</v>
      </c>
      <c r="BQ533" s="66"/>
      <c r="BR533" s="435">
        <f t="shared" si="447"/>
        <v>6.448228315000519E-2</v>
      </c>
      <c r="BS533" s="66"/>
      <c r="BT533" s="75"/>
      <c r="BU533" s="170"/>
      <c r="BV533" s="1"/>
      <c r="BW533" s="61">
        <f t="shared" si="399"/>
        <v>524</v>
      </c>
    </row>
    <row r="534" spans="2:75" x14ac:dyDescent="0.3">
      <c r="B534" s="158">
        <f t="shared" si="448"/>
        <v>44434</v>
      </c>
      <c r="C534" s="61"/>
      <c r="D534" s="17">
        <v>177206</v>
      </c>
      <c r="E534" s="16"/>
      <c r="F534" s="16"/>
      <c r="G534" s="16"/>
      <c r="H534" s="16">
        <f t="shared" si="424"/>
        <v>38074544</v>
      </c>
      <c r="I534" s="16"/>
      <c r="J534" s="436">
        <f t="shared" si="425"/>
        <v>4.6759484795475606E-3</v>
      </c>
      <c r="K534" s="16"/>
      <c r="L534" s="16"/>
      <c r="M534" s="16"/>
      <c r="N534" s="16">
        <f t="shared" si="426"/>
        <v>1003070</v>
      </c>
      <c r="O534" s="16">
        <f t="shared" si="427"/>
        <v>72522.940952380959</v>
      </c>
      <c r="P534" s="41"/>
      <c r="Q534" s="17">
        <f t="shared" si="428"/>
        <v>1003070</v>
      </c>
      <c r="R534" s="16"/>
      <c r="S534" s="60">
        <f t="shared" si="429"/>
        <v>0.22572249037697806</v>
      </c>
      <c r="T534" s="16"/>
      <c r="U534" s="41"/>
      <c r="V534" s="10">
        <f t="shared" si="349"/>
        <v>426</v>
      </c>
      <c r="W534" s="34">
        <v>1338</v>
      </c>
      <c r="X534" s="33">
        <v>4256</v>
      </c>
      <c r="Y534" s="33"/>
      <c r="Z534" s="33">
        <f t="shared" si="430"/>
        <v>5335</v>
      </c>
      <c r="AA534" s="33">
        <f t="shared" si="431"/>
        <v>629222</v>
      </c>
      <c r="AB534" s="33"/>
      <c r="AC534" s="46">
        <f t="shared" si="432"/>
        <v>1.6526054783479481E-2</v>
      </c>
      <c r="AD534" s="33"/>
      <c r="AE534" s="33">
        <f t="shared" si="433"/>
        <v>1198.5180952380952</v>
      </c>
      <c r="AF534" s="50"/>
      <c r="AG534" s="33">
        <f t="shared" si="434"/>
        <v>6394</v>
      </c>
      <c r="AH534" s="33">
        <f>SUM(D505:D1005)</f>
        <v>1123912300.060914</v>
      </c>
      <c r="AI534" s="213">
        <f t="shared" si="435"/>
        <v>0.42215302491103202</v>
      </c>
      <c r="AJ534" s="50"/>
      <c r="AK534" s="111" t="s">
        <v>26</v>
      </c>
      <c r="AL534" s="23">
        <f t="shared" si="436"/>
        <v>21717</v>
      </c>
      <c r="AM534" s="24"/>
      <c r="AN534" s="24"/>
      <c r="AO534" s="24">
        <v>178263</v>
      </c>
      <c r="AP534" s="24">
        <v>30700000</v>
      </c>
      <c r="AQ534" s="24">
        <v>20336656</v>
      </c>
      <c r="AR534" s="461">
        <f t="shared" si="437"/>
        <v>7.0789489750779078E-4</v>
      </c>
      <c r="AS534" s="25"/>
      <c r="AT534" s="25"/>
      <c r="AU534" s="24"/>
      <c r="AV534" s="298">
        <f t="shared" si="438"/>
        <v>0.80631300535076667</v>
      </c>
      <c r="AW534" s="298"/>
      <c r="AX534" s="24">
        <f t="shared" si="439"/>
        <v>58476.190476190473</v>
      </c>
      <c r="AY534" s="308"/>
      <c r="AZ534" s="111" t="s">
        <v>26</v>
      </c>
      <c r="BA534" s="65">
        <f t="shared" si="440"/>
        <v>2348476</v>
      </c>
      <c r="BB534" s="66"/>
      <c r="BC534" s="66">
        <v>576000000</v>
      </c>
      <c r="BD534" s="66"/>
      <c r="BE534" s="66">
        <f t="shared" si="441"/>
        <v>177206</v>
      </c>
      <c r="BF534" s="66"/>
      <c r="BG534" s="144">
        <f t="shared" si="442"/>
        <v>7.5455742362280906E-2</v>
      </c>
      <c r="BH534" s="66"/>
      <c r="BI534" s="170"/>
      <c r="BJ534" s="66"/>
      <c r="BK534" s="66">
        <f t="shared" si="443"/>
        <v>12632535</v>
      </c>
      <c r="BL534" s="66"/>
      <c r="BM534" s="144">
        <f t="shared" si="444"/>
        <v>7.9403698465905698E-2</v>
      </c>
      <c r="BN534" s="65">
        <f t="shared" si="445"/>
        <v>1097142.857142857</v>
      </c>
      <c r="BO534" s="66"/>
      <c r="BP534" s="66">
        <f t="shared" si="446"/>
        <v>37167566</v>
      </c>
      <c r="BQ534" s="66"/>
      <c r="BR534" s="435">
        <f t="shared" si="447"/>
        <v>6.4527024305555555E-2</v>
      </c>
      <c r="BS534" s="66"/>
      <c r="BT534" s="75"/>
      <c r="BU534" s="170"/>
      <c r="BV534" s="1"/>
      <c r="BW534" s="61">
        <f t="shared" si="399"/>
        <v>525</v>
      </c>
    </row>
    <row r="535" spans="2:75" x14ac:dyDescent="0.3">
      <c r="B535" s="158">
        <f t="shared" si="448"/>
        <v>44435</v>
      </c>
      <c r="C535" s="61"/>
      <c r="D535" s="17">
        <v>190370</v>
      </c>
      <c r="E535" s="16"/>
      <c r="F535" s="16"/>
      <c r="G535" s="16"/>
      <c r="H535" s="16">
        <f t="shared" si="424"/>
        <v>38264914</v>
      </c>
      <c r="I535" s="16"/>
      <c r="J535" s="436">
        <f t="shared" si="425"/>
        <v>4.9999285611930112E-3</v>
      </c>
      <c r="K535" s="16"/>
      <c r="L535" s="16"/>
      <c r="M535" s="16"/>
      <c r="N535" s="16">
        <f t="shared" si="426"/>
        <v>1042332</v>
      </c>
      <c r="O535" s="16">
        <f t="shared" si="427"/>
        <v>72746.984790874529</v>
      </c>
      <c r="P535" s="41"/>
      <c r="Q535" s="17">
        <f t="shared" si="428"/>
        <v>1042332</v>
      </c>
      <c r="R535" s="16"/>
      <c r="S535" s="60">
        <f t="shared" si="429"/>
        <v>0.28025292294767251</v>
      </c>
      <c r="T535" s="16"/>
      <c r="U535" s="41"/>
      <c r="V535" s="10">
        <f t="shared" si="349"/>
        <v>427</v>
      </c>
      <c r="W535" s="34">
        <v>1304</v>
      </c>
      <c r="X535" s="33">
        <v>4256</v>
      </c>
      <c r="Y535" s="33"/>
      <c r="Z535" s="33">
        <f t="shared" si="430"/>
        <v>5856</v>
      </c>
      <c r="AA535" s="33">
        <f t="shared" si="431"/>
        <v>630526</v>
      </c>
      <c r="AB535" s="33"/>
      <c r="AC535" s="46">
        <f t="shared" si="432"/>
        <v>1.6477914990217932E-2</v>
      </c>
      <c r="AD535" s="33"/>
      <c r="AE535" s="33">
        <f t="shared" si="433"/>
        <v>1198.7186311787073</v>
      </c>
      <c r="AF535" s="50"/>
      <c r="AG535" s="33">
        <f t="shared" si="434"/>
        <v>6639</v>
      </c>
      <c r="AH535" s="33">
        <f>SUM(D506:D1006)</f>
        <v>1123827766.060914</v>
      </c>
      <c r="AI535" s="213">
        <f t="shared" si="435"/>
        <v>0.38717091516924362</v>
      </c>
      <c r="AJ535" s="50"/>
      <c r="AK535" s="111"/>
      <c r="AL535" s="23">
        <f t="shared" si="436"/>
        <v>86368</v>
      </c>
      <c r="AM535" s="24"/>
      <c r="AN535" s="24"/>
      <c r="AO535" s="24">
        <v>178263</v>
      </c>
      <c r="AP535" s="24">
        <v>30786368</v>
      </c>
      <c r="AQ535" s="24">
        <v>20336656</v>
      </c>
      <c r="AR535" s="461">
        <f t="shared" si="437"/>
        <v>2.8132899022801305E-3</v>
      </c>
      <c r="AS535" s="25"/>
      <c r="AT535" s="25"/>
      <c r="AU535" s="24"/>
      <c r="AV535" s="298">
        <f t="shared" si="438"/>
        <v>0.80455866175473434</v>
      </c>
      <c r="AW535" s="298"/>
      <c r="AX535" s="24">
        <f t="shared" si="439"/>
        <v>58529.216730038024</v>
      </c>
      <c r="AY535" s="308"/>
      <c r="AZ535" s="111"/>
      <c r="BA535" s="65">
        <f t="shared" si="440"/>
        <v>1474238</v>
      </c>
      <c r="BB535" s="66"/>
      <c r="BC535" s="66">
        <v>577474238</v>
      </c>
      <c r="BD535" s="66"/>
      <c r="BE535" s="66">
        <f t="shared" si="441"/>
        <v>190370</v>
      </c>
      <c r="BF535" s="66"/>
      <c r="BG535" s="144">
        <f t="shared" si="442"/>
        <v>0.12913111722801882</v>
      </c>
      <c r="BH535" s="66"/>
      <c r="BI535" s="170"/>
      <c r="BJ535" s="66"/>
      <c r="BK535" s="66">
        <f t="shared" si="443"/>
        <v>12457768</v>
      </c>
      <c r="BL535" s="66"/>
      <c r="BM535" s="144">
        <f t="shared" si="444"/>
        <v>8.3669241552740428E-2</v>
      </c>
      <c r="BN535" s="65">
        <f t="shared" si="445"/>
        <v>1097859.7680608365</v>
      </c>
      <c r="BO535" s="66"/>
      <c r="BP535" s="66">
        <f t="shared" si="446"/>
        <v>37357936</v>
      </c>
      <c r="BQ535" s="66"/>
      <c r="BR535" s="435">
        <f t="shared" si="447"/>
        <v>6.4691952543863951E-2</v>
      </c>
      <c r="BS535" s="66"/>
      <c r="BT535" s="75"/>
      <c r="BU535" s="170"/>
      <c r="BV535" s="1"/>
      <c r="BW535" s="61">
        <f t="shared" si="399"/>
        <v>526</v>
      </c>
    </row>
    <row r="536" spans="2:75" x14ac:dyDescent="0.3">
      <c r="B536" s="158">
        <f t="shared" si="448"/>
        <v>44436</v>
      </c>
      <c r="C536" s="61"/>
      <c r="D536" s="17">
        <v>72785</v>
      </c>
      <c r="E536" s="16"/>
      <c r="F536" s="16"/>
      <c r="G536" s="16"/>
      <c r="H536" s="16">
        <f t="shared" ref="H536:H551" si="449">+H535+D536</f>
        <v>38337699</v>
      </c>
      <c r="I536" s="16"/>
      <c r="J536" s="436">
        <f t="shared" ref="J536:J551" si="450">+D536/H535</f>
        <v>1.9021341587230538E-3</v>
      </c>
      <c r="K536" s="16"/>
      <c r="L536" s="16"/>
      <c r="M536" s="16"/>
      <c r="N536" s="16">
        <f t="shared" ref="N536:N551" si="451">SUM(D530:D536)</f>
        <v>970034</v>
      </c>
      <c r="O536" s="16">
        <f t="shared" ref="O536:O551" si="452">+H536/BW536</f>
        <v>72747.056925996207</v>
      </c>
      <c r="P536" s="41"/>
      <c r="Q536" s="17">
        <f t="shared" ref="Q536:Q551" si="453">SUM(D530:D536)</f>
        <v>970034</v>
      </c>
      <c r="R536" s="16"/>
      <c r="S536" s="60">
        <f t="shared" ref="S536:S551" si="454">+(Q536-Q529)/Q529</f>
        <v>9.224655982542683E-2</v>
      </c>
      <c r="T536" s="16"/>
      <c r="U536" s="41"/>
      <c r="V536" s="10">
        <f t="shared" si="349"/>
        <v>428</v>
      </c>
      <c r="W536" s="34">
        <v>648</v>
      </c>
      <c r="X536" s="33">
        <v>4256</v>
      </c>
      <c r="Y536" s="33"/>
      <c r="Z536" s="33">
        <f t="shared" ref="Z536:Z551" si="455">SUM(W531:W536)</f>
        <v>6117</v>
      </c>
      <c r="AA536" s="33">
        <f t="shared" ref="AA536:AA551" si="456">+AA535+W536</f>
        <v>631174</v>
      </c>
      <c r="AB536" s="33"/>
      <c r="AC536" s="46">
        <f t="shared" ref="AC536:AC551" si="457">+AA536/H536</f>
        <v>1.6463533713903904E-2</v>
      </c>
      <c r="AD536" s="33"/>
      <c r="AE536" s="33">
        <f t="shared" ref="AE536:AE551" si="458">+AA536/BW536</f>
        <v>1197.6736242884251</v>
      </c>
      <c r="AF536" s="50"/>
      <c r="AG536" s="33">
        <f t="shared" ref="AG536:AG551" si="459">SUM(W530:W536)</f>
        <v>6504</v>
      </c>
      <c r="AH536" s="33">
        <f>SUM(D507:D1007)</f>
        <v>1123743253.060914</v>
      </c>
      <c r="AI536" s="213">
        <f t="shared" ref="AI536:AI551" si="460">+(AG536-AG529)/AG529</f>
        <v>0.22462813029561288</v>
      </c>
      <c r="AJ536" s="50"/>
      <c r="AK536" s="111"/>
      <c r="AL536" s="23">
        <f t="shared" ref="AL536:AL551" si="461">+AP536-AP535</f>
        <v>25874</v>
      </c>
      <c r="AM536" s="24"/>
      <c r="AN536" s="24"/>
      <c r="AO536" s="24">
        <v>178263</v>
      </c>
      <c r="AP536" s="24">
        <v>30812242</v>
      </c>
      <c r="AQ536" s="24">
        <v>20336656</v>
      </c>
      <c r="AR536" s="461">
        <f t="shared" ref="AR536:AR551" si="462">+AL536/AP535</f>
        <v>8.4043691025846242E-4</v>
      </c>
      <c r="AS536" s="25"/>
      <c r="AT536" s="25"/>
      <c r="AU536" s="24"/>
      <c r="AV536" s="298">
        <f t="shared" ref="AV536:AV551" si="463">+AP536/H536</f>
        <v>0.80370608575126012</v>
      </c>
      <c r="AW536" s="298"/>
      <c r="AX536" s="24">
        <f t="shared" ref="AX536:AX551" si="464">+AP536/BW536</f>
        <v>58467.252371916511</v>
      </c>
      <c r="AY536" s="308"/>
      <c r="AZ536" s="111"/>
      <c r="BA536" s="65">
        <f t="shared" ref="BA536:BA551" si="465">+BC536-BC535</f>
        <v>999373</v>
      </c>
      <c r="BB536" s="66"/>
      <c r="BC536" s="66">
        <v>578473611</v>
      </c>
      <c r="BD536" s="66"/>
      <c r="BE536" s="66">
        <f t="shared" ref="BE536:BE551" si="466">+D536</f>
        <v>72785</v>
      </c>
      <c r="BF536" s="66"/>
      <c r="BG536" s="144">
        <f t="shared" ref="BG536:BG551" si="467">+BE536/BA536</f>
        <v>7.2830664826846428E-2</v>
      </c>
      <c r="BH536" s="66"/>
      <c r="BI536" s="170"/>
      <c r="BJ536" s="66"/>
      <c r="BK536" s="66">
        <f t="shared" ref="BK536:BK551" si="468">SUM(BA530:BA536)</f>
        <v>12385858</v>
      </c>
      <c r="BL536" s="66"/>
      <c r="BM536" s="144">
        <f t="shared" ref="BM536:BM551" si="469">+Q536/BK536</f>
        <v>7.8317868653104208E-2</v>
      </c>
      <c r="BN536" s="65">
        <f t="shared" ref="BN536:BN551" si="470">+BC536/BW536</f>
        <v>1097672.8861480076</v>
      </c>
      <c r="BO536" s="66"/>
      <c r="BP536" s="66">
        <f t="shared" ref="BP536:BP551" si="471">+BP535+BE536</f>
        <v>37430721</v>
      </c>
      <c r="BQ536" s="66"/>
      <c r="BR536" s="435">
        <f t="shared" ref="BR536:BR551" si="472">+BP536/BC536</f>
        <v>6.47060130111968E-2</v>
      </c>
      <c r="BS536" s="66"/>
      <c r="BT536" s="75"/>
      <c r="BU536" s="170"/>
      <c r="BV536" s="1"/>
      <c r="BW536" s="61">
        <f t="shared" si="399"/>
        <v>527</v>
      </c>
    </row>
    <row r="537" spans="2:75" x14ac:dyDescent="0.3">
      <c r="B537" s="347">
        <f t="shared" si="448"/>
        <v>44437</v>
      </c>
      <c r="C537" s="61"/>
      <c r="D537" s="17">
        <v>37262</v>
      </c>
      <c r="E537" s="16"/>
      <c r="F537" s="16"/>
      <c r="G537" s="16"/>
      <c r="H537" s="16">
        <f t="shared" si="449"/>
        <v>38374961</v>
      </c>
      <c r="I537" s="16"/>
      <c r="J537" s="436">
        <f t="shared" si="450"/>
        <v>9.7194148245568937E-4</v>
      </c>
      <c r="K537" s="16"/>
      <c r="L537" s="16"/>
      <c r="M537" s="16"/>
      <c r="N537" s="16">
        <f t="shared" si="451"/>
        <v>908113</v>
      </c>
      <c r="O537" s="16">
        <f t="shared" si="452"/>
        <v>72679.850378787873</v>
      </c>
      <c r="P537" s="41"/>
      <c r="Q537" s="17">
        <f t="shared" si="453"/>
        <v>908113</v>
      </c>
      <c r="R537" s="16"/>
      <c r="S537" s="60">
        <f t="shared" si="454"/>
        <v>-5.0497224513780192E-2</v>
      </c>
      <c r="T537" s="16"/>
      <c r="U537" s="41"/>
      <c r="V537" s="10">
        <f t="shared" si="349"/>
        <v>429</v>
      </c>
      <c r="W537" s="34">
        <v>284</v>
      </c>
      <c r="X537" s="33">
        <v>4256</v>
      </c>
      <c r="Y537" s="33"/>
      <c r="Z537" s="33">
        <f t="shared" si="455"/>
        <v>5995</v>
      </c>
      <c r="AA537" s="33">
        <f t="shared" si="456"/>
        <v>631458</v>
      </c>
      <c r="AB537" s="33"/>
      <c r="AC537" s="46">
        <f t="shared" si="457"/>
        <v>1.6454948319035424E-2</v>
      </c>
      <c r="AD537" s="33"/>
      <c r="AE537" s="33">
        <f t="shared" si="458"/>
        <v>1195.9431818181818</v>
      </c>
      <c r="AF537" s="50"/>
      <c r="AG537" s="33">
        <f t="shared" si="459"/>
        <v>6401</v>
      </c>
      <c r="AH537" s="33">
        <f>SUM(D508:D1008)</f>
        <v>1123642155.060914</v>
      </c>
      <c r="AI537" s="213">
        <f t="shared" si="460"/>
        <v>0.14795552367288378</v>
      </c>
      <c r="AJ537" s="50"/>
      <c r="AK537" s="111"/>
      <c r="AL537" s="23">
        <f t="shared" si="461"/>
        <v>14236</v>
      </c>
      <c r="AM537" s="24"/>
      <c r="AN537" s="24"/>
      <c r="AO537" s="24">
        <v>178263</v>
      </c>
      <c r="AP537" s="24">
        <v>30826478</v>
      </c>
      <c r="AQ537" s="24">
        <v>20336656</v>
      </c>
      <c r="AR537" s="461">
        <f t="shared" si="462"/>
        <v>4.6202415260791476E-4</v>
      </c>
      <c r="AS537" s="25"/>
      <c r="AT537" s="25"/>
      <c r="AU537" s="24"/>
      <c r="AV537" s="298">
        <f t="shared" si="463"/>
        <v>0.80329666002787603</v>
      </c>
      <c r="AW537" s="298"/>
      <c r="AX537" s="24">
        <f t="shared" si="464"/>
        <v>58383.481060606064</v>
      </c>
      <c r="AY537" s="308"/>
      <c r="AZ537" s="111"/>
      <c r="BA537" s="65">
        <f t="shared" si="465"/>
        <v>891043</v>
      </c>
      <c r="BB537" s="66"/>
      <c r="BC537" s="66">
        <v>579364654</v>
      </c>
      <c r="BD537" s="66"/>
      <c r="BE537" s="66">
        <f t="shared" si="466"/>
        <v>37262</v>
      </c>
      <c r="BF537" s="66"/>
      <c r="BG537" s="144">
        <f t="shared" si="467"/>
        <v>4.1818408314750241E-2</v>
      </c>
      <c r="BH537" s="66"/>
      <c r="BI537" s="170"/>
      <c r="BJ537" s="66"/>
      <c r="BK537" s="66">
        <f t="shared" si="468"/>
        <v>12093959</v>
      </c>
      <c r="BL537" s="66"/>
      <c r="BM537" s="144">
        <f t="shared" si="469"/>
        <v>7.508814938102569E-2</v>
      </c>
      <c r="BN537" s="65">
        <f t="shared" si="470"/>
        <v>1097281.5416666667</v>
      </c>
      <c r="BO537" s="66"/>
      <c r="BP537" s="66">
        <f t="shared" si="471"/>
        <v>37467983</v>
      </c>
      <c r="BQ537" s="66"/>
      <c r="BR537" s="435">
        <f t="shared" si="472"/>
        <v>6.4670812658861307E-2</v>
      </c>
      <c r="BS537" s="66"/>
      <c r="BT537" s="75"/>
      <c r="BU537" s="170"/>
      <c r="BV537" s="1"/>
      <c r="BW537" s="61">
        <f t="shared" si="399"/>
        <v>528</v>
      </c>
    </row>
    <row r="538" spans="2:75" x14ac:dyDescent="0.3">
      <c r="B538" s="158">
        <f t="shared" si="448"/>
        <v>44438</v>
      </c>
      <c r="C538" s="61"/>
      <c r="D538" s="17">
        <v>119642</v>
      </c>
      <c r="E538" s="16"/>
      <c r="F538" s="16"/>
      <c r="G538" s="16"/>
      <c r="H538" s="16">
        <f t="shared" si="449"/>
        <v>38494603</v>
      </c>
      <c r="I538" s="16"/>
      <c r="J538" s="436">
        <f t="shared" si="450"/>
        <v>3.1177100088779245E-3</v>
      </c>
      <c r="K538" s="16"/>
      <c r="L538" s="16"/>
      <c r="M538" s="16"/>
      <c r="N538" s="16">
        <f t="shared" si="451"/>
        <v>916621</v>
      </c>
      <c r="O538" s="16">
        <f t="shared" si="452"/>
        <v>72768.625708884691</v>
      </c>
      <c r="P538" s="41"/>
      <c r="Q538" s="17">
        <f t="shared" si="453"/>
        <v>916621</v>
      </c>
      <c r="R538" s="16"/>
      <c r="S538" s="60">
        <f t="shared" si="454"/>
        <v>-4.89964164399707E-2</v>
      </c>
      <c r="T538" s="16"/>
      <c r="U538" s="41"/>
      <c r="V538" s="10">
        <f t="shared" si="349"/>
        <v>430</v>
      </c>
      <c r="W538" s="34">
        <v>569</v>
      </c>
      <c r="X538" s="33">
        <v>4256</v>
      </c>
      <c r="Y538" s="33"/>
      <c r="Z538" s="33">
        <f t="shared" si="455"/>
        <v>5430</v>
      </c>
      <c r="AA538" s="33">
        <f t="shared" si="456"/>
        <v>632027</v>
      </c>
      <c r="AB538" s="33"/>
      <c r="AC538" s="46">
        <f t="shared" si="457"/>
        <v>1.6418587301705645E-2</v>
      </c>
      <c r="AD538" s="33"/>
      <c r="AE538" s="33">
        <f t="shared" si="458"/>
        <v>1194.7580340264651</v>
      </c>
      <c r="AF538" s="50"/>
      <c r="AG538" s="33">
        <f t="shared" si="459"/>
        <v>6564</v>
      </c>
      <c r="AH538" s="33">
        <f>SUM(D509:D1009)</f>
        <v>1123590257.060914</v>
      </c>
      <c r="AI538" s="213">
        <f t="shared" si="460"/>
        <v>0.15685583362707084</v>
      </c>
      <c r="AJ538" s="50"/>
      <c r="AK538" s="111"/>
      <c r="AL538" s="23">
        <f t="shared" si="461"/>
        <v>117987</v>
      </c>
      <c r="AM538" s="24"/>
      <c r="AN538" s="24"/>
      <c r="AO538" s="24">
        <v>178263</v>
      </c>
      <c r="AP538" s="24">
        <v>30944465</v>
      </c>
      <c r="AQ538" s="24">
        <v>20336656</v>
      </c>
      <c r="AR538" s="461">
        <f t="shared" si="462"/>
        <v>3.8274563834376409E-3</v>
      </c>
      <c r="AS538" s="25"/>
      <c r="AT538" s="25"/>
      <c r="AU538" s="24"/>
      <c r="AV538" s="298">
        <f t="shared" si="463"/>
        <v>0.80386502492310419</v>
      </c>
      <c r="AW538" s="298"/>
      <c r="AX538" s="24">
        <f t="shared" si="464"/>
        <v>58496.153119092625</v>
      </c>
      <c r="AY538" s="308"/>
      <c r="AZ538" s="111"/>
      <c r="BA538" s="65">
        <f t="shared" si="465"/>
        <v>3159358</v>
      </c>
      <c r="BB538" s="66"/>
      <c r="BC538" s="66">
        <v>582524012</v>
      </c>
      <c r="BD538" s="66"/>
      <c r="BE538" s="66">
        <f t="shared" si="466"/>
        <v>119642</v>
      </c>
      <c r="BF538" s="66"/>
      <c r="BG538" s="144">
        <f t="shared" si="467"/>
        <v>3.7869086061155466E-2</v>
      </c>
      <c r="BH538" s="66"/>
      <c r="BI538" s="170"/>
      <c r="BJ538" s="66"/>
      <c r="BK538" s="66">
        <f t="shared" si="468"/>
        <v>13457657</v>
      </c>
      <c r="BL538" s="66"/>
      <c r="BM538" s="144">
        <f t="shared" si="469"/>
        <v>6.8111484785204443E-2</v>
      </c>
      <c r="BN538" s="65">
        <f t="shared" si="470"/>
        <v>1101179.6068052929</v>
      </c>
      <c r="BO538" s="66"/>
      <c r="BP538" s="66">
        <f t="shared" si="471"/>
        <v>37587625</v>
      </c>
      <c r="BQ538" s="66"/>
      <c r="BR538" s="435">
        <f t="shared" si="472"/>
        <v>6.4525451699319822E-2</v>
      </c>
      <c r="BS538" s="66"/>
      <c r="BT538" s="75"/>
      <c r="BU538" s="170"/>
      <c r="BV538" s="1"/>
      <c r="BW538" s="61">
        <f t="shared" si="399"/>
        <v>529</v>
      </c>
    </row>
    <row r="539" spans="2:75" x14ac:dyDescent="0.3">
      <c r="B539" s="158">
        <f t="shared" si="448"/>
        <v>44439</v>
      </c>
      <c r="C539" s="61"/>
      <c r="D539" s="17">
        <v>158666</v>
      </c>
      <c r="E539" s="16"/>
      <c r="F539" s="16"/>
      <c r="G539" s="16"/>
      <c r="H539" s="16">
        <f t="shared" si="449"/>
        <v>38653269</v>
      </c>
      <c r="I539" s="16"/>
      <c r="J539" s="436">
        <f t="shared" si="450"/>
        <v>4.1217726027723937E-3</v>
      </c>
      <c r="K539" s="16"/>
      <c r="L539" s="16"/>
      <c r="M539" s="16"/>
      <c r="N539" s="16">
        <f t="shared" si="451"/>
        <v>927668</v>
      </c>
      <c r="O539" s="16">
        <f t="shared" si="452"/>
        <v>72930.696226415093</v>
      </c>
      <c r="P539" s="41"/>
      <c r="Q539" s="17">
        <f t="shared" si="453"/>
        <v>927668</v>
      </c>
      <c r="R539" s="16"/>
      <c r="S539" s="60">
        <f t="shared" si="454"/>
        <v>-4.0843863184483409E-2</v>
      </c>
      <c r="T539" s="16"/>
      <c r="U539" s="41"/>
      <c r="V539" s="10">
        <f t="shared" si="349"/>
        <v>431</v>
      </c>
      <c r="W539" s="34">
        <v>1266</v>
      </c>
      <c r="X539" s="33">
        <v>4256</v>
      </c>
      <c r="Y539" s="33"/>
      <c r="Z539" s="33">
        <f t="shared" si="455"/>
        <v>5409</v>
      </c>
      <c r="AA539" s="33">
        <f t="shared" si="456"/>
        <v>633293</v>
      </c>
      <c r="AB539" s="33"/>
      <c r="AC539" s="46">
        <f t="shared" si="457"/>
        <v>1.6383944136781809E-2</v>
      </c>
      <c r="AD539" s="33"/>
      <c r="AE539" s="33">
        <f t="shared" si="458"/>
        <v>1194.8924528301886</v>
      </c>
      <c r="AF539" s="50"/>
      <c r="AG539" s="33">
        <f t="shared" si="459"/>
        <v>6696</v>
      </c>
      <c r="AH539" s="33">
        <f>SUM(D510:D1010)</f>
        <v>1123568489.060914</v>
      </c>
      <c r="AI539" s="213">
        <f t="shared" si="460"/>
        <v>0.14207743476036158</v>
      </c>
      <c r="AJ539" s="50"/>
      <c r="AK539" s="111"/>
      <c r="AL539" s="23">
        <f t="shared" si="461"/>
        <v>76147</v>
      </c>
      <c r="AM539" s="24"/>
      <c r="AN539" s="24"/>
      <c r="AO539" s="24">
        <v>178263</v>
      </c>
      <c r="AP539" s="24">
        <v>31020612</v>
      </c>
      <c r="AQ539" s="24">
        <v>20336656</v>
      </c>
      <c r="AR539" s="461">
        <f t="shared" si="462"/>
        <v>2.4607631768718574E-3</v>
      </c>
      <c r="AS539" s="25"/>
      <c r="AT539" s="25"/>
      <c r="AU539" s="24"/>
      <c r="AV539" s="298">
        <f t="shared" si="463"/>
        <v>0.8025352784521278</v>
      </c>
      <c r="AW539" s="298"/>
      <c r="AX539" s="24">
        <f t="shared" si="464"/>
        <v>58529.456603773586</v>
      </c>
      <c r="AY539" s="308"/>
      <c r="AZ539" s="111"/>
      <c r="BA539" s="65">
        <f t="shared" si="465"/>
        <v>1787032</v>
      </c>
      <c r="BB539" s="66"/>
      <c r="BC539" s="66">
        <v>584311044</v>
      </c>
      <c r="BD539" s="66"/>
      <c r="BE539" s="66">
        <f t="shared" si="466"/>
        <v>158666</v>
      </c>
      <c r="BF539" s="66"/>
      <c r="BG539" s="144">
        <f t="shared" si="467"/>
        <v>8.8787441970820891E-2</v>
      </c>
      <c r="BH539" s="66"/>
      <c r="BI539" s="170"/>
      <c r="BJ539" s="66"/>
      <c r="BK539" s="66">
        <f t="shared" si="468"/>
        <v>13797620</v>
      </c>
      <c r="BL539" s="66"/>
      <c r="BM539" s="144">
        <f t="shared" si="469"/>
        <v>6.7233914254777274E-2</v>
      </c>
      <c r="BN539" s="65">
        <f t="shared" si="470"/>
        <v>1102473.6679245282</v>
      </c>
      <c r="BO539" s="66"/>
      <c r="BP539" s="66">
        <f t="shared" si="471"/>
        <v>37746291</v>
      </c>
      <c r="BQ539" s="66"/>
      <c r="BR539" s="435">
        <f t="shared" si="472"/>
        <v>6.4599653536584534E-2</v>
      </c>
      <c r="BS539" s="66"/>
      <c r="BT539" s="75"/>
      <c r="BU539" s="170"/>
      <c r="BV539" s="1"/>
      <c r="BW539" s="61">
        <f t="shared" si="399"/>
        <v>530</v>
      </c>
    </row>
    <row r="540" spans="2:75" x14ac:dyDescent="0.3">
      <c r="B540" s="158">
        <f t="shared" si="448"/>
        <v>44440</v>
      </c>
      <c r="C540" s="61"/>
      <c r="D540" s="17">
        <v>184420</v>
      </c>
      <c r="E540" s="16"/>
      <c r="F540" s="16"/>
      <c r="G540" s="16"/>
      <c r="H540" s="16">
        <f t="shared" si="449"/>
        <v>38837689</v>
      </c>
      <c r="I540" s="16"/>
      <c r="J540" s="436">
        <f t="shared" si="450"/>
        <v>4.7711359160851315E-3</v>
      </c>
      <c r="K540" s="16"/>
      <c r="L540" s="16"/>
      <c r="M540" s="16"/>
      <c r="N540" s="16">
        <f t="shared" si="451"/>
        <v>940351</v>
      </c>
      <c r="O540" s="16">
        <f t="shared" si="452"/>
        <v>73140.657250470817</v>
      </c>
      <c r="P540" s="41"/>
      <c r="Q540" s="17">
        <f t="shared" si="453"/>
        <v>940351</v>
      </c>
      <c r="R540" s="16"/>
      <c r="S540" s="60">
        <f t="shared" si="454"/>
        <v>-4.1222250431034044E-2</v>
      </c>
      <c r="T540" s="16"/>
      <c r="U540" s="41"/>
      <c r="V540" s="10">
        <f t="shared" si="349"/>
        <v>432</v>
      </c>
      <c r="W540" s="34">
        <v>1480</v>
      </c>
      <c r="X540" s="33">
        <v>4256</v>
      </c>
      <c r="Y540" s="33"/>
      <c r="Z540" s="33">
        <f t="shared" si="455"/>
        <v>5551</v>
      </c>
      <c r="AA540" s="33">
        <f t="shared" si="456"/>
        <v>634773</v>
      </c>
      <c r="AB540" s="33"/>
      <c r="AC540" s="46">
        <f t="shared" si="457"/>
        <v>1.6344252615030724E-2</v>
      </c>
      <c r="AD540" s="33"/>
      <c r="AE540" s="33">
        <f t="shared" si="458"/>
        <v>1195.4293785310736</v>
      </c>
      <c r="AF540" s="50"/>
      <c r="AG540" s="33">
        <f t="shared" si="459"/>
        <v>6889</v>
      </c>
      <c r="AH540" s="33">
        <f>SUM(D511:D1011)</f>
        <v>1123512120.060914</v>
      </c>
      <c r="AI540" s="213">
        <f t="shared" si="460"/>
        <v>0.14378216835464055</v>
      </c>
      <c r="AJ540" s="50"/>
      <c r="AK540" s="111"/>
      <c r="AL540" s="23">
        <f t="shared" si="461"/>
        <v>117324</v>
      </c>
      <c r="AM540" s="24"/>
      <c r="AN540" s="24"/>
      <c r="AO540" s="24">
        <v>178263</v>
      </c>
      <c r="AP540" s="24">
        <v>31137936</v>
      </c>
      <c r="AQ540" s="24">
        <v>20336656</v>
      </c>
      <c r="AR540" s="461">
        <f t="shared" si="462"/>
        <v>3.7821304105799072E-3</v>
      </c>
      <c r="AS540" s="25"/>
      <c r="AT540" s="25"/>
      <c r="AU540" s="24"/>
      <c r="AV540" s="298">
        <f t="shared" si="463"/>
        <v>0.80174533556824146</v>
      </c>
      <c r="AW540" s="298"/>
      <c r="AX540" s="24">
        <f t="shared" si="464"/>
        <v>58640.180790960454</v>
      </c>
      <c r="AY540" s="308"/>
      <c r="AZ540" s="111"/>
      <c r="BA540" s="65">
        <f t="shared" si="465"/>
        <v>2369139</v>
      </c>
      <c r="BB540" s="66"/>
      <c r="BC540" s="66">
        <v>586680183</v>
      </c>
      <c r="BD540" s="66"/>
      <c r="BE540" s="66">
        <f t="shared" si="466"/>
        <v>184420</v>
      </c>
      <c r="BF540" s="66"/>
      <c r="BG540" s="144">
        <f t="shared" si="467"/>
        <v>7.78426255276706E-2</v>
      </c>
      <c r="BH540" s="66"/>
      <c r="BI540" s="170"/>
      <c r="BJ540" s="66"/>
      <c r="BK540" s="66">
        <f t="shared" si="468"/>
        <v>13028659</v>
      </c>
      <c r="BL540" s="66"/>
      <c r="BM540" s="144">
        <f t="shared" si="469"/>
        <v>7.217557846897367E-2</v>
      </c>
      <c r="BN540" s="65">
        <f t="shared" si="470"/>
        <v>1104859.1016949152</v>
      </c>
      <c r="BO540" s="66"/>
      <c r="BP540" s="66">
        <f t="shared" si="471"/>
        <v>37930711</v>
      </c>
      <c r="BQ540" s="66"/>
      <c r="BR540" s="435">
        <f t="shared" si="472"/>
        <v>6.465313146600693E-2</v>
      </c>
      <c r="BS540" s="66"/>
      <c r="BT540" s="75"/>
      <c r="BU540" s="170"/>
      <c r="BV540" s="1"/>
      <c r="BW540" s="61">
        <f t="shared" si="399"/>
        <v>531</v>
      </c>
    </row>
    <row r="541" spans="2:75" x14ac:dyDescent="0.3">
      <c r="B541" s="158">
        <f t="shared" si="448"/>
        <v>44441</v>
      </c>
      <c r="C541" s="61"/>
      <c r="D541" s="17">
        <v>177568</v>
      </c>
      <c r="E541" s="16"/>
      <c r="F541" s="16"/>
      <c r="G541" s="16"/>
      <c r="H541" s="16">
        <f t="shared" si="449"/>
        <v>39015257</v>
      </c>
      <c r="I541" s="16"/>
      <c r="J541" s="436">
        <f t="shared" si="450"/>
        <v>4.5720537079330338E-3</v>
      </c>
      <c r="K541" s="16"/>
      <c r="L541" s="16"/>
      <c r="M541" s="16"/>
      <c r="N541" s="16">
        <f t="shared" si="451"/>
        <v>940713</v>
      </c>
      <c r="O541" s="16">
        <f t="shared" si="452"/>
        <v>73336.949248120305</v>
      </c>
      <c r="P541" s="41"/>
      <c r="Q541" s="17">
        <f t="shared" si="453"/>
        <v>940713</v>
      </c>
      <c r="R541" s="16"/>
      <c r="S541" s="60">
        <f t="shared" si="454"/>
        <v>-6.216614991974638E-2</v>
      </c>
      <c r="T541" s="16"/>
      <c r="U541" s="41"/>
      <c r="V541" s="10">
        <f t="shared" si="349"/>
        <v>433</v>
      </c>
      <c r="W541" s="34">
        <v>1565</v>
      </c>
      <c r="X541" s="33">
        <v>4256</v>
      </c>
      <c r="Y541" s="33"/>
      <c r="Z541" s="33">
        <f t="shared" si="455"/>
        <v>5812</v>
      </c>
      <c r="AA541" s="33">
        <f t="shared" si="456"/>
        <v>636338</v>
      </c>
      <c r="AB541" s="33"/>
      <c r="AC541" s="46">
        <f t="shared" si="457"/>
        <v>1.6309978427157354E-2</v>
      </c>
      <c r="AD541" s="33"/>
      <c r="AE541" s="33">
        <f t="shared" si="458"/>
        <v>1196.124060150376</v>
      </c>
      <c r="AF541" s="50"/>
      <c r="AG541" s="33">
        <f t="shared" si="459"/>
        <v>7116</v>
      </c>
      <c r="AH541" s="33">
        <f>SUM(D512:D1012)</f>
        <v>1123407362.060914</v>
      </c>
      <c r="AI541" s="213">
        <f t="shared" si="460"/>
        <v>0.11291836096340319</v>
      </c>
      <c r="AJ541" s="50"/>
      <c r="AK541" s="111"/>
      <c r="AL541" s="23">
        <f t="shared" si="461"/>
        <v>61899</v>
      </c>
      <c r="AM541" s="24"/>
      <c r="AN541" s="24"/>
      <c r="AO541" s="24">
        <v>178263</v>
      </c>
      <c r="AP541" s="24">
        <v>31199835</v>
      </c>
      <c r="AQ541" s="24">
        <v>20336656</v>
      </c>
      <c r="AR541" s="461">
        <f t="shared" si="462"/>
        <v>1.9878966929599957E-3</v>
      </c>
      <c r="AS541" s="25"/>
      <c r="AT541" s="25"/>
      <c r="AU541" s="24"/>
      <c r="AV541" s="298">
        <f t="shared" si="463"/>
        <v>0.79968292916794059</v>
      </c>
      <c r="AW541" s="298"/>
      <c r="AX541" s="24">
        <f t="shared" si="464"/>
        <v>58646.306390977443</v>
      </c>
      <c r="AY541" s="308"/>
      <c r="AZ541" s="111"/>
      <c r="BA541" s="65">
        <f t="shared" si="465"/>
        <v>1881537</v>
      </c>
      <c r="BB541" s="66"/>
      <c r="BC541" s="66">
        <v>588561720</v>
      </c>
      <c r="BD541" s="66"/>
      <c r="BE541" s="66">
        <f t="shared" si="466"/>
        <v>177568</v>
      </c>
      <c r="BF541" s="66"/>
      <c r="BG541" s="144">
        <f t="shared" si="467"/>
        <v>9.4373908139994064E-2</v>
      </c>
      <c r="BH541" s="66"/>
      <c r="BI541" s="170"/>
      <c r="BJ541" s="66"/>
      <c r="BK541" s="66">
        <f t="shared" si="468"/>
        <v>12561720</v>
      </c>
      <c r="BL541" s="66"/>
      <c r="BM541" s="144">
        <f t="shared" si="469"/>
        <v>7.4887276583143078E-2</v>
      </c>
      <c r="BN541" s="65">
        <f t="shared" si="470"/>
        <v>1106319.0225563911</v>
      </c>
      <c r="BO541" s="66"/>
      <c r="BP541" s="66">
        <f t="shared" si="471"/>
        <v>38108279</v>
      </c>
      <c r="BQ541" s="66"/>
      <c r="BR541" s="435">
        <f t="shared" si="472"/>
        <v>6.4748144000938423E-2</v>
      </c>
      <c r="BS541" s="66"/>
      <c r="BT541" s="75"/>
      <c r="BU541" s="170"/>
      <c r="BV541" s="1"/>
      <c r="BW541" s="61">
        <f t="shared" si="399"/>
        <v>532</v>
      </c>
    </row>
    <row r="542" spans="2:75" x14ac:dyDescent="0.3">
      <c r="B542" s="158">
        <f t="shared" si="448"/>
        <v>44442</v>
      </c>
      <c r="C542" s="61"/>
      <c r="D542" s="17">
        <v>182593</v>
      </c>
      <c r="E542" s="16"/>
      <c r="F542" s="16"/>
      <c r="G542" s="16"/>
      <c r="H542" s="16">
        <f t="shared" si="449"/>
        <v>39197850</v>
      </c>
      <c r="I542" s="16"/>
      <c r="J542" s="436">
        <f t="shared" si="450"/>
        <v>4.6800409388563042E-3</v>
      </c>
      <c r="K542" s="16"/>
      <c r="L542" s="16"/>
      <c r="M542" s="16"/>
      <c r="N542" s="16">
        <f t="shared" si="451"/>
        <v>932936</v>
      </c>
      <c r="O542" s="16">
        <f t="shared" si="452"/>
        <v>73541.932457786112</v>
      </c>
      <c r="P542" s="41"/>
      <c r="Q542" s="17">
        <f t="shared" si="453"/>
        <v>932936</v>
      </c>
      <c r="R542" s="16"/>
      <c r="S542" s="60">
        <f t="shared" si="454"/>
        <v>-0.10495312434042128</v>
      </c>
      <c r="T542" s="16"/>
      <c r="U542" s="41"/>
      <c r="V542" s="10">
        <f t="shared" si="349"/>
        <v>434</v>
      </c>
      <c r="W542" s="34">
        <v>1512</v>
      </c>
      <c r="X542" s="33">
        <v>4256</v>
      </c>
      <c r="Y542" s="33"/>
      <c r="Z542" s="33">
        <f t="shared" si="455"/>
        <v>6676</v>
      </c>
      <c r="AA542" s="33">
        <f t="shared" si="456"/>
        <v>637850</v>
      </c>
      <c r="AB542" s="33"/>
      <c r="AC542" s="46">
        <f t="shared" si="457"/>
        <v>1.6272576174458549E-2</v>
      </c>
      <c r="AD542" s="33"/>
      <c r="AE542" s="33">
        <f t="shared" si="458"/>
        <v>1196.71669793621</v>
      </c>
      <c r="AF542" s="50"/>
      <c r="AG542" s="33">
        <f t="shared" si="459"/>
        <v>7324</v>
      </c>
      <c r="AH542" s="33">
        <f>SUM(D513:D1013)</f>
        <v>1123295083.060914</v>
      </c>
      <c r="AI542" s="213">
        <f t="shared" si="460"/>
        <v>0.10317818948636844</v>
      </c>
      <c r="AJ542" s="50"/>
      <c r="AK542" s="111"/>
      <c r="AL542" s="23">
        <f t="shared" si="461"/>
        <v>66012</v>
      </c>
      <c r="AM542" s="24"/>
      <c r="AN542" s="24"/>
      <c r="AO542" s="24">
        <v>178263</v>
      </c>
      <c r="AP542" s="24">
        <v>31265847</v>
      </c>
      <c r="AQ542" s="24">
        <v>20336656</v>
      </c>
      <c r="AR542" s="461">
        <f t="shared" si="462"/>
        <v>2.1157804199926056E-3</v>
      </c>
      <c r="AS542" s="25"/>
      <c r="AT542" s="25"/>
      <c r="AU542" s="24"/>
      <c r="AV542" s="298">
        <f t="shared" si="463"/>
        <v>0.79764188597078667</v>
      </c>
      <c r="AW542" s="298"/>
      <c r="AX542" s="24">
        <f t="shared" si="464"/>
        <v>58660.125703564729</v>
      </c>
      <c r="AY542" s="308"/>
      <c r="AZ542" s="111"/>
      <c r="BA542" s="65">
        <f t="shared" si="465"/>
        <v>2113664</v>
      </c>
      <c r="BB542" s="66"/>
      <c r="BC542" s="66">
        <v>590675384</v>
      </c>
      <c r="BD542" s="66"/>
      <c r="BE542" s="66">
        <f t="shared" si="466"/>
        <v>182593</v>
      </c>
      <c r="BF542" s="66"/>
      <c r="BG542" s="144">
        <f t="shared" si="467"/>
        <v>8.638695648882698E-2</v>
      </c>
      <c r="BH542" s="66"/>
      <c r="BI542" s="170"/>
      <c r="BJ542" s="66"/>
      <c r="BK542" s="66">
        <f t="shared" si="468"/>
        <v>13201146</v>
      </c>
      <c r="BL542" s="66"/>
      <c r="BM542" s="144">
        <f t="shared" si="469"/>
        <v>7.0670834183638301E-2</v>
      </c>
      <c r="BN542" s="65">
        <f t="shared" si="470"/>
        <v>1108208.9756097561</v>
      </c>
      <c r="BO542" s="66"/>
      <c r="BP542" s="66">
        <f t="shared" si="471"/>
        <v>38290872</v>
      </c>
      <c r="BQ542" s="66"/>
      <c r="BR542" s="435">
        <f t="shared" si="472"/>
        <v>6.4825576005381663E-2</v>
      </c>
      <c r="BS542" s="66"/>
      <c r="BT542" s="75"/>
      <c r="BU542" s="170"/>
      <c r="BV542" s="1"/>
      <c r="BW542" s="61">
        <f t="shared" si="399"/>
        <v>533</v>
      </c>
    </row>
    <row r="543" spans="2:75" x14ac:dyDescent="0.3">
      <c r="B543" s="158">
        <f t="shared" si="448"/>
        <v>44443</v>
      </c>
      <c r="C543" s="61"/>
      <c r="D543" s="17">
        <v>58682</v>
      </c>
      <c r="E543" s="16"/>
      <c r="F543" s="16"/>
      <c r="G543" s="16"/>
      <c r="H543" s="16">
        <f t="shared" si="449"/>
        <v>39256532</v>
      </c>
      <c r="I543" s="16"/>
      <c r="J543" s="436">
        <f t="shared" si="450"/>
        <v>1.4970719057295235E-3</v>
      </c>
      <c r="K543" s="16"/>
      <c r="L543" s="16"/>
      <c r="M543" s="16"/>
      <c r="N543" s="16">
        <f t="shared" si="451"/>
        <v>918833</v>
      </c>
      <c r="O543" s="16">
        <f t="shared" si="452"/>
        <v>73514.104868913855</v>
      </c>
      <c r="P543" s="41"/>
      <c r="Q543" s="17">
        <f t="shared" si="453"/>
        <v>918833</v>
      </c>
      <c r="R543" s="16"/>
      <c r="S543" s="60">
        <f t="shared" si="454"/>
        <v>-5.2782685967708347E-2</v>
      </c>
      <c r="T543" s="16"/>
      <c r="U543" s="41"/>
      <c r="V543" s="10">
        <f t="shared" si="349"/>
        <v>435</v>
      </c>
      <c r="W543" s="34">
        <v>576</v>
      </c>
      <c r="X543" s="33">
        <v>4256</v>
      </c>
      <c r="Y543" s="33"/>
      <c r="Z543" s="33">
        <f t="shared" si="455"/>
        <v>6968</v>
      </c>
      <c r="AA543" s="33">
        <f t="shared" si="456"/>
        <v>638426</v>
      </c>
      <c r="AB543" s="33"/>
      <c r="AC543" s="46">
        <f t="shared" si="457"/>
        <v>1.626292409120602E-2</v>
      </c>
      <c r="AD543" s="33"/>
      <c r="AE543" s="33">
        <f t="shared" si="458"/>
        <v>1195.5543071161048</v>
      </c>
      <c r="AF543" s="50"/>
      <c r="AG543" s="33">
        <f t="shared" si="459"/>
        <v>7252</v>
      </c>
      <c r="AH543" s="33">
        <f>SUM(D514:D1014)</f>
        <v>1123174138.060914</v>
      </c>
      <c r="AI543" s="213">
        <f t="shared" si="460"/>
        <v>0.11500615006150061</v>
      </c>
      <c r="AJ543" s="50"/>
      <c r="AK543" s="111"/>
      <c r="AL543" s="23">
        <f t="shared" si="461"/>
        <v>34077</v>
      </c>
      <c r="AM543" s="24"/>
      <c r="AN543" s="24"/>
      <c r="AO543" s="24">
        <v>178263</v>
      </c>
      <c r="AP543" s="24">
        <v>31299924</v>
      </c>
      <c r="AQ543" s="24">
        <v>20336656</v>
      </c>
      <c r="AR543" s="461">
        <f t="shared" si="462"/>
        <v>1.0899113016193036E-3</v>
      </c>
      <c r="AS543" s="25"/>
      <c r="AT543" s="25"/>
      <c r="AU543" s="24"/>
      <c r="AV543" s="298">
        <f t="shared" si="463"/>
        <v>0.79731760309341637</v>
      </c>
      <c r="AW543" s="298"/>
      <c r="AX543" s="24">
        <f t="shared" si="464"/>
        <v>58614.089887640446</v>
      </c>
      <c r="AY543" s="308"/>
      <c r="AZ543" s="111"/>
      <c r="BA543" s="65">
        <f t="shared" si="465"/>
        <v>834621</v>
      </c>
      <c r="BB543" s="66"/>
      <c r="BC543" s="66">
        <v>591510005</v>
      </c>
      <c r="BD543" s="66"/>
      <c r="BE543" s="66">
        <f t="shared" si="466"/>
        <v>58682</v>
      </c>
      <c r="BF543" s="66"/>
      <c r="BG543" s="144">
        <f t="shared" si="467"/>
        <v>7.0309757362922817E-2</v>
      </c>
      <c r="BH543" s="66"/>
      <c r="BI543" s="170"/>
      <c r="BJ543" s="66"/>
      <c r="BK543" s="66">
        <f t="shared" si="468"/>
        <v>13036394</v>
      </c>
      <c r="BL543" s="66"/>
      <c r="BM543" s="144">
        <f t="shared" si="469"/>
        <v>7.0482144065299041E-2</v>
      </c>
      <c r="BN543" s="65">
        <f t="shared" si="470"/>
        <v>1107696.638576779</v>
      </c>
      <c r="BO543" s="66"/>
      <c r="BP543" s="66">
        <f t="shared" si="471"/>
        <v>38349554</v>
      </c>
      <c r="BQ543" s="66"/>
      <c r="BR543" s="435">
        <f t="shared" si="472"/>
        <v>6.4833314188827623E-2</v>
      </c>
      <c r="BS543" s="66"/>
      <c r="BT543" s="75"/>
      <c r="BU543" s="170"/>
      <c r="BV543" s="1"/>
      <c r="BW543" s="61">
        <f t="shared" si="399"/>
        <v>534</v>
      </c>
    </row>
    <row r="544" spans="2:75" x14ac:dyDescent="0.3">
      <c r="B544" s="347">
        <f t="shared" si="448"/>
        <v>44444</v>
      </c>
      <c r="C544" s="61"/>
      <c r="D544" s="17">
        <v>35586</v>
      </c>
      <c r="E544" s="16"/>
      <c r="F544" s="16"/>
      <c r="G544" s="16"/>
      <c r="H544" s="16">
        <f t="shared" si="449"/>
        <v>39292118</v>
      </c>
      <c r="I544" s="16"/>
      <c r="J544" s="436">
        <f t="shared" si="450"/>
        <v>9.0649882164833102E-4</v>
      </c>
      <c r="K544" s="16"/>
      <c r="L544" s="16"/>
      <c r="M544" s="16"/>
      <c r="N544" s="16">
        <f t="shared" si="451"/>
        <v>917157</v>
      </c>
      <c r="O544" s="16">
        <f t="shared" si="452"/>
        <v>73443.211214953277</v>
      </c>
      <c r="P544" s="41"/>
      <c r="Q544" s="17">
        <f t="shared" si="453"/>
        <v>917157</v>
      </c>
      <c r="R544" s="16"/>
      <c r="S544" s="60">
        <f t="shared" si="454"/>
        <v>9.9591130178733264E-3</v>
      </c>
      <c r="T544" s="16"/>
      <c r="U544" s="41"/>
      <c r="V544" s="10">
        <f t="shared" si="349"/>
        <v>436</v>
      </c>
      <c r="W544" s="34">
        <v>367</v>
      </c>
      <c r="X544" s="33">
        <v>4256</v>
      </c>
      <c r="Y544" s="33"/>
      <c r="Z544" s="33">
        <f t="shared" si="455"/>
        <v>6766</v>
      </c>
      <c r="AA544" s="33">
        <f t="shared" si="456"/>
        <v>638793</v>
      </c>
      <c r="AB544" s="33"/>
      <c r="AC544" s="46">
        <f t="shared" si="457"/>
        <v>1.6257535417154148E-2</v>
      </c>
      <c r="AD544" s="33"/>
      <c r="AE544" s="33">
        <f t="shared" si="458"/>
        <v>1194.0056074766355</v>
      </c>
      <c r="AF544" s="50"/>
      <c r="AG544" s="33">
        <f t="shared" si="459"/>
        <v>7335</v>
      </c>
      <c r="AH544" s="33">
        <f>SUM(D515:D1015)</f>
        <v>1123043432.060914</v>
      </c>
      <c r="AI544" s="213">
        <f t="shared" si="460"/>
        <v>0.14591470082799562</v>
      </c>
      <c r="AJ544" s="50"/>
      <c r="AK544" s="111"/>
      <c r="AL544" s="23">
        <f t="shared" si="461"/>
        <v>15827</v>
      </c>
      <c r="AM544" s="24"/>
      <c r="AN544" s="24"/>
      <c r="AO544" s="24">
        <v>178263</v>
      </c>
      <c r="AP544" s="24">
        <v>31315751</v>
      </c>
      <c r="AQ544" s="24">
        <v>20336656</v>
      </c>
      <c r="AR544" s="461">
        <f t="shared" si="462"/>
        <v>5.0565617986804054E-4</v>
      </c>
      <c r="AS544" s="25"/>
      <c r="AT544" s="25"/>
      <c r="AU544" s="24"/>
      <c r="AV544" s="298">
        <f t="shared" si="463"/>
        <v>0.79699829365268626</v>
      </c>
      <c r="AW544" s="298"/>
      <c r="AX544" s="24">
        <f t="shared" si="464"/>
        <v>58534.114018691587</v>
      </c>
      <c r="AY544" s="308"/>
      <c r="AZ544" s="111"/>
      <c r="BA544" s="65">
        <f t="shared" si="465"/>
        <v>907739</v>
      </c>
      <c r="BB544" s="66"/>
      <c r="BC544" s="66">
        <v>592417744</v>
      </c>
      <c r="BD544" s="66"/>
      <c r="BE544" s="66">
        <f t="shared" si="466"/>
        <v>35586</v>
      </c>
      <c r="BF544" s="66"/>
      <c r="BG544" s="144">
        <f t="shared" si="467"/>
        <v>3.9202898630553498E-2</v>
      </c>
      <c r="BH544" s="66"/>
      <c r="BI544" s="170"/>
      <c r="BJ544" s="66"/>
      <c r="BK544" s="66">
        <f t="shared" si="468"/>
        <v>13053090</v>
      </c>
      <c r="BL544" s="66"/>
      <c r="BM544" s="144">
        <f t="shared" si="469"/>
        <v>7.0263592758496266E-2</v>
      </c>
      <c r="BN544" s="65">
        <f t="shared" si="470"/>
        <v>1107322.8859813083</v>
      </c>
      <c r="BO544" s="66"/>
      <c r="BP544" s="66">
        <f t="shared" si="471"/>
        <v>38385140</v>
      </c>
      <c r="BQ544" s="66"/>
      <c r="BR544" s="435">
        <f t="shared" si="472"/>
        <v>6.4794041685557621E-2</v>
      </c>
      <c r="BS544" s="66"/>
      <c r="BT544" s="75"/>
      <c r="BU544" s="170"/>
      <c r="BV544" s="1"/>
      <c r="BW544" s="61">
        <f t="shared" si="399"/>
        <v>535</v>
      </c>
    </row>
    <row r="545" spans="2:75" x14ac:dyDescent="0.3">
      <c r="B545" s="158">
        <f t="shared" si="448"/>
        <v>44445</v>
      </c>
      <c r="C545" s="61"/>
      <c r="D545" s="17">
        <v>39644</v>
      </c>
      <c r="E545" s="16"/>
      <c r="F545" s="16"/>
      <c r="G545" s="16"/>
      <c r="H545" s="16">
        <f t="shared" si="449"/>
        <v>39331762</v>
      </c>
      <c r="I545" s="16"/>
      <c r="J545" s="436">
        <f t="shared" si="450"/>
        <v>1.0089555365786086E-3</v>
      </c>
      <c r="K545" s="16"/>
      <c r="L545" s="16"/>
      <c r="M545" s="16"/>
      <c r="N545" s="16">
        <f t="shared" si="451"/>
        <v>837159</v>
      </c>
      <c r="O545" s="16">
        <f t="shared" si="452"/>
        <v>73380.15298507463</v>
      </c>
      <c r="P545" s="41"/>
      <c r="Q545" s="17">
        <f t="shared" si="453"/>
        <v>837159</v>
      </c>
      <c r="R545" s="16"/>
      <c r="S545" s="60">
        <f t="shared" si="454"/>
        <v>-8.669013692682144E-2</v>
      </c>
      <c r="T545" s="16"/>
      <c r="U545" s="41"/>
      <c r="V545" s="10">
        <f t="shared" si="349"/>
        <v>437</v>
      </c>
      <c r="W545" s="34">
        <v>236</v>
      </c>
      <c r="X545" s="33">
        <v>4256</v>
      </c>
      <c r="Y545" s="33"/>
      <c r="Z545" s="33">
        <f t="shared" si="455"/>
        <v>5736</v>
      </c>
      <c r="AA545" s="33">
        <f t="shared" si="456"/>
        <v>639029</v>
      </c>
      <c r="AB545" s="33"/>
      <c r="AC545" s="46">
        <f t="shared" si="457"/>
        <v>1.624714905983617E-2</v>
      </c>
      <c r="AD545" s="33"/>
      <c r="AE545" s="33">
        <f t="shared" si="458"/>
        <v>1192.2182835820895</v>
      </c>
      <c r="AF545" s="50"/>
      <c r="AG545" s="33">
        <f t="shared" si="459"/>
        <v>7002</v>
      </c>
      <c r="AH545" s="33">
        <f>SUM(D516:D1016)</f>
        <v>1122974482.060914</v>
      </c>
      <c r="AI545" s="213">
        <f t="shared" si="460"/>
        <v>6.6727605118829983E-2</v>
      </c>
      <c r="AJ545" s="50"/>
      <c r="AK545" s="111"/>
      <c r="AL545" s="23">
        <f t="shared" si="461"/>
        <v>19527</v>
      </c>
      <c r="AM545" s="24"/>
      <c r="AN545" s="24"/>
      <c r="AO545" s="24">
        <v>178263</v>
      </c>
      <c r="AP545" s="24">
        <v>31335278</v>
      </c>
      <c r="AQ545" s="24">
        <v>20336656</v>
      </c>
      <c r="AR545" s="461">
        <f t="shared" si="462"/>
        <v>6.2355202658240575E-4</v>
      </c>
      <c r="AS545" s="25"/>
      <c r="AT545" s="25"/>
      <c r="AU545" s="24"/>
      <c r="AV545" s="298">
        <f t="shared" si="463"/>
        <v>0.79669143731725012</v>
      </c>
      <c r="AW545" s="298"/>
      <c r="AX545" s="24">
        <f t="shared" si="464"/>
        <v>58461.339552238809</v>
      </c>
      <c r="AY545" s="308"/>
      <c r="AZ545" s="111"/>
      <c r="BA545" s="65">
        <f t="shared" si="465"/>
        <v>953476</v>
      </c>
      <c r="BB545" s="66"/>
      <c r="BC545" s="66">
        <v>593371220</v>
      </c>
      <c r="BD545" s="66"/>
      <c r="BE545" s="66">
        <f t="shared" si="466"/>
        <v>39644</v>
      </c>
      <c r="BF545" s="66"/>
      <c r="BG545" s="144">
        <f t="shared" si="467"/>
        <v>4.1578393163540561E-2</v>
      </c>
      <c r="BH545" s="66"/>
      <c r="BI545" s="170"/>
      <c r="BJ545" s="66"/>
      <c r="BK545" s="66">
        <f t="shared" si="468"/>
        <v>10847208</v>
      </c>
      <c r="BL545" s="66"/>
      <c r="BM545" s="144">
        <f t="shared" si="469"/>
        <v>7.7177371356758354E-2</v>
      </c>
      <c r="BN545" s="65">
        <f t="shared" si="470"/>
        <v>1107035.8582089553</v>
      </c>
      <c r="BO545" s="66"/>
      <c r="BP545" s="66">
        <f t="shared" si="471"/>
        <v>38424784</v>
      </c>
      <c r="BQ545" s="66"/>
      <c r="BR545" s="435">
        <f t="shared" si="472"/>
        <v>6.4756736937797557E-2</v>
      </c>
      <c r="BS545" s="66"/>
      <c r="BT545" s="75"/>
      <c r="BU545" s="170"/>
      <c r="BV545" s="1"/>
      <c r="BW545" s="61">
        <f t="shared" si="399"/>
        <v>536</v>
      </c>
    </row>
    <row r="546" spans="2:75" x14ac:dyDescent="0.3">
      <c r="B546" s="158">
        <f t="shared" si="448"/>
        <v>44446</v>
      </c>
      <c r="C546" s="61"/>
      <c r="D546" s="17">
        <v>115776</v>
      </c>
      <c r="E546" s="16"/>
      <c r="F546" s="16"/>
      <c r="G546" s="16"/>
      <c r="H546" s="16">
        <f t="shared" si="449"/>
        <v>39447538</v>
      </c>
      <c r="I546" s="16"/>
      <c r="J546" s="436">
        <f t="shared" si="450"/>
        <v>2.9435752204541457E-3</v>
      </c>
      <c r="K546" s="16"/>
      <c r="L546" s="16"/>
      <c r="M546" s="16"/>
      <c r="N546" s="16">
        <f t="shared" si="451"/>
        <v>794269</v>
      </c>
      <c r="O546" s="16">
        <f t="shared" si="452"/>
        <v>73459.102420856609</v>
      </c>
      <c r="P546" s="41"/>
      <c r="Q546" s="17">
        <f t="shared" si="453"/>
        <v>794269</v>
      </c>
      <c r="R546" s="16"/>
      <c r="S546" s="60">
        <f t="shared" si="454"/>
        <v>-0.14380036823518758</v>
      </c>
      <c r="T546" s="16"/>
      <c r="U546" s="41"/>
      <c r="V546" s="10">
        <f t="shared" si="349"/>
        <v>438</v>
      </c>
      <c r="W546" s="34">
        <v>919</v>
      </c>
      <c r="X546" s="33">
        <v>4256</v>
      </c>
      <c r="Y546" s="33"/>
      <c r="Z546" s="33">
        <f t="shared" si="455"/>
        <v>5175</v>
      </c>
      <c r="AA546" s="33">
        <f t="shared" si="456"/>
        <v>639948</v>
      </c>
      <c r="AB546" s="33"/>
      <c r="AC546" s="46">
        <f t="shared" si="457"/>
        <v>1.6222761481337569E-2</v>
      </c>
      <c r="AD546" s="33"/>
      <c r="AE546" s="33">
        <f t="shared" si="458"/>
        <v>1191.7094972067039</v>
      </c>
      <c r="AF546" s="50"/>
      <c r="AG546" s="33">
        <f t="shared" si="459"/>
        <v>6655</v>
      </c>
      <c r="AH546" s="33">
        <f>SUM(D517:D1017)</f>
        <v>1122950092.060914</v>
      </c>
      <c r="AI546" s="213">
        <f t="shared" si="460"/>
        <v>-6.1230585424133814E-3</v>
      </c>
      <c r="AJ546" s="50"/>
      <c r="AK546" s="111"/>
      <c r="AL546" s="23">
        <f t="shared" si="461"/>
        <v>209182</v>
      </c>
      <c r="AM546" s="24"/>
      <c r="AN546" s="24"/>
      <c r="AO546" s="24">
        <v>178263</v>
      </c>
      <c r="AP546" s="24">
        <v>31544460</v>
      </c>
      <c r="AQ546" s="24">
        <v>20336656</v>
      </c>
      <c r="AR546" s="461">
        <f t="shared" si="462"/>
        <v>6.6756069628614752E-3</v>
      </c>
      <c r="AS546" s="25"/>
      <c r="AT546" s="25"/>
      <c r="AU546" s="24"/>
      <c r="AV546" s="298">
        <f t="shared" si="463"/>
        <v>0.79965598867031951</v>
      </c>
      <c r="AW546" s="298"/>
      <c r="AX546" s="24">
        <f t="shared" si="464"/>
        <v>58742.011173184357</v>
      </c>
      <c r="AY546" s="308"/>
      <c r="AZ546" s="111"/>
      <c r="BA546" s="65">
        <f t="shared" si="465"/>
        <v>3957044</v>
      </c>
      <c r="BB546" s="66"/>
      <c r="BC546" s="66">
        <v>597328264</v>
      </c>
      <c r="BD546" s="66"/>
      <c r="BE546" s="66">
        <f t="shared" si="466"/>
        <v>115776</v>
      </c>
      <c r="BF546" s="66"/>
      <c r="BG546" s="144">
        <f t="shared" si="467"/>
        <v>2.9258203851157582E-2</v>
      </c>
      <c r="BH546" s="66"/>
      <c r="BI546" s="170"/>
      <c r="BJ546" s="66"/>
      <c r="BK546" s="66">
        <f t="shared" si="468"/>
        <v>13017220</v>
      </c>
      <c r="BL546" s="66"/>
      <c r="BM546" s="144">
        <f t="shared" si="469"/>
        <v>6.1016791603737207E-2</v>
      </c>
      <c r="BN546" s="65">
        <f t="shared" si="470"/>
        <v>1112343.1359404097</v>
      </c>
      <c r="BO546" s="66"/>
      <c r="BP546" s="66">
        <f t="shared" si="471"/>
        <v>38540560</v>
      </c>
      <c r="BQ546" s="66"/>
      <c r="BR546" s="435">
        <f t="shared" si="472"/>
        <v>6.4521574354968081E-2</v>
      </c>
      <c r="BS546" s="66"/>
      <c r="BT546" s="75"/>
      <c r="BU546" s="170"/>
      <c r="BV546" s="1"/>
      <c r="BW546" s="61">
        <f t="shared" si="399"/>
        <v>537</v>
      </c>
    </row>
    <row r="547" spans="2:75" x14ac:dyDescent="0.3">
      <c r="B547" s="158">
        <f t="shared" si="448"/>
        <v>44447</v>
      </c>
      <c r="C547" s="61"/>
      <c r="D547" s="17">
        <v>157759</v>
      </c>
      <c r="E547" s="16"/>
      <c r="F547" s="16"/>
      <c r="G547" s="16"/>
      <c r="H547" s="16">
        <f t="shared" si="449"/>
        <v>39605297</v>
      </c>
      <c r="I547" s="16"/>
      <c r="J547" s="436">
        <f t="shared" si="450"/>
        <v>3.9992102929211956E-3</v>
      </c>
      <c r="K547" s="16"/>
      <c r="L547" s="16"/>
      <c r="M547" s="16"/>
      <c r="N547" s="16">
        <f t="shared" si="451"/>
        <v>767608</v>
      </c>
      <c r="O547" s="16">
        <f t="shared" si="452"/>
        <v>73615.7936802974</v>
      </c>
      <c r="P547" s="41"/>
      <c r="Q547" s="17">
        <f t="shared" si="453"/>
        <v>767608</v>
      </c>
      <c r="R547" s="16"/>
      <c r="S547" s="60">
        <f t="shared" si="454"/>
        <v>-0.18370055436746491</v>
      </c>
      <c r="T547" s="16"/>
      <c r="U547" s="41"/>
      <c r="V547" s="10">
        <f t="shared" si="349"/>
        <v>439</v>
      </c>
      <c r="W547" s="34">
        <v>1700</v>
      </c>
      <c r="X547" s="33">
        <v>4256</v>
      </c>
      <c r="Y547" s="33"/>
      <c r="Z547" s="33">
        <f t="shared" si="455"/>
        <v>5310</v>
      </c>
      <c r="AA547" s="33">
        <f t="shared" si="456"/>
        <v>641648</v>
      </c>
      <c r="AB547" s="33"/>
      <c r="AC547" s="46">
        <f t="shared" si="457"/>
        <v>1.6201065226199414E-2</v>
      </c>
      <c r="AD547" s="33"/>
      <c r="AE547" s="33">
        <f t="shared" si="458"/>
        <v>1192.6542750929368</v>
      </c>
      <c r="AF547" s="50"/>
      <c r="AG547" s="33">
        <f t="shared" si="459"/>
        <v>6875</v>
      </c>
      <c r="AH547" s="33">
        <f>SUM(D518:D1018)</f>
        <v>1122847717.060914</v>
      </c>
      <c r="AI547" s="213">
        <f t="shared" si="460"/>
        <v>-2.0322252866889243E-3</v>
      </c>
      <c r="AJ547" s="50"/>
      <c r="AK547" s="111"/>
      <c r="AL547" s="23">
        <f t="shared" si="461"/>
        <v>123047</v>
      </c>
      <c r="AM547" s="24"/>
      <c r="AN547" s="24"/>
      <c r="AO547" s="24">
        <v>178263</v>
      </c>
      <c r="AP547" s="24">
        <v>31667507</v>
      </c>
      <c r="AQ547" s="24">
        <v>20336656</v>
      </c>
      <c r="AR547" s="461">
        <f t="shared" si="462"/>
        <v>3.9007483405960985E-3</v>
      </c>
      <c r="AS547" s="25"/>
      <c r="AT547" s="25"/>
      <c r="AU547" s="24"/>
      <c r="AV547" s="298">
        <f t="shared" si="463"/>
        <v>0.79957756660681023</v>
      </c>
      <c r="AW547" s="298"/>
      <c r="AX547" s="24">
        <f t="shared" si="464"/>
        <v>58861.53717472119</v>
      </c>
      <c r="AY547" s="308"/>
      <c r="AZ547" s="111"/>
      <c r="BA547" s="65">
        <f t="shared" si="465"/>
        <v>1689006</v>
      </c>
      <c r="BB547" s="66"/>
      <c r="BC547" s="66">
        <v>599017270</v>
      </c>
      <c r="BD547" s="66"/>
      <c r="BE547" s="66">
        <f t="shared" si="466"/>
        <v>157759</v>
      </c>
      <c r="BF547" s="66"/>
      <c r="BG547" s="144">
        <f t="shared" si="467"/>
        <v>9.3403457418150079E-2</v>
      </c>
      <c r="BH547" s="66"/>
      <c r="BI547" s="170"/>
      <c r="BJ547" s="66"/>
      <c r="BK547" s="66">
        <f t="shared" si="468"/>
        <v>12337087</v>
      </c>
      <c r="BL547" s="66"/>
      <c r="BM547" s="144">
        <f t="shared" si="469"/>
        <v>6.2219549882399305E-2</v>
      </c>
      <c r="BN547" s="65">
        <f t="shared" si="470"/>
        <v>1113415</v>
      </c>
      <c r="BO547" s="66"/>
      <c r="BP547" s="66">
        <f t="shared" si="471"/>
        <v>38698319</v>
      </c>
      <c r="BQ547" s="66"/>
      <c r="BR547" s="435">
        <f t="shared" si="472"/>
        <v>6.4603010527559582E-2</v>
      </c>
      <c r="BS547" s="66"/>
      <c r="BT547" s="75"/>
      <c r="BU547" s="170"/>
      <c r="BV547" s="1"/>
      <c r="BW547" s="61">
        <f t="shared" si="399"/>
        <v>538</v>
      </c>
    </row>
    <row r="548" spans="2:75" x14ac:dyDescent="0.3">
      <c r="B548" s="158">
        <f t="shared" si="448"/>
        <v>44448</v>
      </c>
      <c r="C548" s="61"/>
      <c r="D548" s="17">
        <v>160748</v>
      </c>
      <c r="E548" s="16"/>
      <c r="F548" s="16"/>
      <c r="G548" s="16"/>
      <c r="H548" s="16">
        <f t="shared" si="449"/>
        <v>39766045</v>
      </c>
      <c r="I548" s="16"/>
      <c r="J548" s="436">
        <f t="shared" si="450"/>
        <v>4.0587500202308793E-3</v>
      </c>
      <c r="K548" s="16"/>
      <c r="L548" s="16"/>
      <c r="M548" s="16"/>
      <c r="N548" s="16">
        <f t="shared" si="451"/>
        <v>750788</v>
      </c>
      <c r="O548" s="16">
        <f t="shared" si="452"/>
        <v>73777.448979591834</v>
      </c>
      <c r="P548" s="41"/>
      <c r="Q548" s="17">
        <f t="shared" si="453"/>
        <v>750788</v>
      </c>
      <c r="R548" s="16"/>
      <c r="S548" s="60">
        <f t="shared" si="454"/>
        <v>-0.20189473303760019</v>
      </c>
      <c r="T548" s="16"/>
      <c r="U548" s="41"/>
      <c r="V548" s="10">
        <f t="shared" si="349"/>
        <v>440</v>
      </c>
      <c r="W548" s="34">
        <v>1929</v>
      </c>
      <c r="X548" s="33">
        <v>4256</v>
      </c>
      <c r="Y548" s="33"/>
      <c r="Z548" s="33">
        <f t="shared" si="455"/>
        <v>5727</v>
      </c>
      <c r="AA548" s="33">
        <f t="shared" si="456"/>
        <v>643577</v>
      </c>
      <c r="AB548" s="33"/>
      <c r="AC548" s="46">
        <f t="shared" si="457"/>
        <v>1.618408368244818E-2</v>
      </c>
      <c r="AD548" s="33"/>
      <c r="AE548" s="33">
        <f t="shared" si="458"/>
        <v>1194.0204081632653</v>
      </c>
      <c r="AF548" s="50"/>
      <c r="AG548" s="33">
        <f t="shared" si="459"/>
        <v>7239</v>
      </c>
      <c r="AH548" s="33">
        <f>SUM(D519:D1019)</f>
        <v>1122746463.060914</v>
      </c>
      <c r="AI548" s="213">
        <f t="shared" si="460"/>
        <v>1.7284991568296795E-2</v>
      </c>
      <c r="AJ548" s="50"/>
      <c r="AK548" s="111"/>
      <c r="AL548" s="23">
        <f t="shared" si="461"/>
        <v>77452</v>
      </c>
      <c r="AM548" s="24"/>
      <c r="AN548" s="24"/>
      <c r="AO548" s="24">
        <v>178263</v>
      </c>
      <c r="AP548" s="24">
        <v>31744959</v>
      </c>
      <c r="AQ548" s="24">
        <v>20336656</v>
      </c>
      <c r="AR548" s="461">
        <f t="shared" si="462"/>
        <v>2.4457877280961841E-3</v>
      </c>
      <c r="AS548" s="25"/>
      <c r="AT548" s="25"/>
      <c r="AU548" s="24"/>
      <c r="AV548" s="298">
        <f t="shared" si="463"/>
        <v>0.7982930915055797</v>
      </c>
      <c r="AW548" s="298"/>
      <c r="AX548" s="24">
        <f t="shared" si="464"/>
        <v>58896.027829313542</v>
      </c>
      <c r="AY548" s="308"/>
      <c r="AZ548" s="111"/>
      <c r="BA548" s="65">
        <f t="shared" si="465"/>
        <v>1876420</v>
      </c>
      <c r="BB548" s="66"/>
      <c r="BC548" s="66">
        <v>600893690</v>
      </c>
      <c r="BD548" s="66"/>
      <c r="BE548" s="66">
        <f t="shared" si="466"/>
        <v>160748</v>
      </c>
      <c r="BF548" s="66"/>
      <c r="BG548" s="144">
        <f t="shared" si="467"/>
        <v>8.5667387898231737E-2</v>
      </c>
      <c r="BH548" s="66"/>
      <c r="BI548" s="170"/>
      <c r="BJ548" s="66"/>
      <c r="BK548" s="66">
        <f t="shared" si="468"/>
        <v>12331970</v>
      </c>
      <c r="BL548" s="66"/>
      <c r="BM548" s="144">
        <f t="shared" si="469"/>
        <v>6.0881432569167782E-2</v>
      </c>
      <c r="BN548" s="65">
        <f t="shared" si="470"/>
        <v>1114830.5936920224</v>
      </c>
      <c r="BO548" s="66"/>
      <c r="BP548" s="66">
        <f t="shared" si="471"/>
        <v>38859067</v>
      </c>
      <c r="BQ548" s="66"/>
      <c r="BR548" s="435">
        <f t="shared" si="472"/>
        <v>6.4668788583884113E-2</v>
      </c>
      <c r="BS548" s="66"/>
      <c r="BT548" s="75"/>
      <c r="BU548" s="170"/>
      <c r="BV548" s="1"/>
      <c r="BW548" s="61">
        <f t="shared" si="399"/>
        <v>539</v>
      </c>
    </row>
    <row r="549" spans="2:75" x14ac:dyDescent="0.3">
      <c r="B549" s="158">
        <f t="shared" si="448"/>
        <v>44449</v>
      </c>
      <c r="C549" s="61"/>
      <c r="D549" s="17">
        <v>171125</v>
      </c>
      <c r="E549" s="16"/>
      <c r="F549" s="16"/>
      <c r="G549" s="16"/>
      <c r="H549" s="16">
        <f t="shared" si="449"/>
        <v>39937170</v>
      </c>
      <c r="I549" s="16"/>
      <c r="J549" s="436">
        <f t="shared" si="450"/>
        <v>4.3032944312163804E-3</v>
      </c>
      <c r="K549" s="16"/>
      <c r="L549" s="16"/>
      <c r="M549" s="16"/>
      <c r="N549" s="16">
        <f t="shared" si="451"/>
        <v>739320</v>
      </c>
      <c r="O549" s="16">
        <f t="shared" si="452"/>
        <v>73957.722222222219</v>
      </c>
      <c r="P549" s="41"/>
      <c r="Q549" s="17">
        <f t="shared" si="453"/>
        <v>739320</v>
      </c>
      <c r="R549" s="16"/>
      <c r="S549" s="60">
        <f t="shared" si="454"/>
        <v>-0.20753406450174502</v>
      </c>
      <c r="T549" s="16"/>
      <c r="U549" s="41"/>
      <c r="V549" s="10">
        <f t="shared" si="349"/>
        <v>441</v>
      </c>
      <c r="W549" s="34">
        <v>1761</v>
      </c>
      <c r="X549" s="33">
        <v>4256</v>
      </c>
      <c r="Y549" s="33"/>
      <c r="Z549" s="33">
        <f t="shared" si="455"/>
        <v>6912</v>
      </c>
      <c r="AA549" s="33">
        <f t="shared" si="456"/>
        <v>645338</v>
      </c>
      <c r="AB549" s="33"/>
      <c r="AC549" s="46">
        <f t="shared" si="457"/>
        <v>1.6158831484554364E-2</v>
      </c>
      <c r="AD549" s="33"/>
      <c r="AE549" s="33">
        <f t="shared" si="458"/>
        <v>1195.0703703703705</v>
      </c>
      <c r="AF549" s="50"/>
      <c r="AG549" s="33">
        <f t="shared" si="459"/>
        <v>7488</v>
      </c>
      <c r="AH549" s="33">
        <f>SUM(D520:D1020)</f>
        <v>1122601828.060914</v>
      </c>
      <c r="AI549" s="213">
        <f t="shared" si="460"/>
        <v>2.2392135445111962E-2</v>
      </c>
      <c r="AJ549" s="50"/>
      <c r="AK549" s="111"/>
      <c r="AL549" s="23">
        <f t="shared" si="461"/>
        <v>76035</v>
      </c>
      <c r="AM549" s="24"/>
      <c r="AN549" s="24"/>
      <c r="AO549" s="24">
        <v>178263</v>
      </c>
      <c r="AP549" s="24">
        <v>31820994</v>
      </c>
      <c r="AQ549" s="24">
        <v>20336656</v>
      </c>
      <c r="AR549" s="461">
        <f t="shared" si="462"/>
        <v>2.3951834368411062E-3</v>
      </c>
      <c r="AS549" s="25"/>
      <c r="AT549" s="25"/>
      <c r="AU549" s="24"/>
      <c r="AV549" s="298">
        <f t="shared" si="463"/>
        <v>0.7967763865091092</v>
      </c>
      <c r="AW549" s="298"/>
      <c r="AX549" s="24">
        <f t="shared" si="464"/>
        <v>58927.76666666667</v>
      </c>
      <c r="AY549" s="308"/>
      <c r="AZ549" s="111"/>
      <c r="BA549" s="65">
        <f t="shared" si="465"/>
        <v>1900343</v>
      </c>
      <c r="BB549" s="66"/>
      <c r="BC549" s="66">
        <v>602794033</v>
      </c>
      <c r="BD549" s="66"/>
      <c r="BE549" s="66">
        <f t="shared" si="466"/>
        <v>171125</v>
      </c>
      <c r="BF549" s="66"/>
      <c r="BG549" s="144">
        <f t="shared" si="467"/>
        <v>9.0049533163223686E-2</v>
      </c>
      <c r="BH549" s="66"/>
      <c r="BI549" s="170"/>
      <c r="BJ549" s="66"/>
      <c r="BK549" s="66">
        <f t="shared" si="468"/>
        <v>12118649</v>
      </c>
      <c r="BL549" s="66"/>
      <c r="BM549" s="144">
        <f t="shared" si="469"/>
        <v>6.1006800345484058E-2</v>
      </c>
      <c r="BN549" s="65">
        <f t="shared" si="470"/>
        <v>1116285.2462962964</v>
      </c>
      <c r="BO549" s="66"/>
      <c r="BP549" s="66">
        <f t="shared" si="471"/>
        <v>39030192</v>
      </c>
      <c r="BQ549" s="66"/>
      <c r="BR549" s="435">
        <f t="shared" si="472"/>
        <v>6.4748802846892148E-2</v>
      </c>
      <c r="BS549" s="66"/>
      <c r="BT549" s="75"/>
      <c r="BU549" s="170"/>
      <c r="BV549" s="1"/>
      <c r="BW549" s="61">
        <f t="shared" si="399"/>
        <v>540</v>
      </c>
    </row>
    <row r="550" spans="2:75" x14ac:dyDescent="0.3">
      <c r="B550" s="158">
        <f t="shared" si="448"/>
        <v>44450</v>
      </c>
      <c r="C550" s="61"/>
      <c r="D550" s="17">
        <v>72088</v>
      </c>
      <c r="E550" s="16"/>
      <c r="F550" s="16"/>
      <c r="G550" s="16"/>
      <c r="H550" s="16">
        <f t="shared" si="449"/>
        <v>40009258</v>
      </c>
      <c r="I550" s="16"/>
      <c r="J550" s="436">
        <f t="shared" si="450"/>
        <v>1.8050352591332836E-3</v>
      </c>
      <c r="K550" s="16"/>
      <c r="L550" s="16"/>
      <c r="M550" s="16"/>
      <c r="N550" s="16">
        <f t="shared" si="451"/>
        <v>752726</v>
      </c>
      <c r="O550" s="16">
        <f t="shared" si="452"/>
        <v>73954.266173752316</v>
      </c>
      <c r="P550" s="41"/>
      <c r="Q550" s="17">
        <f t="shared" si="453"/>
        <v>752726</v>
      </c>
      <c r="R550" s="16"/>
      <c r="S550" s="60">
        <f t="shared" si="454"/>
        <v>-0.18078040296767747</v>
      </c>
      <c r="T550" s="16"/>
      <c r="U550" s="41"/>
      <c r="V550" s="10">
        <f t="shared" si="349"/>
        <v>442</v>
      </c>
      <c r="W550" s="34">
        <v>719</v>
      </c>
      <c r="X550" s="33">
        <v>4256</v>
      </c>
      <c r="Y550" s="33"/>
      <c r="Z550" s="33">
        <f t="shared" si="455"/>
        <v>7264</v>
      </c>
      <c r="AA550" s="33">
        <f t="shared" si="456"/>
        <v>646057</v>
      </c>
      <c r="AB550" s="33"/>
      <c r="AC550" s="46">
        <f t="shared" si="457"/>
        <v>1.6147687617700884E-2</v>
      </c>
      <c r="AD550" s="33"/>
      <c r="AE550" s="33">
        <f t="shared" si="458"/>
        <v>1194.1903881700555</v>
      </c>
      <c r="AF550" s="50"/>
      <c r="AG550" s="33">
        <f t="shared" si="459"/>
        <v>7631</v>
      </c>
      <c r="AH550" s="33">
        <f>SUM(D521:D1021)</f>
        <v>1122458291.060914</v>
      </c>
      <c r="AI550" s="213">
        <f t="shared" si="460"/>
        <v>5.2261445118587976E-2</v>
      </c>
      <c r="AJ550" s="50"/>
      <c r="AK550" s="111"/>
      <c r="AL550" s="23">
        <f t="shared" si="461"/>
        <v>36883</v>
      </c>
      <c r="AM550" s="24"/>
      <c r="AN550" s="24"/>
      <c r="AO550" s="24">
        <v>178263</v>
      </c>
      <c r="AP550" s="24">
        <v>31857877</v>
      </c>
      <c r="AQ550" s="24">
        <v>20336656</v>
      </c>
      <c r="AR550" s="461">
        <f t="shared" si="462"/>
        <v>1.1590775574138255E-3</v>
      </c>
      <c r="AS550" s="25"/>
      <c r="AT550" s="25"/>
      <c r="AU550" s="24"/>
      <c r="AV550" s="298">
        <f t="shared" si="463"/>
        <v>0.79626263001428321</v>
      </c>
      <c r="AW550" s="298"/>
      <c r="AX550" s="24">
        <f t="shared" si="464"/>
        <v>58887.018484288354</v>
      </c>
      <c r="AY550" s="308"/>
      <c r="AZ550" s="111"/>
      <c r="BA550" s="65">
        <f t="shared" si="465"/>
        <v>2261409</v>
      </c>
      <c r="BB550" s="66"/>
      <c r="BC550" s="66">
        <v>605055442</v>
      </c>
      <c r="BD550" s="66"/>
      <c r="BE550" s="66">
        <f t="shared" si="466"/>
        <v>72088</v>
      </c>
      <c r="BF550" s="66"/>
      <c r="BG550" s="144">
        <f t="shared" si="467"/>
        <v>3.1877471081082638E-2</v>
      </c>
      <c r="BH550" s="66"/>
      <c r="BI550" s="170"/>
      <c r="BJ550" s="66"/>
      <c r="BK550" s="66">
        <f t="shared" si="468"/>
        <v>13545437</v>
      </c>
      <c r="BL550" s="66"/>
      <c r="BM550" s="144">
        <f t="shared" si="469"/>
        <v>5.5570447819439123E-2</v>
      </c>
      <c r="BN550" s="65">
        <f t="shared" si="470"/>
        <v>1118401.9260628466</v>
      </c>
      <c r="BO550" s="66"/>
      <c r="BP550" s="66">
        <f t="shared" si="471"/>
        <v>39102280</v>
      </c>
      <c r="BQ550" s="66"/>
      <c r="BR550" s="435">
        <f t="shared" si="472"/>
        <v>6.4625945468316279E-2</v>
      </c>
      <c r="BS550" s="66"/>
      <c r="BT550" s="75"/>
      <c r="BU550" s="170"/>
      <c r="BV550" s="1"/>
      <c r="BW550" s="61">
        <f t="shared" si="399"/>
        <v>541</v>
      </c>
    </row>
    <row r="551" spans="2:75" x14ac:dyDescent="0.3">
      <c r="B551" s="347">
        <f t="shared" si="448"/>
        <v>44451</v>
      </c>
      <c r="C551" s="61"/>
      <c r="D551" s="17">
        <v>35450</v>
      </c>
      <c r="E551" s="16"/>
      <c r="F551" s="16"/>
      <c r="G551" s="16"/>
      <c r="H551" s="16">
        <f t="shared" si="449"/>
        <v>40044708</v>
      </c>
      <c r="I551" s="16"/>
      <c r="J551" s="436">
        <f t="shared" si="450"/>
        <v>8.8604492490213145E-4</v>
      </c>
      <c r="K551" s="16"/>
      <c r="L551" s="16"/>
      <c r="M551" s="16"/>
      <c r="N551" s="16">
        <f t="shared" si="451"/>
        <v>752590</v>
      </c>
      <c r="O551" s="16">
        <f t="shared" si="452"/>
        <v>73883.225092250927</v>
      </c>
      <c r="P551" s="41"/>
      <c r="Q551" s="17">
        <f t="shared" si="453"/>
        <v>752590</v>
      </c>
      <c r="R551" s="16"/>
      <c r="S551" s="60">
        <f t="shared" si="454"/>
        <v>-0.17943165673924966</v>
      </c>
      <c r="T551" s="16"/>
      <c r="U551" s="41"/>
      <c r="V551" s="10">
        <f t="shared" si="349"/>
        <v>443</v>
      </c>
      <c r="W551" s="34">
        <v>251</v>
      </c>
      <c r="X551" s="33">
        <v>4256</v>
      </c>
      <c r="Y551" s="33"/>
      <c r="Z551" s="33">
        <f t="shared" si="455"/>
        <v>7279</v>
      </c>
      <c r="AA551" s="33">
        <f t="shared" si="456"/>
        <v>646308</v>
      </c>
      <c r="AB551" s="33"/>
      <c r="AC551" s="46">
        <f t="shared" si="457"/>
        <v>1.6139660701234231E-2</v>
      </c>
      <c r="AD551" s="33"/>
      <c r="AE551" s="33">
        <f t="shared" si="458"/>
        <v>1192.4501845018451</v>
      </c>
      <c r="AF551" s="50"/>
      <c r="AG551" s="33">
        <f t="shared" si="459"/>
        <v>7515</v>
      </c>
      <c r="AH551" s="33">
        <f>SUM(D522:D1022)</f>
        <v>1122302994.060914</v>
      </c>
      <c r="AI551" s="213">
        <f t="shared" si="460"/>
        <v>2.4539877300613498E-2</v>
      </c>
      <c r="AJ551" s="50"/>
      <c r="AK551" s="111"/>
      <c r="AL551" s="23">
        <f t="shared" si="461"/>
        <v>13991</v>
      </c>
      <c r="AM551" s="24"/>
      <c r="AN551" s="24"/>
      <c r="AO551" s="24">
        <v>178263</v>
      </c>
      <c r="AP551" s="24">
        <v>31871868</v>
      </c>
      <c r="AQ551" s="24">
        <v>20336656</v>
      </c>
      <c r="AR551" s="461">
        <f t="shared" si="462"/>
        <v>4.3916925161083394E-4</v>
      </c>
      <c r="AS551" s="25"/>
      <c r="AT551" s="25"/>
      <c r="AU551" s="24"/>
      <c r="AV551" s="298">
        <f t="shared" si="463"/>
        <v>0.79590711461799146</v>
      </c>
      <c r="AW551" s="298"/>
      <c r="AX551" s="24">
        <f t="shared" si="464"/>
        <v>58804.184501845019</v>
      </c>
      <c r="AY551" s="308"/>
      <c r="AZ551" s="111"/>
      <c r="BA551" s="65">
        <f t="shared" si="465"/>
        <v>1143410</v>
      </c>
      <c r="BB551" s="66"/>
      <c r="BC551" s="66">
        <v>606198852</v>
      </c>
      <c r="BD551" s="66"/>
      <c r="BE551" s="66">
        <f t="shared" si="466"/>
        <v>35450</v>
      </c>
      <c r="BF551" s="66"/>
      <c r="BG551" s="144">
        <f t="shared" si="467"/>
        <v>3.1003751935001444E-2</v>
      </c>
      <c r="BH551" s="66"/>
      <c r="BI551" s="170"/>
      <c r="BJ551" s="66"/>
      <c r="BK551" s="66">
        <f t="shared" si="468"/>
        <v>13781108</v>
      </c>
      <c r="BL551" s="66"/>
      <c r="BM551" s="144">
        <f t="shared" si="469"/>
        <v>5.4610267911694765E-2</v>
      </c>
      <c r="BN551" s="65">
        <f t="shared" si="470"/>
        <v>1118448.0664206643</v>
      </c>
      <c r="BO551" s="66"/>
      <c r="BP551" s="66">
        <f t="shared" si="471"/>
        <v>39137730</v>
      </c>
      <c r="BQ551" s="66"/>
      <c r="BR551" s="435">
        <f t="shared" si="472"/>
        <v>6.4562527413034435E-2</v>
      </c>
      <c r="BS551" s="66"/>
      <c r="BT551" s="75"/>
      <c r="BU551" s="170"/>
      <c r="BV551" s="1"/>
      <c r="BW551" s="61">
        <f t="shared" si="399"/>
        <v>542</v>
      </c>
    </row>
    <row r="552" spans="2:75" x14ac:dyDescent="0.3">
      <c r="B552" s="158">
        <f t="shared" si="448"/>
        <v>44452</v>
      </c>
      <c r="C552" s="61"/>
      <c r="D552" s="17">
        <v>109432</v>
      </c>
      <c r="E552" s="16"/>
      <c r="F552" s="16"/>
      <c r="G552" s="16"/>
      <c r="H552" s="16">
        <f t="shared" ref="H552" si="473">+H551+D552</f>
        <v>40154140</v>
      </c>
      <c r="I552" s="16"/>
      <c r="J552" s="436">
        <f t="shared" ref="J552" si="474">+D552/H551</f>
        <v>2.7327456102314443E-3</v>
      </c>
      <c r="K552" s="16"/>
      <c r="L552" s="16"/>
      <c r="M552" s="16"/>
      <c r="N552" s="16">
        <f t="shared" ref="N552" si="475">SUM(D546:D552)</f>
        <v>822378</v>
      </c>
      <c r="O552" s="16">
        <f t="shared" ref="O552" si="476">+H552/BW552</f>
        <v>73948.69244935544</v>
      </c>
      <c r="P552" s="41"/>
      <c r="Q552" s="17">
        <f t="shared" ref="Q552" si="477">SUM(D546:D552)</f>
        <v>822378</v>
      </c>
      <c r="R552" s="16"/>
      <c r="S552" s="60">
        <f t="shared" ref="S552" si="478">+(Q552-Q545)/Q545</f>
        <v>-1.7656144173329082E-2</v>
      </c>
      <c r="T552" s="16"/>
      <c r="U552" s="41"/>
      <c r="V552" s="10">
        <f t="shared" si="349"/>
        <v>444</v>
      </c>
      <c r="W552" s="34">
        <v>815</v>
      </c>
      <c r="X552" s="33">
        <v>4256</v>
      </c>
      <c r="Y552" s="33"/>
      <c r="Z552" s="33">
        <f t="shared" ref="Z552" si="479">SUM(W547:W552)</f>
        <v>7175</v>
      </c>
      <c r="AA552" s="33">
        <f t="shared" ref="AA552" si="480">+AA551+W552</f>
        <v>647123</v>
      </c>
      <c r="AB552" s="33"/>
      <c r="AC552" s="46">
        <f t="shared" ref="AC552" si="481">+AA552/H552</f>
        <v>1.6115972101506844E-2</v>
      </c>
      <c r="AD552" s="33"/>
      <c r="AE552" s="33">
        <f t="shared" ref="AE552" si="482">+AA552/BW552</f>
        <v>1191.7550644567218</v>
      </c>
      <c r="AF552" s="50"/>
      <c r="AG552" s="33">
        <f t="shared" ref="AG552" si="483">SUM(W546:W552)</f>
        <v>8094</v>
      </c>
      <c r="AH552" s="33">
        <f t="shared" ref="AH552" si="484">SUM(D523:D1023)</f>
        <v>1122231859.060914</v>
      </c>
      <c r="AI552" s="213">
        <f t="shared" ref="AI552" si="485">+(AG552-AG545)/AG545</f>
        <v>0.15595544130248501</v>
      </c>
      <c r="AJ552" s="50"/>
      <c r="AK552" s="111"/>
      <c r="AL552" s="23">
        <f t="shared" ref="AL552" si="486">+AP552-AP551</f>
        <v>191037</v>
      </c>
      <c r="AM552" s="24"/>
      <c r="AN552" s="24"/>
      <c r="AO552" s="24">
        <v>178263</v>
      </c>
      <c r="AP552" s="24">
        <v>32062905</v>
      </c>
      <c r="AQ552" s="24">
        <v>20336656</v>
      </c>
      <c r="AR552" s="461">
        <f t="shared" ref="AR552" si="487">+AL552/AP551</f>
        <v>5.9939066012698093E-3</v>
      </c>
      <c r="AS552" s="25"/>
      <c r="AT552" s="25"/>
      <c r="AU552" s="24"/>
      <c r="AV552" s="298">
        <f t="shared" ref="AV552" si="488">+AP552/H552</f>
        <v>0.79849562212016001</v>
      </c>
      <c r="AW552" s="298"/>
      <c r="AX552" s="24">
        <f t="shared" ref="AX552" si="489">+AP552/BW552</f>
        <v>59047.707182320439</v>
      </c>
      <c r="AY552" s="308"/>
      <c r="AZ552" s="111"/>
      <c r="BA552" s="65">
        <f t="shared" ref="BA552" si="490">+BC552-BC551</f>
        <v>3507865</v>
      </c>
      <c r="BB552" s="66"/>
      <c r="BC552" s="66">
        <v>609706717</v>
      </c>
      <c r="BD552" s="66"/>
      <c r="BE552" s="66">
        <f t="shared" ref="BE552" si="491">+D552</f>
        <v>109432</v>
      </c>
      <c r="BF552" s="66"/>
      <c r="BG552" s="144">
        <f t="shared" ref="BG552" si="492">+BE552/BA552</f>
        <v>3.1196183433512978E-2</v>
      </c>
      <c r="BH552" s="66"/>
      <c r="BI552" s="170"/>
      <c r="BJ552" s="66"/>
      <c r="BK552" s="66">
        <f t="shared" ref="BK552" si="493">SUM(BA546:BA552)</f>
        <v>16335497</v>
      </c>
      <c r="BL552" s="66"/>
      <c r="BM552" s="144">
        <f t="shared" ref="BM552" si="494">+Q552/BK552</f>
        <v>5.034300456239562E-2</v>
      </c>
      <c r="BN552" s="65">
        <f t="shared" ref="BN552" si="495">+BC552/BW552</f>
        <v>1122848.4659300183</v>
      </c>
      <c r="BO552" s="66"/>
      <c r="BP552" s="66">
        <f t="shared" ref="BP552" si="496">+BP551+BE552</f>
        <v>39247162</v>
      </c>
      <c r="BQ552" s="66"/>
      <c r="BR552" s="435">
        <f t="shared" ref="BR552" si="497">+BP552/BC552</f>
        <v>6.4370558673048042E-2</v>
      </c>
      <c r="BS552" s="66"/>
      <c r="BT552" s="75"/>
      <c r="BU552" s="170"/>
      <c r="BV552" s="1"/>
      <c r="BW552" s="61">
        <f t="shared" si="399"/>
        <v>543</v>
      </c>
    </row>
    <row r="553" spans="2:75" x14ac:dyDescent="0.3">
      <c r="B553" s="158">
        <f t="shared" si="448"/>
        <v>44453</v>
      </c>
      <c r="C553" s="61"/>
      <c r="D553" s="17">
        <v>142059</v>
      </c>
      <c r="E553" s="16"/>
      <c r="F553" s="16"/>
      <c r="G553" s="16"/>
      <c r="H553" s="16">
        <f t="shared" ref="H553" si="498">+H552+D553</f>
        <v>40296199</v>
      </c>
      <c r="I553" s="16"/>
      <c r="J553" s="436">
        <f t="shared" ref="J553" si="499">+D553/H552</f>
        <v>3.5378419261376287E-3</v>
      </c>
      <c r="K553" s="16"/>
      <c r="L553" s="16"/>
      <c r="M553" s="16"/>
      <c r="N553" s="16">
        <f t="shared" ref="N553" si="500">SUM(D547:D553)</f>
        <v>848661</v>
      </c>
      <c r="O553" s="16">
        <f t="shared" ref="O553" si="501">+H553/BW553</f>
        <v>74073.895220588238</v>
      </c>
      <c r="P553" s="41"/>
      <c r="Q553" s="17">
        <f t="shared" ref="Q553" si="502">SUM(D547:D553)</f>
        <v>848661</v>
      </c>
      <c r="R553" s="16"/>
      <c r="S553" s="60">
        <f t="shared" ref="S553" si="503">+(Q553-Q546)/Q546</f>
        <v>6.8480577738776152E-2</v>
      </c>
      <c r="T553" s="16"/>
      <c r="U553" s="41"/>
      <c r="V553" s="10">
        <f t="shared" si="349"/>
        <v>445</v>
      </c>
      <c r="W553" s="34">
        <v>1934</v>
      </c>
      <c r="X553" s="33">
        <v>4256</v>
      </c>
      <c r="Y553" s="33"/>
      <c r="Z553" s="33">
        <f t="shared" ref="Z553" si="504">SUM(W548:W553)</f>
        <v>7409</v>
      </c>
      <c r="AA553" s="33">
        <f t="shared" ref="AA553" si="505">+AA552+W553</f>
        <v>649057</v>
      </c>
      <c r="AB553" s="33"/>
      <c r="AC553" s="46">
        <f t="shared" ref="AC553" si="506">+AA553/H553</f>
        <v>1.6107151942544258E-2</v>
      </c>
      <c r="AD553" s="33"/>
      <c r="AE553" s="33">
        <f t="shared" ref="AE553" si="507">+AA553/BW553</f>
        <v>1193.1194852941176</v>
      </c>
      <c r="AF553" s="50"/>
      <c r="AG553" s="33">
        <f t="shared" ref="AG553" si="508">SUM(W547:W553)</f>
        <v>9109</v>
      </c>
      <c r="AH553" s="33">
        <f t="shared" ref="AH553" si="509">SUM(D524:D1024)</f>
        <v>1122200976.060914</v>
      </c>
      <c r="AI553" s="213">
        <f t="shared" ref="AI553" si="510">+(AG553-AG546)/AG546</f>
        <v>0.36874530428249436</v>
      </c>
      <c r="AJ553" s="50"/>
      <c r="AK553" s="111"/>
      <c r="AL553" s="23">
        <f t="shared" ref="AL553" si="511">+AP553-AP552</f>
        <v>113879</v>
      </c>
      <c r="AM553" s="24"/>
      <c r="AN553" s="24"/>
      <c r="AO553" s="24">
        <v>178263</v>
      </c>
      <c r="AP553" s="24">
        <v>32176784</v>
      </c>
      <c r="AQ553" s="24">
        <v>20336656</v>
      </c>
      <c r="AR553" s="461">
        <f t="shared" ref="AR553" si="512">+AL553/AP552</f>
        <v>3.5517368123693096E-3</v>
      </c>
      <c r="AS553" s="25"/>
      <c r="AT553" s="25"/>
      <c r="AU553" s="24"/>
      <c r="AV553" s="298">
        <f t="shared" ref="AV553" si="513">+AP553/H553</f>
        <v>0.79850667801198816</v>
      </c>
      <c r="AW553" s="298"/>
      <c r="AX553" s="24">
        <f t="shared" ref="AX553" si="514">+AP553/BW553</f>
        <v>59148.5</v>
      </c>
      <c r="AY553" s="308"/>
      <c r="AZ553" s="111"/>
      <c r="BA553" s="65">
        <f t="shared" ref="BA553" si="515">+BC553-BC552</f>
        <v>1509314</v>
      </c>
      <c r="BB553" s="66"/>
      <c r="BC553" s="66">
        <v>611216031</v>
      </c>
      <c r="BD553" s="66"/>
      <c r="BE553" s="66">
        <f t="shared" ref="BE553" si="516">+D553</f>
        <v>142059</v>
      </c>
      <c r="BF553" s="66"/>
      <c r="BG553" s="144">
        <f t="shared" ref="BG553" si="517">+BE553/BA553</f>
        <v>9.4121567811601831E-2</v>
      </c>
      <c r="BH553" s="66"/>
      <c r="BI553" s="170"/>
      <c r="BJ553" s="66"/>
      <c r="BK553" s="66">
        <f t="shared" ref="BK553" si="518">SUM(BA547:BA553)</f>
        <v>13887767</v>
      </c>
      <c r="BL553" s="66"/>
      <c r="BM553" s="144">
        <f t="shared" ref="BM553" si="519">+Q553/BK553</f>
        <v>6.1108528102466003E-2</v>
      </c>
      <c r="BN553" s="65">
        <f t="shared" ref="BN553" si="520">+BC553/BW553</f>
        <v>1123558.8805147058</v>
      </c>
      <c r="BO553" s="66"/>
      <c r="BP553" s="66">
        <f t="shared" ref="BP553" si="521">+BP552+BE553</f>
        <v>39389221</v>
      </c>
      <c r="BQ553" s="66"/>
      <c r="BR553" s="435">
        <f t="shared" ref="BR553" si="522">+BP553/BC553</f>
        <v>6.4444024701963351E-2</v>
      </c>
      <c r="BS553" s="66"/>
      <c r="BT553" s="75"/>
      <c r="BU553" s="170"/>
      <c r="BV553" s="1"/>
      <c r="BW553" s="61">
        <f t="shared" si="399"/>
        <v>544</v>
      </c>
    </row>
    <row r="554" spans="2:75" x14ac:dyDescent="0.3">
      <c r="B554" s="158">
        <f t="shared" si="448"/>
        <v>44454</v>
      </c>
      <c r="C554" s="61"/>
      <c r="D554" s="17">
        <v>164509</v>
      </c>
      <c r="E554" s="16"/>
      <c r="F554" s="16"/>
      <c r="G554" s="16"/>
      <c r="H554" s="16">
        <f t="shared" ref="H554" si="523">+H553+D554</f>
        <v>40460708</v>
      </c>
      <c r="I554" s="16"/>
      <c r="J554" s="436">
        <f t="shared" ref="J554" si="524">+D554/H553</f>
        <v>4.0824942322723792E-3</v>
      </c>
      <c r="K554" s="16"/>
      <c r="L554" s="16"/>
      <c r="M554" s="16"/>
      <c r="N554" s="16">
        <f t="shared" ref="N554" si="525">SUM(D548:D554)</f>
        <v>855411</v>
      </c>
      <c r="O554" s="16">
        <f t="shared" ref="O554" si="526">+H554/BW554</f>
        <v>74239.831192660553</v>
      </c>
      <c r="P554" s="41"/>
      <c r="Q554" s="17">
        <f t="shared" ref="Q554" si="527">SUM(D548:D554)</f>
        <v>855411</v>
      </c>
      <c r="R554" s="16"/>
      <c r="S554" s="60">
        <f t="shared" ref="S554" si="528">+(Q554-Q547)/Q547</f>
        <v>0.1143852070327563</v>
      </c>
      <c r="T554" s="16"/>
      <c r="U554" s="41"/>
      <c r="V554" s="10">
        <f t="shared" si="349"/>
        <v>446</v>
      </c>
      <c r="W554" s="34">
        <v>2282</v>
      </c>
      <c r="X554" s="33">
        <v>4256</v>
      </c>
      <c r="Y554" s="33"/>
      <c r="Z554" s="33">
        <f t="shared" ref="Z554" si="529">SUM(W549:W554)</f>
        <v>7762</v>
      </c>
      <c r="AA554" s="33">
        <f t="shared" ref="AA554" si="530">+AA553+W554</f>
        <v>651339</v>
      </c>
      <c r="AB554" s="33"/>
      <c r="AC554" s="46">
        <f t="shared" ref="AC554" si="531">+AA554/H554</f>
        <v>1.6098062347302475E-2</v>
      </c>
      <c r="AD554" s="33"/>
      <c r="AE554" s="33">
        <f t="shared" ref="AE554" si="532">+AA554/BW554</f>
        <v>1195.1174311926607</v>
      </c>
      <c r="AF554" s="50"/>
      <c r="AG554" s="33">
        <f t="shared" ref="AG554" si="533">SUM(W548:W554)</f>
        <v>9691</v>
      </c>
      <c r="AH554" s="33">
        <f t="shared" ref="AH554" si="534">SUM(D525:D1025)</f>
        <v>1122097279.060914</v>
      </c>
      <c r="AI554" s="213">
        <f t="shared" ref="AI554" si="535">+(AG554-AG547)/AG547</f>
        <v>0.40960000000000002</v>
      </c>
      <c r="AJ554" s="50"/>
      <c r="AK554" s="111"/>
      <c r="AL554" s="23">
        <f t="shared" ref="AL554" si="536">+AP554-AP553</f>
        <v>94300</v>
      </c>
      <c r="AM554" s="24"/>
      <c r="AN554" s="24"/>
      <c r="AO554" s="24">
        <v>178263</v>
      </c>
      <c r="AP554" s="24">
        <v>32271084</v>
      </c>
      <c r="AQ554" s="24">
        <v>20336656</v>
      </c>
      <c r="AR554" s="461">
        <f t="shared" ref="AR554" si="537">+AL554/AP553</f>
        <v>2.9306844338452221E-3</v>
      </c>
      <c r="AS554" s="25"/>
      <c r="AT554" s="25"/>
      <c r="AU554" s="24"/>
      <c r="AV554" s="298">
        <f t="shared" ref="AV554" si="538">+AP554/H554</f>
        <v>0.79759068971309155</v>
      </c>
      <c r="AW554" s="298"/>
      <c r="AX554" s="24">
        <f t="shared" ref="AX554" si="539">+AP554/BW554</f>
        <v>59212.998165137615</v>
      </c>
      <c r="AY554" s="308"/>
      <c r="AZ554" s="111"/>
      <c r="BA554" s="65">
        <f t="shared" ref="BA554" si="540">+BC554-BC553</f>
        <v>2550940</v>
      </c>
      <c r="BB554" s="66"/>
      <c r="BC554" s="66">
        <v>613766971</v>
      </c>
      <c r="BD554" s="66"/>
      <c r="BE554" s="66">
        <f t="shared" ref="BE554" si="541">+D554</f>
        <v>164509</v>
      </c>
      <c r="BF554" s="66"/>
      <c r="BG554" s="144">
        <f t="shared" ref="BG554" si="542">+BE554/BA554</f>
        <v>6.4489560710953603E-2</v>
      </c>
      <c r="BH554" s="66"/>
      <c r="BI554" s="170"/>
      <c r="BJ554" s="66"/>
      <c r="BK554" s="66">
        <f t="shared" ref="BK554" si="543">SUM(BA548:BA554)</f>
        <v>14749701</v>
      </c>
      <c r="BL554" s="66"/>
      <c r="BM554" s="144">
        <f t="shared" ref="BM554" si="544">+Q554/BK554</f>
        <v>5.7995141732025621E-2</v>
      </c>
      <c r="BN554" s="65">
        <f t="shared" ref="BN554" si="545">+BC554/BW554</f>
        <v>1126177.9284403669</v>
      </c>
      <c r="BO554" s="66"/>
      <c r="BP554" s="66">
        <f t="shared" ref="BP554" si="546">+BP553+BE554</f>
        <v>39553730</v>
      </c>
      <c r="BQ554" s="66"/>
      <c r="BR554" s="435">
        <f t="shared" ref="BR554" si="547">+BP554/BC554</f>
        <v>6.4444213958851165E-2</v>
      </c>
      <c r="BS554" s="66"/>
      <c r="BT554" s="75"/>
      <c r="BU554" s="170"/>
      <c r="BV554" s="1"/>
      <c r="BW554" s="61">
        <f t="shared" si="399"/>
        <v>545</v>
      </c>
    </row>
    <row r="555" spans="2:75" x14ac:dyDescent="0.3">
      <c r="B555" s="158">
        <f t="shared" si="448"/>
        <v>44455</v>
      </c>
      <c r="C555" s="61"/>
      <c r="D555" s="17">
        <v>151142</v>
      </c>
      <c r="E555" s="16"/>
      <c r="F555" s="16"/>
      <c r="G555" s="16"/>
      <c r="H555" s="16">
        <f t="shared" ref="H555" si="548">+H554+D555</f>
        <v>40611850</v>
      </c>
      <c r="I555" s="16"/>
      <c r="J555" s="436">
        <f t="shared" ref="J555" si="549">+D555/H554</f>
        <v>3.7355253397938562E-3</v>
      </c>
      <c r="K555" s="16"/>
      <c r="L555" s="16"/>
      <c r="M555" s="16"/>
      <c r="N555" s="16">
        <f t="shared" ref="N555" si="550">SUM(D549:D555)</f>
        <v>845805</v>
      </c>
      <c r="O555" s="16">
        <f t="shared" ref="O555" si="551">+H555/BW555</f>
        <v>74380.67765567766</v>
      </c>
      <c r="P555" s="41"/>
      <c r="Q555" s="17">
        <f t="shared" ref="Q555" si="552">SUM(D549:D555)</f>
        <v>845805</v>
      </c>
      <c r="R555" s="16"/>
      <c r="S555" s="60">
        <f t="shared" ref="S555" si="553">+(Q555-Q548)/Q548</f>
        <v>0.1265563647794051</v>
      </c>
      <c r="T555" s="16"/>
      <c r="U555" s="41"/>
      <c r="V555" s="10">
        <f t="shared" si="349"/>
        <v>447</v>
      </c>
      <c r="W555" s="34">
        <v>1871</v>
      </c>
      <c r="X555" s="33">
        <v>4256</v>
      </c>
      <c r="Y555" s="33"/>
      <c r="Z555" s="33">
        <f t="shared" ref="Z555" si="554">SUM(W550:W555)</f>
        <v>7872</v>
      </c>
      <c r="AA555" s="33">
        <f t="shared" ref="AA555" si="555">+AA554+W555</f>
        <v>653210</v>
      </c>
      <c r="AB555" s="33"/>
      <c r="AC555" s="46">
        <f t="shared" ref="AC555" si="556">+AA555/H555</f>
        <v>1.6084221723462487E-2</v>
      </c>
      <c r="AD555" s="33"/>
      <c r="AE555" s="33">
        <f t="shared" ref="AE555" si="557">+AA555/BW555</f>
        <v>1196.3553113553114</v>
      </c>
      <c r="AF555" s="50"/>
      <c r="AG555" s="33">
        <f t="shared" ref="AG555" si="558">SUM(W549:W555)</f>
        <v>9633</v>
      </c>
      <c r="AH555" s="33">
        <f t="shared" ref="AH555" si="559">SUM(D526:D1026)</f>
        <v>1121952985.060914</v>
      </c>
      <c r="AI555" s="213">
        <f t="shared" ref="AI555" si="560">+(AG555-AG548)/AG548</f>
        <v>0.33070866141732286</v>
      </c>
      <c r="AJ555" s="50"/>
      <c r="AK555" s="111"/>
      <c r="AL555" s="23">
        <f t="shared" ref="AL555" si="561">+AP555-AP554</f>
        <v>76642</v>
      </c>
      <c r="AM555" s="24"/>
      <c r="AN555" s="24"/>
      <c r="AO555" s="24">
        <v>178263</v>
      </c>
      <c r="AP555" s="24">
        <v>32347726</v>
      </c>
      <c r="AQ555" s="24">
        <v>20336656</v>
      </c>
      <c r="AR555" s="461">
        <f t="shared" ref="AR555" si="562">+AL555/AP554</f>
        <v>2.3749434633184309E-3</v>
      </c>
      <c r="AS555" s="25"/>
      <c r="AT555" s="25"/>
      <c r="AU555" s="24"/>
      <c r="AV555" s="298">
        <f t="shared" ref="AV555" si="563">+AP555/H555</f>
        <v>0.7965095409344809</v>
      </c>
      <c r="AW555" s="298"/>
      <c r="AX555" s="24">
        <f t="shared" ref="AX555" si="564">+AP555/BW555</f>
        <v>59244.919413919415</v>
      </c>
      <c r="AY555" s="308"/>
      <c r="AZ555" s="111"/>
      <c r="BA555" s="65">
        <f t="shared" ref="BA555" si="565">+BC555-BC554</f>
        <v>1917422</v>
      </c>
      <c r="BB555" s="66"/>
      <c r="BC555" s="66">
        <v>615684393</v>
      </c>
      <c r="BD555" s="66"/>
      <c r="BE555" s="66">
        <f t="shared" ref="BE555" si="566">+D555</f>
        <v>151142</v>
      </c>
      <c r="BF555" s="66"/>
      <c r="BG555" s="144">
        <f t="shared" ref="BG555" si="567">+BE555/BA555</f>
        <v>7.8825631498960588E-2</v>
      </c>
      <c r="BH555" s="66"/>
      <c r="BI555" s="170"/>
      <c r="BJ555" s="66"/>
      <c r="BK555" s="66">
        <f t="shared" ref="BK555" si="568">SUM(BA549:BA555)</f>
        <v>14790703</v>
      </c>
      <c r="BL555" s="66"/>
      <c r="BM555" s="144">
        <f t="shared" ref="BM555" si="569">+Q555/BK555</f>
        <v>5.7184908655119368E-2</v>
      </c>
      <c r="BN555" s="65">
        <f t="shared" ref="BN555" si="570">+BC555/BW555</f>
        <v>1127627.0934065934</v>
      </c>
      <c r="BO555" s="66"/>
      <c r="BP555" s="66">
        <f t="shared" ref="BP555" si="571">+BP554+BE555</f>
        <v>39704872</v>
      </c>
      <c r="BQ555" s="66"/>
      <c r="BR555" s="435">
        <f t="shared" ref="BR555" si="572">+BP555/BC555</f>
        <v>6.4489001916278876E-2</v>
      </c>
      <c r="BS555" s="66"/>
      <c r="BT555" s="75"/>
      <c r="BU555" s="170"/>
      <c r="BV555" s="1"/>
      <c r="BW555" s="61">
        <f t="shared" si="399"/>
        <v>546</v>
      </c>
    </row>
    <row r="556" spans="2:75" x14ac:dyDescent="0.3">
      <c r="B556" s="158">
        <f t="shared" si="448"/>
        <v>44456</v>
      </c>
      <c r="C556" s="61"/>
      <c r="D556" s="17">
        <v>158156</v>
      </c>
      <c r="E556" s="16"/>
      <c r="F556" s="16"/>
      <c r="G556" s="16"/>
      <c r="H556" s="16">
        <f t="shared" ref="H556" si="573">+H555+D556</f>
        <v>40770006</v>
      </c>
      <c r="I556" s="16"/>
      <c r="J556" s="436">
        <f t="shared" ref="J556" si="574">+D556/H555</f>
        <v>3.8943313343272959E-3</v>
      </c>
      <c r="K556" s="16"/>
      <c r="L556" s="16"/>
      <c r="M556" s="16"/>
      <c r="N556" s="16">
        <f t="shared" ref="N556" si="575">SUM(D550:D556)</f>
        <v>832836</v>
      </c>
      <c r="O556" s="16">
        <f t="shared" ref="O556" si="576">+H556/BW556</f>
        <v>74533.831809872034</v>
      </c>
      <c r="P556" s="41"/>
      <c r="Q556" s="17">
        <f t="shared" ref="Q556" si="577">SUM(D550:D556)</f>
        <v>832836</v>
      </c>
      <c r="R556" s="16"/>
      <c r="S556" s="60">
        <f t="shared" ref="S556" si="578">+(Q556-Q549)/Q549</f>
        <v>0.12648920629767896</v>
      </c>
      <c r="T556" s="16"/>
      <c r="U556" s="41"/>
      <c r="V556" s="10">
        <f t="shared" si="349"/>
        <v>448</v>
      </c>
      <c r="W556" s="34">
        <v>1938</v>
      </c>
      <c r="X556" s="33">
        <v>4256</v>
      </c>
      <c r="Y556" s="33"/>
      <c r="Z556" s="33">
        <f t="shared" ref="Z556" si="579">SUM(W551:W556)</f>
        <v>9091</v>
      </c>
      <c r="AA556" s="33">
        <f t="shared" ref="AA556" si="580">+AA555+W556</f>
        <v>655148</v>
      </c>
      <c r="AB556" s="33"/>
      <c r="AC556" s="46">
        <f t="shared" ref="AC556" si="581">+AA556/H556</f>
        <v>1.6069362364086973E-2</v>
      </c>
      <c r="AD556" s="33"/>
      <c r="AE556" s="33">
        <f t="shared" ref="AE556" si="582">+AA556/BW556</f>
        <v>1197.7111517367459</v>
      </c>
      <c r="AF556" s="50"/>
      <c r="AG556" s="33">
        <f t="shared" ref="AG556" si="583">SUM(W550:W556)</f>
        <v>9810</v>
      </c>
      <c r="AH556" s="33">
        <f t="shared" ref="AH556" si="584">SUM(D527:D1027)</f>
        <v>1121794858.060914</v>
      </c>
      <c r="AI556" s="213">
        <f t="shared" ref="AI556" si="585">+(AG556-AG549)/AG549</f>
        <v>0.31009615384615385</v>
      </c>
      <c r="AJ556" s="50"/>
      <c r="AK556" s="111"/>
      <c r="AL556" s="23">
        <f t="shared" ref="AL556" si="586">+AP556-AP555</f>
        <v>86440</v>
      </c>
      <c r="AM556" s="24"/>
      <c r="AN556" s="24"/>
      <c r="AO556" s="24">
        <v>178263</v>
      </c>
      <c r="AP556" s="24">
        <v>32434166</v>
      </c>
      <c r="AQ556" s="24">
        <v>20336656</v>
      </c>
      <c r="AR556" s="461">
        <f t="shared" ref="AR556" si="587">+AL556/AP555</f>
        <v>2.6722125691308256E-3</v>
      </c>
      <c r="AS556" s="25"/>
      <c r="AT556" s="25"/>
      <c r="AU556" s="24"/>
      <c r="AV556" s="298">
        <f t="shared" ref="AV556" si="588">+AP556/H556</f>
        <v>0.79553988782832163</v>
      </c>
      <c r="AW556" s="298"/>
      <c r="AX556" s="24">
        <f t="shared" ref="AX556" si="589">+AP556/BW556</f>
        <v>59294.636197440588</v>
      </c>
      <c r="AY556" s="308"/>
      <c r="AZ556" s="111"/>
      <c r="BA556" s="65">
        <f t="shared" ref="BA556" si="590">+BC556-BC555</f>
        <v>2140934</v>
      </c>
      <c r="BB556" s="66"/>
      <c r="BC556" s="66">
        <v>617825327</v>
      </c>
      <c r="BD556" s="66"/>
      <c r="BE556" s="66">
        <f t="shared" ref="BE556" si="591">+D556</f>
        <v>158156</v>
      </c>
      <c r="BF556" s="66"/>
      <c r="BG556" s="144">
        <f t="shared" ref="BG556" si="592">+BE556/BA556</f>
        <v>7.3872431378080777E-2</v>
      </c>
      <c r="BH556" s="66"/>
      <c r="BI556" s="170"/>
      <c r="BJ556" s="66"/>
      <c r="BK556" s="66">
        <f t="shared" ref="BK556" si="593">SUM(BA550:BA556)</f>
        <v>15031294</v>
      </c>
      <c r="BL556" s="66"/>
      <c r="BM556" s="144">
        <f t="shared" ref="BM556" si="594">+Q556/BK556</f>
        <v>5.5406806626229252E-2</v>
      </c>
      <c r="BN556" s="65">
        <f t="shared" ref="BN556" si="595">+BC556/BW556</f>
        <v>1129479.5740402194</v>
      </c>
      <c r="BO556" s="66"/>
      <c r="BP556" s="66">
        <f t="shared" ref="BP556" si="596">+BP555+BE556</f>
        <v>39863028</v>
      </c>
      <c r="BQ556" s="66"/>
      <c r="BR556" s="435">
        <f t="shared" ref="BR556" si="597">+BP556/BC556</f>
        <v>6.452151806978286E-2</v>
      </c>
      <c r="BS556" s="66"/>
      <c r="BT556" s="75"/>
      <c r="BU556" s="170"/>
      <c r="BV556" s="1"/>
      <c r="BW556" s="61">
        <f t="shared" si="399"/>
        <v>547</v>
      </c>
    </row>
    <row r="557" spans="2:75" x14ac:dyDescent="0.3">
      <c r="B557" s="158">
        <f t="shared" si="448"/>
        <v>44457</v>
      </c>
      <c r="C557" s="61"/>
      <c r="D557" s="17">
        <v>64559</v>
      </c>
      <c r="E557" s="16"/>
      <c r="F557" s="16"/>
      <c r="G557" s="16"/>
      <c r="H557" s="16">
        <f t="shared" ref="H557" si="598">+H556+D557</f>
        <v>40834565</v>
      </c>
      <c r="I557" s="16"/>
      <c r="J557" s="436">
        <f t="shared" ref="J557" si="599">+D557/H556</f>
        <v>1.5834925312495662E-3</v>
      </c>
      <c r="K557" s="16"/>
      <c r="L557" s="16"/>
      <c r="M557" s="16"/>
      <c r="N557" s="16">
        <f t="shared" ref="N557" si="600">SUM(D551:D557)</f>
        <v>825307</v>
      </c>
      <c r="O557" s="16">
        <f t="shared" ref="O557" si="601">+H557/BW557</f>
        <v>74515.629562043789</v>
      </c>
      <c r="P557" s="41"/>
      <c r="Q557" s="17">
        <f t="shared" ref="Q557" si="602">SUM(D551:D557)</f>
        <v>825307</v>
      </c>
      <c r="R557" s="16"/>
      <c r="S557" s="60">
        <f t="shared" ref="S557" si="603">+(Q557-Q550)/Q550</f>
        <v>9.6424196852506749E-2</v>
      </c>
      <c r="T557" s="16"/>
      <c r="U557" s="41"/>
      <c r="V557" s="10">
        <f t="shared" si="349"/>
        <v>449</v>
      </c>
      <c r="W557" s="34">
        <v>849</v>
      </c>
      <c r="X557" s="33">
        <v>4256</v>
      </c>
      <c r="Y557" s="33"/>
      <c r="Z557" s="33">
        <f t="shared" ref="Z557" si="604">SUM(W552:W557)</f>
        <v>9689</v>
      </c>
      <c r="AA557" s="33">
        <f t="shared" ref="AA557" si="605">+AA556+W557</f>
        <v>655997</v>
      </c>
      <c r="AB557" s="33"/>
      <c r="AC557" s="46">
        <f t="shared" ref="AC557" si="606">+AA557/H557</f>
        <v>1.6064748087802574E-2</v>
      </c>
      <c r="AD557" s="33"/>
      <c r="AE557" s="33">
        <f t="shared" ref="AE557" si="607">+AA557/BW557</f>
        <v>1197.0748175182482</v>
      </c>
      <c r="AF557" s="50"/>
      <c r="AG557" s="33">
        <f t="shared" ref="AG557" si="608">SUM(W551:W557)</f>
        <v>9940</v>
      </c>
      <c r="AH557" s="33">
        <f t="shared" ref="AH557" si="609">SUM(D528:D1028)</f>
        <v>1121639941.060914</v>
      </c>
      <c r="AI557" s="213">
        <f t="shared" ref="AI557" si="610">+(AG557-AG550)/AG550</f>
        <v>0.30258157515397721</v>
      </c>
      <c r="AJ557" s="50"/>
      <c r="AK557" s="111"/>
      <c r="AL557" s="23">
        <f t="shared" ref="AL557" si="611">+AP557-AP556</f>
        <v>49060</v>
      </c>
      <c r="AM557" s="24"/>
      <c r="AN557" s="24"/>
      <c r="AO557" s="24">
        <v>178263</v>
      </c>
      <c r="AP557" s="24">
        <v>32483226</v>
      </c>
      <c r="AQ557" s="24">
        <v>20336656</v>
      </c>
      <c r="AR557" s="461">
        <f t="shared" ref="AR557" si="612">+AL557/AP556</f>
        <v>1.5126024822096551E-3</v>
      </c>
      <c r="AS557" s="25"/>
      <c r="AT557" s="25"/>
      <c r="AU557" s="24"/>
      <c r="AV557" s="298">
        <f t="shared" ref="AV557" si="613">+AP557/H557</f>
        <v>0.79548358112789985</v>
      </c>
      <c r="AW557" s="298"/>
      <c r="AX557" s="24">
        <f t="shared" ref="AX557" si="614">+AP557/BW557</f>
        <v>59275.959854014596</v>
      </c>
      <c r="AY557" s="308"/>
      <c r="AZ557" s="111"/>
      <c r="BA557" s="65">
        <f t="shared" ref="BA557" si="615">+BC557-BC556</f>
        <v>1161730</v>
      </c>
      <c r="BB557" s="66"/>
      <c r="BC557" s="66">
        <v>618987057</v>
      </c>
      <c r="BD557" s="66"/>
      <c r="BE557" s="66">
        <f t="shared" ref="BE557" si="616">+D557</f>
        <v>64559</v>
      </c>
      <c r="BF557" s="66"/>
      <c r="BG557" s="144">
        <f t="shared" ref="BG557" si="617">+BE557/BA557</f>
        <v>5.5571432260508036E-2</v>
      </c>
      <c r="BH557" s="66"/>
      <c r="BI557" s="170"/>
      <c r="BJ557" s="66"/>
      <c r="BK557" s="66">
        <f t="shared" ref="BK557" si="618">SUM(BA551:BA557)</f>
        <v>13931615</v>
      </c>
      <c r="BL557" s="66"/>
      <c r="BM557" s="144">
        <f t="shared" ref="BM557" si="619">+Q557/BK557</f>
        <v>5.9239865586294196E-2</v>
      </c>
      <c r="BN557" s="65">
        <f t="shared" ref="BN557" si="620">+BC557/BW557</f>
        <v>1129538.4251824818</v>
      </c>
      <c r="BO557" s="66"/>
      <c r="BP557" s="66">
        <f t="shared" ref="BP557" si="621">+BP556+BE557</f>
        <v>39927587</v>
      </c>
      <c r="BQ557" s="66"/>
      <c r="BR557" s="435">
        <f t="shared" ref="BR557" si="622">+BP557/BC557</f>
        <v>6.4504720330525428E-2</v>
      </c>
      <c r="BS557" s="66"/>
      <c r="BT557" s="75"/>
      <c r="BU557" s="170"/>
      <c r="BV557" s="1"/>
      <c r="BW557" s="61">
        <f t="shared" si="399"/>
        <v>548</v>
      </c>
    </row>
    <row r="558" spans="2:75" x14ac:dyDescent="0.3">
      <c r="B558" s="347">
        <f t="shared" si="448"/>
        <v>44458</v>
      </c>
      <c r="C558" s="61"/>
      <c r="D558" s="17">
        <v>36497</v>
      </c>
      <c r="E558" s="16"/>
      <c r="F558" s="16"/>
      <c r="G558" s="16"/>
      <c r="H558" s="16">
        <f t="shared" ref="H558" si="623">+H557+D558</f>
        <v>40871062</v>
      </c>
      <c r="I558" s="16"/>
      <c r="J558" s="436">
        <f t="shared" ref="J558" si="624">+D558/H557</f>
        <v>8.9377712239618564E-4</v>
      </c>
      <c r="K558" s="16"/>
      <c r="L558" s="16"/>
      <c r="M558" s="16"/>
      <c r="N558" s="16">
        <f t="shared" ref="N558" si="625">SUM(D552:D558)</f>
        <v>826354</v>
      </c>
      <c r="O558" s="16">
        <f t="shared" ref="O558" si="626">+H558/BW558</f>
        <v>74446.378870673958</v>
      </c>
      <c r="P558" s="41"/>
      <c r="Q558" s="17">
        <f t="shared" ref="Q558" si="627">SUM(D552:D558)</f>
        <v>826354</v>
      </c>
      <c r="R558" s="16"/>
      <c r="S558" s="60">
        <f t="shared" ref="S558" si="628">+(Q558-Q551)/Q551</f>
        <v>9.8013526621400768E-2</v>
      </c>
      <c r="T558" s="16"/>
      <c r="U558" s="41"/>
      <c r="V558" s="10">
        <f t="shared" si="349"/>
        <v>450</v>
      </c>
      <c r="W558" s="34">
        <v>373</v>
      </c>
      <c r="X558" s="33">
        <v>4256</v>
      </c>
      <c r="Y558" s="33"/>
      <c r="Z558" s="33">
        <f t="shared" ref="Z558" si="629">SUM(W553:W558)</f>
        <v>9247</v>
      </c>
      <c r="AA558" s="33">
        <f t="shared" ref="AA558" si="630">+AA557+W558</f>
        <v>656370</v>
      </c>
      <c r="AB558" s="33"/>
      <c r="AC558" s="46">
        <f t="shared" ref="AC558" si="631">+AA558/H558</f>
        <v>1.6059528866658762E-2</v>
      </c>
      <c r="AD558" s="33"/>
      <c r="AE558" s="33">
        <f t="shared" ref="AE558" si="632">+AA558/BW558</f>
        <v>1195.5737704918033</v>
      </c>
      <c r="AF558" s="50"/>
      <c r="AG558" s="33">
        <f t="shared" ref="AG558" si="633">SUM(W552:W558)</f>
        <v>10062</v>
      </c>
      <c r="AH558" s="33">
        <f t="shared" ref="AH558" si="634">SUM(D529:D1029)</f>
        <v>1121488833.060914</v>
      </c>
      <c r="AI558" s="213">
        <f t="shared" ref="AI558" si="635">+(AG558-AG551)/AG551</f>
        <v>0.33892215568862277</v>
      </c>
      <c r="AJ558" s="50"/>
      <c r="AK558" s="111"/>
      <c r="AL558" s="23">
        <f t="shared" ref="AL558" si="636">+AP558-AP557</f>
        <v>20769</v>
      </c>
      <c r="AM558" s="24"/>
      <c r="AN558" s="24"/>
      <c r="AO558" s="24">
        <v>178263</v>
      </c>
      <c r="AP558" s="24">
        <v>32503995</v>
      </c>
      <c r="AQ558" s="24">
        <v>20336656</v>
      </c>
      <c r="AR558" s="461">
        <f t="shared" ref="AR558" si="637">+AL558/AP557</f>
        <v>6.393761506323294E-4</v>
      </c>
      <c r="AS558" s="25"/>
      <c r="AT558" s="25"/>
      <c r="AU558" s="24"/>
      <c r="AV558" s="298">
        <f t="shared" ref="AV558" si="638">+AP558/H558</f>
        <v>0.79528139004560239</v>
      </c>
      <c r="AW558" s="298"/>
      <c r="AX558" s="24">
        <f t="shared" ref="AX558" si="639">+AP558/BW558</f>
        <v>59205.819672131147</v>
      </c>
      <c r="AY558" s="308"/>
      <c r="AZ558" s="111"/>
      <c r="BA558" s="65">
        <f t="shared" ref="BA558" si="640">+BC558-BC557</f>
        <v>938244</v>
      </c>
      <c r="BB558" s="66"/>
      <c r="BC558" s="66">
        <v>619925301</v>
      </c>
      <c r="BD558" s="66"/>
      <c r="BE558" s="66">
        <f t="shared" ref="BE558" si="641">+D558</f>
        <v>36497</v>
      </c>
      <c r="BF558" s="66"/>
      <c r="BG558" s="144">
        <f t="shared" ref="BG558" si="642">+BE558/BA558</f>
        <v>3.8899262878313107E-2</v>
      </c>
      <c r="BH558" s="66"/>
      <c r="BI558" s="170"/>
      <c r="BJ558" s="66"/>
      <c r="BK558" s="66">
        <f t="shared" ref="BK558" si="643">SUM(BA552:BA558)</f>
        <v>13726449</v>
      </c>
      <c r="BL558" s="66"/>
      <c r="BM558" s="144">
        <f t="shared" ref="BM558" si="644">+Q558/BK558</f>
        <v>6.0201586003779999E-2</v>
      </c>
      <c r="BN558" s="65">
        <f t="shared" ref="BN558" si="645">+BC558/BW558</f>
        <v>1129189.9836065574</v>
      </c>
      <c r="BO558" s="66"/>
      <c r="BP558" s="66">
        <f t="shared" ref="BP558" si="646">+BP557+BE558</f>
        <v>39964084</v>
      </c>
      <c r="BQ558" s="66"/>
      <c r="BR558" s="435">
        <f t="shared" ref="BR558" si="647">+BP558/BC558</f>
        <v>6.4465967005273114E-2</v>
      </c>
      <c r="BS558" s="66"/>
      <c r="BT558" s="75"/>
      <c r="BU558" s="170"/>
      <c r="BV558" s="1"/>
      <c r="BW558" s="61">
        <f t="shared" si="399"/>
        <v>549</v>
      </c>
    </row>
    <row r="559" spans="2:75" x14ac:dyDescent="0.3">
      <c r="B559" s="158">
        <f t="shared" si="448"/>
        <v>44459</v>
      </c>
      <c r="C559" s="61"/>
      <c r="D559" s="17">
        <v>86072</v>
      </c>
      <c r="E559" s="16"/>
      <c r="F559" s="16"/>
      <c r="G559" s="16"/>
      <c r="H559" s="16">
        <f t="shared" ref="H559" si="648">+H558+D559</f>
        <v>40957134</v>
      </c>
      <c r="I559" s="16"/>
      <c r="J559" s="436">
        <f t="shared" ref="J559" si="649">+D559/H558</f>
        <v>2.105939894588499E-3</v>
      </c>
      <c r="K559" s="16"/>
      <c r="L559" s="16"/>
      <c r="M559" s="16"/>
      <c r="N559" s="16">
        <f t="shared" ref="N559" si="650">SUM(D553:D559)</f>
        <v>802994</v>
      </c>
      <c r="O559" s="16">
        <f t="shared" ref="O559" si="651">+H559/BW559</f>
        <v>74467.516363636358</v>
      </c>
      <c r="P559" s="41"/>
      <c r="Q559" s="17">
        <f t="shared" ref="Q559" si="652">SUM(D553:D559)</f>
        <v>802994</v>
      </c>
      <c r="R559" s="16"/>
      <c r="S559" s="60">
        <f t="shared" ref="S559" si="653">+(Q559-Q552)/Q552</f>
        <v>-2.3570669448842261E-2</v>
      </c>
      <c r="T559" s="16"/>
      <c r="U559" s="41"/>
      <c r="V559" s="10">
        <f t="shared" si="349"/>
        <v>451</v>
      </c>
      <c r="W559" s="34">
        <v>746</v>
      </c>
      <c r="X559" s="33">
        <v>4256</v>
      </c>
      <c r="Y559" s="33"/>
      <c r="Z559" s="33">
        <f t="shared" ref="Z559" si="654">SUM(W554:W559)</f>
        <v>8059</v>
      </c>
      <c r="AA559" s="33">
        <f t="shared" ref="AA559" si="655">+AA558+W559</f>
        <v>657116</v>
      </c>
      <c r="AB559" s="33"/>
      <c r="AC559" s="46">
        <f t="shared" ref="AC559" si="656">+AA559/H559</f>
        <v>1.6043993703270351E-2</v>
      </c>
      <c r="AD559" s="33"/>
      <c r="AE559" s="33">
        <f t="shared" ref="AE559" si="657">+AA559/BW559</f>
        <v>1194.7563636363636</v>
      </c>
      <c r="AF559" s="50"/>
      <c r="AG559" s="33">
        <f t="shared" ref="AG559" si="658">SUM(W553:W559)</f>
        <v>9993</v>
      </c>
      <c r="AH559" s="33">
        <f t="shared" ref="AH559" si="659">SUM(D530:D1030)</f>
        <v>1121343750.060914</v>
      </c>
      <c r="AI559" s="213">
        <f t="shared" ref="AI559" si="660">+(AG559-AG552)/AG552</f>
        <v>0.23461823573017049</v>
      </c>
      <c r="AJ559" s="50"/>
      <c r="AK559" s="111"/>
      <c r="AL559" s="23">
        <f t="shared" ref="AL559" si="661">+AP559-AP558</f>
        <v>171987</v>
      </c>
      <c r="AM559" s="24"/>
      <c r="AN559" s="24"/>
      <c r="AO559" s="24">
        <v>178263</v>
      </c>
      <c r="AP559" s="24">
        <v>32675982</v>
      </c>
      <c r="AQ559" s="24">
        <v>20336656</v>
      </c>
      <c r="AR559" s="461">
        <f t="shared" ref="AR559" si="662">+AL559/AP558</f>
        <v>5.2912572746826965E-3</v>
      </c>
      <c r="AS559" s="25"/>
      <c r="AT559" s="25"/>
      <c r="AU559" s="24"/>
      <c r="AV559" s="298">
        <f t="shared" ref="AV559" si="663">+AP559/H559</f>
        <v>0.79780929007386114</v>
      </c>
      <c r="AW559" s="298"/>
      <c r="AX559" s="24">
        <f t="shared" ref="AX559" si="664">+AP559/BW559</f>
        <v>59410.876363636366</v>
      </c>
      <c r="AY559" s="308"/>
      <c r="AZ559" s="111"/>
      <c r="BA559" s="65">
        <f t="shared" ref="BA559" si="665">+BC559-BC558</f>
        <v>3246880</v>
      </c>
      <c r="BB559" s="66"/>
      <c r="BC559" s="66">
        <v>623172181</v>
      </c>
      <c r="BD559" s="66"/>
      <c r="BE559" s="66">
        <f t="shared" ref="BE559" si="666">+D559</f>
        <v>86072</v>
      </c>
      <c r="BF559" s="66"/>
      <c r="BG559" s="144">
        <f t="shared" ref="BG559" si="667">+BE559/BA559</f>
        <v>2.6509141083132116E-2</v>
      </c>
      <c r="BH559" s="66"/>
      <c r="BI559" s="170"/>
      <c r="BJ559" s="66"/>
      <c r="BK559" s="66">
        <f t="shared" ref="BK559" si="668">SUM(BA553:BA559)</f>
        <v>13465464</v>
      </c>
      <c r="BL559" s="66"/>
      <c r="BM559" s="144">
        <f t="shared" ref="BM559" si="669">+Q559/BK559</f>
        <v>5.9633593019891476E-2</v>
      </c>
      <c r="BN559" s="65">
        <f t="shared" ref="BN559" si="670">+BC559/BW559</f>
        <v>1133040.3290909091</v>
      </c>
      <c r="BO559" s="66"/>
      <c r="BP559" s="66">
        <f t="shared" ref="BP559" si="671">+BP558+BE559</f>
        <v>40050156</v>
      </c>
      <c r="BQ559" s="66"/>
      <c r="BR559" s="435">
        <f t="shared" ref="BR559" si="672">+BP559/BC559</f>
        <v>6.4268202626971888E-2</v>
      </c>
      <c r="BS559" s="66"/>
      <c r="BT559" s="75"/>
      <c r="BU559" s="170"/>
      <c r="BV559" s="1"/>
      <c r="BW559" s="61">
        <f t="shared" si="399"/>
        <v>550</v>
      </c>
    </row>
    <row r="560" spans="2:75" x14ac:dyDescent="0.3">
      <c r="B560" s="158">
        <f t="shared" si="448"/>
        <v>44460</v>
      </c>
      <c r="C560" s="61"/>
      <c r="D560" s="17">
        <v>120579</v>
      </c>
      <c r="E560" s="16"/>
      <c r="F560" s="16"/>
      <c r="G560" s="16"/>
      <c r="H560" s="16">
        <f t="shared" ref="H560" si="673">+H559+D560</f>
        <v>41077713</v>
      </c>
      <c r="I560" s="16"/>
      <c r="J560" s="436">
        <f t="shared" ref="J560" si="674">+D560/H559</f>
        <v>2.9440292379833023E-3</v>
      </c>
      <c r="K560" s="16"/>
      <c r="L560" s="16"/>
      <c r="M560" s="16"/>
      <c r="N560" s="16">
        <f t="shared" ref="N560" si="675">SUM(D554:D560)</f>
        <v>781514</v>
      </c>
      <c r="O560" s="16">
        <f t="shared" ref="O560" si="676">+H560/BW560</f>
        <v>74551.203266787663</v>
      </c>
      <c r="P560" s="41"/>
      <c r="Q560" s="17">
        <f t="shared" ref="Q560" si="677">SUM(D554:D560)</f>
        <v>781514</v>
      </c>
      <c r="R560" s="16"/>
      <c r="S560" s="60">
        <f t="shared" ref="S560" si="678">+(Q560-Q553)/Q553</f>
        <v>-7.9121109606780565E-2</v>
      </c>
      <c r="T560" s="16"/>
      <c r="U560" s="41"/>
      <c r="V560" s="10">
        <f t="shared" si="349"/>
        <v>452</v>
      </c>
      <c r="W560" s="34">
        <v>1927</v>
      </c>
      <c r="X560" s="33">
        <v>4256</v>
      </c>
      <c r="Y560" s="33"/>
      <c r="Z560" s="33">
        <f t="shared" ref="Z560" si="679">SUM(W555:W560)</f>
        <v>7704</v>
      </c>
      <c r="AA560" s="33">
        <f t="shared" ref="AA560" si="680">+AA559+W560</f>
        <v>659043</v>
      </c>
      <c r="AB560" s="33"/>
      <c r="AC560" s="46">
        <f t="shared" ref="AC560" si="681">+AA560/H560</f>
        <v>1.6043809449664347E-2</v>
      </c>
      <c r="AD560" s="33"/>
      <c r="AE560" s="33">
        <f t="shared" ref="AE560" si="682">+AA560/BW560</f>
        <v>1196.0852994555353</v>
      </c>
      <c r="AF560" s="50"/>
      <c r="AG560" s="33">
        <f t="shared" ref="AG560" si="683">SUM(W554:W560)</f>
        <v>9986</v>
      </c>
      <c r="AH560" s="33">
        <f t="shared" ref="AH560" si="684">SUM(D531:D1031)</f>
        <v>1121244567.060914</v>
      </c>
      <c r="AI560" s="213">
        <f t="shared" ref="AI560" si="685">+(AG560-AG553)/AG553</f>
        <v>9.6278405972115497E-2</v>
      </c>
      <c r="AJ560" s="50"/>
      <c r="AK560" s="111"/>
      <c r="AL560" s="23">
        <f t="shared" ref="AL560" si="686">+AP560-AP559</f>
        <v>154043</v>
      </c>
      <c r="AM560" s="24"/>
      <c r="AN560" s="24"/>
      <c r="AO560" s="24">
        <v>178263</v>
      </c>
      <c r="AP560" s="24">
        <v>32830025</v>
      </c>
      <c r="AQ560" s="24">
        <v>20336656</v>
      </c>
      <c r="AR560" s="461">
        <f t="shared" ref="AR560" si="687">+AL560/AP559</f>
        <v>4.7142577076949056E-3</v>
      </c>
      <c r="AS560" s="25"/>
      <c r="AT560" s="25"/>
      <c r="AU560" s="24"/>
      <c r="AV560" s="298">
        <f t="shared" ref="AV560" si="688">+AP560/H560</f>
        <v>0.79921744913111403</v>
      </c>
      <c r="AW560" s="298"/>
      <c r="AX560" s="24">
        <f t="shared" ref="AX560" si="689">+AP560/BW560</f>
        <v>59582.622504537205</v>
      </c>
      <c r="AY560" s="308"/>
      <c r="AZ560" s="111"/>
      <c r="BA560" s="65">
        <f t="shared" ref="BA560" si="690">+BC560-BC559</f>
        <v>1840361</v>
      </c>
      <c r="BB560" s="66"/>
      <c r="BC560" s="66">
        <v>625012542</v>
      </c>
      <c r="BD560" s="66"/>
      <c r="BE560" s="66">
        <f t="shared" ref="BE560" si="691">+D560</f>
        <v>120579</v>
      </c>
      <c r="BF560" s="66"/>
      <c r="BG560" s="144">
        <f t="shared" ref="BG560" si="692">+BE560/BA560</f>
        <v>6.5519210633131222E-2</v>
      </c>
      <c r="BH560" s="66"/>
      <c r="BI560" s="170"/>
      <c r="BJ560" s="66"/>
      <c r="BK560" s="66">
        <f t="shared" ref="BK560" si="693">SUM(BA554:BA560)</f>
        <v>13796511</v>
      </c>
      <c r="BL560" s="66"/>
      <c r="BM560" s="144">
        <f t="shared" ref="BM560" si="694">+Q560/BK560</f>
        <v>5.6645770803937318E-2</v>
      </c>
      <c r="BN560" s="65">
        <f t="shared" ref="BN560" si="695">+BC560/BW560</f>
        <v>1134324.0326678767</v>
      </c>
      <c r="BO560" s="66"/>
      <c r="BP560" s="66">
        <f t="shared" ref="BP560" si="696">+BP559+BE560</f>
        <v>40170735</v>
      </c>
      <c r="BQ560" s="66"/>
      <c r="BR560" s="435">
        <f t="shared" ref="BR560" si="697">+BP560/BC560</f>
        <v>6.4271886243204374E-2</v>
      </c>
      <c r="BS560" s="66"/>
      <c r="BT560" s="75"/>
      <c r="BU560" s="170"/>
      <c r="BV560" s="1"/>
      <c r="BW560" s="61">
        <f t="shared" si="399"/>
        <v>551</v>
      </c>
    </row>
    <row r="561" spans="2:75" x14ac:dyDescent="0.3">
      <c r="B561" s="158">
        <f t="shared" si="448"/>
        <v>44461</v>
      </c>
      <c r="C561" s="61"/>
      <c r="D561" s="17">
        <v>133620</v>
      </c>
      <c r="E561" s="16"/>
      <c r="F561" s="16"/>
      <c r="G561" s="16"/>
      <c r="H561" s="16">
        <f t="shared" ref="H561" si="698">+H560+D561</f>
        <v>41211333</v>
      </c>
      <c r="I561" s="16"/>
      <c r="J561" s="436">
        <f t="shared" ref="J561" si="699">+D561/H560</f>
        <v>3.2528587947435145E-3</v>
      </c>
      <c r="K561" s="16"/>
      <c r="L561" s="16"/>
      <c r="M561" s="16"/>
      <c r="N561" s="16">
        <f t="shared" ref="N561" si="700">SUM(D555:D561)</f>
        <v>750625</v>
      </c>
      <c r="O561" s="16">
        <f t="shared" ref="O561" si="701">+H561/BW561</f>
        <v>74658.211956521744</v>
      </c>
      <c r="P561" s="41"/>
      <c r="Q561" s="17">
        <f t="shared" ref="Q561" si="702">SUM(D555:D561)</f>
        <v>750625</v>
      </c>
      <c r="R561" s="16"/>
      <c r="S561" s="60">
        <f t="shared" ref="S561" si="703">+(Q561-Q554)/Q554</f>
        <v>-0.12249784021949682</v>
      </c>
      <c r="T561" s="16"/>
      <c r="U561" s="41"/>
      <c r="V561" s="10">
        <f t="shared" si="349"/>
        <v>453</v>
      </c>
      <c r="W561" s="34">
        <v>2228</v>
      </c>
      <c r="X561" s="33">
        <v>4256</v>
      </c>
      <c r="Y561" s="33"/>
      <c r="Z561" s="33">
        <f t="shared" ref="Z561" si="704">SUM(W556:W561)</f>
        <v>8061</v>
      </c>
      <c r="AA561" s="33">
        <f t="shared" ref="AA561" si="705">+AA560+W561</f>
        <v>661271</v>
      </c>
      <c r="AB561" s="33"/>
      <c r="AC561" s="46">
        <f t="shared" ref="AC561" si="706">+AA561/H561</f>
        <v>1.6045853212270519E-2</v>
      </c>
      <c r="AD561" s="33"/>
      <c r="AE561" s="33">
        <f t="shared" ref="AE561" si="707">+AA561/BW561</f>
        <v>1197.9547101449275</v>
      </c>
      <c r="AF561" s="50"/>
      <c r="AG561" s="33">
        <f t="shared" ref="AG561" si="708">SUM(W555:W561)</f>
        <v>9932</v>
      </c>
      <c r="AH561" s="33">
        <f t="shared" ref="AH561" si="709">SUM(D532:D1032)</f>
        <v>1121133433.060914</v>
      </c>
      <c r="AI561" s="213">
        <f t="shared" ref="AI561" si="710">+(AG561-AG554)/AG554</f>
        <v>2.4868434630069138E-2</v>
      </c>
      <c r="AJ561" s="50"/>
      <c r="AK561" s="111"/>
      <c r="AL561" s="23">
        <f t="shared" ref="AL561" si="711">+AP561-AP560</f>
        <v>117829</v>
      </c>
      <c r="AM561" s="24"/>
      <c r="AN561" s="24"/>
      <c r="AO561" s="24">
        <v>178263</v>
      </c>
      <c r="AP561" s="24">
        <v>32947854</v>
      </c>
      <c r="AQ561" s="24">
        <v>20336656</v>
      </c>
      <c r="AR561" s="461">
        <f t="shared" ref="AR561" si="712">+AL561/AP560</f>
        <v>3.5890621466173112E-3</v>
      </c>
      <c r="AS561" s="25"/>
      <c r="AT561" s="25"/>
      <c r="AU561" s="24"/>
      <c r="AV561" s="298">
        <f t="shared" ref="AV561" si="713">+AP561/H561</f>
        <v>0.79948527750849507</v>
      </c>
      <c r="AW561" s="298"/>
      <c r="AX561" s="24">
        <f t="shared" ref="AX561" si="714">+AP561/BW561</f>
        <v>59688.141304347824</v>
      </c>
      <c r="AY561" s="308"/>
      <c r="AZ561" s="111"/>
      <c r="BA561" s="65">
        <f t="shared" ref="BA561" si="715">+BC561-BC560</f>
        <v>2041090</v>
      </c>
      <c r="BB561" s="66"/>
      <c r="BC561" s="66">
        <v>627053632</v>
      </c>
      <c r="BD561" s="66"/>
      <c r="BE561" s="66">
        <f t="shared" ref="BE561" si="716">+D561</f>
        <v>133620</v>
      </c>
      <c r="BF561" s="66"/>
      <c r="BG561" s="144">
        <f t="shared" ref="BG561" si="717">+BE561/BA561</f>
        <v>6.5465021140665033E-2</v>
      </c>
      <c r="BH561" s="66"/>
      <c r="BI561" s="170"/>
      <c r="BJ561" s="66"/>
      <c r="BK561" s="66">
        <f t="shared" ref="BK561" si="718">SUM(BA555:BA561)</f>
        <v>13286661</v>
      </c>
      <c r="BL561" s="66"/>
      <c r="BM561" s="144">
        <f t="shared" ref="BM561" si="719">+Q561/BK561</f>
        <v>5.649463021597375E-2</v>
      </c>
      <c r="BN561" s="65">
        <f t="shared" ref="BN561" si="720">+BC561/BW561</f>
        <v>1135966.7246376812</v>
      </c>
      <c r="BO561" s="66"/>
      <c r="BP561" s="66">
        <f t="shared" ref="BP561" si="721">+BP560+BE561</f>
        <v>40304355</v>
      </c>
      <c r="BQ561" s="66"/>
      <c r="BR561" s="435">
        <f t="shared" ref="BR561" si="722">+BP561/BC561</f>
        <v>6.4275769955192602E-2</v>
      </c>
      <c r="BS561" s="66"/>
      <c r="BT561" s="75"/>
      <c r="BU561" s="170"/>
      <c r="BV561" s="1"/>
      <c r="BW561" s="61">
        <f t="shared" si="399"/>
        <v>552</v>
      </c>
    </row>
    <row r="562" spans="2:75" x14ac:dyDescent="0.3">
      <c r="B562" s="158">
        <f t="shared" si="448"/>
        <v>44462</v>
      </c>
      <c r="C562" s="61"/>
      <c r="D562" s="17">
        <v>127463</v>
      </c>
      <c r="E562" s="16"/>
      <c r="F562" s="16"/>
      <c r="G562" s="16"/>
      <c r="H562" s="16">
        <f t="shared" ref="H562" si="723">+H561+D562</f>
        <v>41338796</v>
      </c>
      <c r="I562" s="16"/>
      <c r="J562" s="436">
        <f t="shared" ref="J562" si="724">+D562/H561</f>
        <v>3.0929113600863143E-3</v>
      </c>
      <c r="K562" s="16"/>
      <c r="L562" s="16"/>
      <c r="M562" s="16"/>
      <c r="N562" s="16">
        <f t="shared" ref="N562" si="725">SUM(D556:D562)</f>
        <v>726946</v>
      </c>
      <c r="O562" s="16">
        <f t="shared" ref="O562" si="726">+H562/BW562</f>
        <v>74753.699819168178</v>
      </c>
      <c r="P562" s="41"/>
      <c r="Q562" s="17">
        <f t="shared" ref="Q562" si="727">SUM(D556:D562)</f>
        <v>726946</v>
      </c>
      <c r="R562" s="16"/>
      <c r="S562" s="60">
        <f t="shared" ref="S562" si="728">+(Q562-Q555)/Q555</f>
        <v>-0.14052766299560773</v>
      </c>
      <c r="T562" s="16"/>
      <c r="U562" s="41"/>
      <c r="V562" s="10">
        <f t="shared" si="349"/>
        <v>454</v>
      </c>
      <c r="W562" s="34">
        <v>1974</v>
      </c>
      <c r="X562" s="33">
        <v>4256</v>
      </c>
      <c r="Y562" s="33"/>
      <c r="Z562" s="33">
        <f t="shared" ref="Z562" si="729">SUM(W557:W562)</f>
        <v>8097</v>
      </c>
      <c r="AA562" s="33">
        <f t="shared" ref="AA562" si="730">+AA561+W562</f>
        <v>663245</v>
      </c>
      <c r="AB562" s="33"/>
      <c r="AC562" s="46">
        <f t="shared" ref="AC562" si="731">+AA562/H562</f>
        <v>1.6044129587131663E-2</v>
      </c>
      <c r="AD562" s="33"/>
      <c r="AE562" s="33">
        <f t="shared" ref="AE562" si="732">+AA562/BW562</f>
        <v>1199.3580470162749</v>
      </c>
      <c r="AF562" s="50"/>
      <c r="AG562" s="33">
        <f t="shared" ref="AG562" si="733">SUM(W556:W562)</f>
        <v>10035</v>
      </c>
      <c r="AH562" s="33">
        <f t="shared" ref="AH562" si="734">SUM(D533:D1033)</f>
        <v>1120985814.060914</v>
      </c>
      <c r="AI562" s="213">
        <f t="shared" ref="AI562" si="735">+(AG562-AG555)/AG555</f>
        <v>4.17315478044223E-2</v>
      </c>
      <c r="AJ562" s="50"/>
      <c r="AK562" s="111"/>
      <c r="AL562" s="23">
        <f t="shared" ref="AL562" si="736">+AP562-AP561</f>
        <v>85671</v>
      </c>
      <c r="AM562" s="24"/>
      <c r="AN562" s="24"/>
      <c r="AO562" s="24">
        <v>178263</v>
      </c>
      <c r="AP562" s="24">
        <v>33033525</v>
      </c>
      <c r="AQ562" s="24">
        <v>20336656</v>
      </c>
      <c r="AR562" s="461">
        <f t="shared" ref="AR562" si="737">+AL562/AP561</f>
        <v>2.6001996973763451E-3</v>
      </c>
      <c r="AS562" s="25"/>
      <c r="AT562" s="25"/>
      <c r="AU562" s="24"/>
      <c r="AV562" s="298">
        <f t="shared" ref="AV562" si="738">+AP562/H562</f>
        <v>0.79909257637788966</v>
      </c>
      <c r="AW562" s="298"/>
      <c r="AX562" s="24">
        <f t="shared" ref="AX562" si="739">+AP562/BW562</f>
        <v>59735.126582278484</v>
      </c>
      <c r="AY562" s="308"/>
      <c r="AZ562" s="111"/>
      <c r="BA562" s="65">
        <f t="shared" ref="BA562" si="740">+BC562-BC561</f>
        <v>1964598</v>
      </c>
      <c r="BB562" s="66"/>
      <c r="BC562" s="66">
        <v>629018230</v>
      </c>
      <c r="BD562" s="66"/>
      <c r="BE562" s="66">
        <f t="shared" ref="BE562" si="741">+D562</f>
        <v>127463</v>
      </c>
      <c r="BF562" s="66"/>
      <c r="BG562" s="144">
        <f t="shared" ref="BG562" si="742">+BE562/BA562</f>
        <v>6.4879939814659282E-2</v>
      </c>
      <c r="BH562" s="66"/>
      <c r="BI562" s="170"/>
      <c r="BJ562" s="66"/>
      <c r="BK562" s="66">
        <f t="shared" ref="BK562" si="743">SUM(BA556:BA562)</f>
        <v>13333837</v>
      </c>
      <c r="BL562" s="66"/>
      <c r="BM562" s="144">
        <f t="shared" ref="BM562" si="744">+Q562/BK562</f>
        <v>5.4518890548909515E-2</v>
      </c>
      <c r="BN562" s="65">
        <f t="shared" ref="BN562" si="745">+BC562/BW562</f>
        <v>1137465.1537070523</v>
      </c>
      <c r="BO562" s="66"/>
      <c r="BP562" s="66">
        <f t="shared" ref="BP562" si="746">+BP561+BE562</f>
        <v>40431818</v>
      </c>
      <c r="BQ562" s="66"/>
      <c r="BR562" s="435">
        <f t="shared" ref="BR562" si="747">+BP562/BC562</f>
        <v>6.4277656944855155E-2</v>
      </c>
      <c r="BS562" s="66"/>
      <c r="BT562" s="75"/>
      <c r="BU562" s="170"/>
      <c r="BV562" s="1"/>
      <c r="BW562" s="61">
        <f t="shared" si="399"/>
        <v>553</v>
      </c>
    </row>
    <row r="563" spans="2:75" x14ac:dyDescent="0.3">
      <c r="B563" s="158">
        <f t="shared" si="448"/>
        <v>44463</v>
      </c>
      <c r="C563" s="61"/>
      <c r="D563" s="17">
        <v>131007</v>
      </c>
      <c r="E563" s="16"/>
      <c r="F563" s="16"/>
      <c r="G563" s="16"/>
      <c r="H563" s="16">
        <f t="shared" ref="H563" si="748">+H562+D563</f>
        <v>41469803</v>
      </c>
      <c r="I563" s="16"/>
      <c r="J563" s="436">
        <f t="shared" ref="J563" si="749">+D563/H562</f>
        <v>3.1691053604947757E-3</v>
      </c>
      <c r="K563" s="16"/>
      <c r="L563" s="16"/>
      <c r="M563" s="16"/>
      <c r="N563" s="16">
        <f t="shared" ref="N563" si="750">SUM(D557:D563)</f>
        <v>699797</v>
      </c>
      <c r="O563" s="16">
        <f t="shared" ref="O563" si="751">+H563/BW563</f>
        <v>74855.24007220217</v>
      </c>
      <c r="P563" s="41"/>
      <c r="Q563" s="17">
        <f t="shared" ref="Q563" si="752">SUM(D557:D563)</f>
        <v>699797</v>
      </c>
      <c r="R563" s="16"/>
      <c r="S563" s="60">
        <f t="shared" ref="S563" si="753">+(Q563-Q556)/Q556</f>
        <v>-0.15974213410563423</v>
      </c>
      <c r="T563" s="16"/>
      <c r="U563" s="41"/>
      <c r="V563" s="10">
        <f t="shared" si="349"/>
        <v>455</v>
      </c>
      <c r="W563" s="34">
        <v>2004</v>
      </c>
      <c r="X563" s="33">
        <v>4256</v>
      </c>
      <c r="Y563" s="33"/>
      <c r="Z563" s="33">
        <f t="shared" ref="Z563" si="754">SUM(W558:W563)</f>
        <v>9252</v>
      </c>
      <c r="AA563" s="33">
        <f t="shared" ref="AA563" si="755">+AA562+W563</f>
        <v>665249</v>
      </c>
      <c r="AB563" s="33"/>
      <c r="AC563" s="46">
        <f t="shared" ref="AC563" si="756">+AA563/H563</f>
        <v>1.6041768995140874E-2</v>
      </c>
      <c r="AD563" s="33"/>
      <c r="AE563" s="33">
        <f t="shared" ref="AE563" si="757">+AA563/BW563</f>
        <v>1200.8104693140795</v>
      </c>
      <c r="AF563" s="50"/>
      <c r="AG563" s="33">
        <f t="shared" ref="AG563" si="758">SUM(W557:W563)</f>
        <v>10101</v>
      </c>
      <c r="AH563" s="33">
        <f t="shared" ref="AH563" si="759">SUM(D534:D1034)</f>
        <v>1120814077.060914</v>
      </c>
      <c r="AI563" s="213">
        <f t="shared" ref="AI563" si="760">+(AG563-AG556)/AG556</f>
        <v>2.9663608562691131E-2</v>
      </c>
      <c r="AJ563" s="50"/>
      <c r="AK563" s="111"/>
      <c r="AL563" s="23">
        <f t="shared" ref="AL563" si="761">+AP563-AP562</f>
        <v>79468</v>
      </c>
      <c r="AM563" s="24"/>
      <c r="AN563" s="24"/>
      <c r="AO563" s="24">
        <v>178263</v>
      </c>
      <c r="AP563" s="24">
        <v>33112993</v>
      </c>
      <c r="AQ563" s="24">
        <v>20336656</v>
      </c>
      <c r="AR563" s="461">
        <f t="shared" ref="AR563" si="762">+AL563/AP562</f>
        <v>2.4056772627202212E-3</v>
      </c>
      <c r="AS563" s="25"/>
      <c r="AT563" s="25"/>
      <c r="AU563" s="24"/>
      <c r="AV563" s="298">
        <f t="shared" ref="AV563" si="763">+AP563/H563</f>
        <v>0.79848445385670141</v>
      </c>
      <c r="AW563" s="298"/>
      <c r="AX563" s="24">
        <f t="shared" ref="AX563" si="764">+AP563/BW563</f>
        <v>59770.74548736462</v>
      </c>
      <c r="AY563" s="308"/>
      <c r="AZ563" s="111"/>
      <c r="BA563" s="65">
        <f t="shared" ref="BA563" si="765">+BC563-BC562</f>
        <v>2139205</v>
      </c>
      <c r="BB563" s="66"/>
      <c r="BC563" s="66">
        <v>631157435</v>
      </c>
      <c r="BD563" s="66"/>
      <c r="BE563" s="66">
        <f t="shared" ref="BE563" si="766">+D563</f>
        <v>131007</v>
      </c>
      <c r="BF563" s="66"/>
      <c r="BG563" s="144">
        <f t="shared" ref="BG563" si="767">+BE563/BA563</f>
        <v>6.1240975035118189E-2</v>
      </c>
      <c r="BH563" s="66"/>
      <c r="BI563" s="170"/>
      <c r="BJ563" s="66"/>
      <c r="BK563" s="66">
        <f t="shared" ref="BK563" si="768">SUM(BA557:BA563)</f>
        <v>13332108</v>
      </c>
      <c r="BL563" s="66"/>
      <c r="BM563" s="144">
        <f t="shared" ref="BM563" si="769">+Q563/BK563</f>
        <v>5.2489598794129178E-2</v>
      </c>
      <c r="BN563" s="65">
        <f t="shared" ref="BN563" si="770">+BC563/BW563</f>
        <v>1139273.3483754513</v>
      </c>
      <c r="BO563" s="66"/>
      <c r="BP563" s="66">
        <f t="shared" ref="BP563" si="771">+BP562+BE563</f>
        <v>40562825</v>
      </c>
      <c r="BQ563" s="66"/>
      <c r="BR563" s="435">
        <f t="shared" ref="BR563" si="772">+BP563/BC563</f>
        <v>6.4267364607690947E-2</v>
      </c>
      <c r="BS563" s="66"/>
      <c r="BT563" s="75"/>
      <c r="BU563" s="170"/>
      <c r="BV563" s="1"/>
      <c r="BW563" s="61">
        <f t="shared" si="399"/>
        <v>554</v>
      </c>
    </row>
    <row r="564" spans="2:75" x14ac:dyDescent="0.3">
      <c r="B564" s="158">
        <f t="shared" si="448"/>
        <v>44464</v>
      </c>
      <c r="C564" s="61"/>
      <c r="D564" s="17">
        <v>84779</v>
      </c>
      <c r="E564" s="16"/>
      <c r="F564" s="16"/>
      <c r="G564" s="16"/>
      <c r="H564" s="16">
        <f t="shared" ref="H564" si="773">+H563+D564</f>
        <v>41554582</v>
      </c>
      <c r="I564" s="16"/>
      <c r="J564" s="436">
        <f t="shared" ref="J564" si="774">+D564/H563</f>
        <v>2.0443550214116041E-3</v>
      </c>
      <c r="K564" s="16"/>
      <c r="L564" s="16"/>
      <c r="M564" s="16"/>
      <c r="N564" s="16">
        <f t="shared" ref="N564" si="775">SUM(D558:D564)</f>
        <v>720017</v>
      </c>
      <c r="O564" s="16">
        <f t="shared" ref="O564" si="776">+H564/BW564</f>
        <v>74873.120720720719</v>
      </c>
      <c r="P564" s="41"/>
      <c r="Q564" s="17">
        <f t="shared" ref="Q564" si="777">SUM(D558:D564)</f>
        <v>720017</v>
      </c>
      <c r="R564" s="16"/>
      <c r="S564" s="60">
        <f t="shared" ref="S564" si="778">+(Q564-Q557)/Q557</f>
        <v>-0.12757676840254595</v>
      </c>
      <c r="T564" s="16"/>
      <c r="U564" s="41"/>
      <c r="V564" s="10">
        <f t="shared" si="349"/>
        <v>456</v>
      </c>
      <c r="W564" s="34">
        <v>1195</v>
      </c>
      <c r="X564" s="33">
        <v>4256</v>
      </c>
      <c r="Y564" s="33"/>
      <c r="Z564" s="33">
        <f t="shared" ref="Z564" si="779">SUM(W559:W564)</f>
        <v>10074</v>
      </c>
      <c r="AA564" s="33">
        <f t="shared" ref="AA564" si="780">+AA563+W564</f>
        <v>666444</v>
      </c>
      <c r="AB564" s="33"/>
      <c r="AC564" s="46">
        <f t="shared" ref="AC564" si="781">+AA564/H564</f>
        <v>1.6037798190341561E-2</v>
      </c>
      <c r="AD564" s="33"/>
      <c r="AE564" s="33">
        <f t="shared" ref="AE564" si="782">+AA564/BW564</f>
        <v>1200.8</v>
      </c>
      <c r="AF564" s="50"/>
      <c r="AG564" s="33">
        <f t="shared" ref="AG564" si="783">SUM(W558:W564)</f>
        <v>10447</v>
      </c>
      <c r="AH564" s="33">
        <f t="shared" ref="AH564" si="784">SUM(D535:D1035)</f>
        <v>1120636871.060914</v>
      </c>
      <c r="AI564" s="213">
        <f t="shared" ref="AI564" si="785">+(AG564-AG557)/AG557</f>
        <v>5.1006036217303825E-2</v>
      </c>
      <c r="AJ564" s="50"/>
      <c r="AK564" s="111"/>
      <c r="AL564" s="23">
        <f t="shared" ref="AL564" si="786">+AP564-AP563</f>
        <v>57642</v>
      </c>
      <c r="AM564" s="24"/>
      <c r="AN564" s="24"/>
      <c r="AO564" s="24">
        <v>178263</v>
      </c>
      <c r="AP564" s="24">
        <v>33170635</v>
      </c>
      <c r="AQ564" s="24">
        <v>20336656</v>
      </c>
      <c r="AR564" s="461">
        <f t="shared" ref="AR564" si="787">+AL564/AP563</f>
        <v>1.7407668343359961E-3</v>
      </c>
      <c r="AS564" s="25"/>
      <c r="AT564" s="25"/>
      <c r="AU564" s="24"/>
      <c r="AV564" s="298">
        <f t="shared" ref="AV564" si="788">+AP564/H564</f>
        <v>0.79824253797090294</v>
      </c>
      <c r="AW564" s="298"/>
      <c r="AX564" s="24">
        <f t="shared" ref="AX564" si="789">+AP564/BW564</f>
        <v>59766.909909909911</v>
      </c>
      <c r="AY564" s="308"/>
      <c r="AZ564" s="111"/>
      <c r="BA564" s="65">
        <f t="shared" ref="BA564" si="790">+BC564-BC563</f>
        <v>1512631</v>
      </c>
      <c r="BB564" s="66"/>
      <c r="BC564" s="66">
        <v>632670066</v>
      </c>
      <c r="BD564" s="66"/>
      <c r="BE564" s="66">
        <f t="shared" ref="BE564" si="791">+D564</f>
        <v>84779</v>
      </c>
      <c r="BF564" s="66"/>
      <c r="BG564" s="144">
        <f t="shared" ref="BG564" si="792">+BE564/BA564</f>
        <v>5.6047377053623788E-2</v>
      </c>
      <c r="BH564" s="66"/>
      <c r="BI564" s="170"/>
      <c r="BJ564" s="66"/>
      <c r="BK564" s="66">
        <f t="shared" ref="BK564" si="793">SUM(BA558:BA564)</f>
        <v>13683009</v>
      </c>
      <c r="BL564" s="66"/>
      <c r="BM564" s="144">
        <f t="shared" ref="BM564" si="794">+Q564/BK564</f>
        <v>5.262124727097673E-2</v>
      </c>
      <c r="BN564" s="65">
        <f t="shared" ref="BN564" si="795">+BC564/BW564</f>
        <v>1139946.0648648648</v>
      </c>
      <c r="BO564" s="66"/>
      <c r="BP564" s="66">
        <f t="shared" ref="BP564" si="796">+BP563+BE564</f>
        <v>40647604</v>
      </c>
      <c r="BQ564" s="66"/>
      <c r="BR564" s="435">
        <f t="shared" ref="BR564" si="797">+BP564/BC564</f>
        <v>6.4247711697490051E-2</v>
      </c>
      <c r="BS564" s="66"/>
      <c r="BT564" s="75"/>
      <c r="BU564" s="170"/>
      <c r="BV564" s="1"/>
      <c r="BW564" s="61">
        <f t="shared" si="399"/>
        <v>555</v>
      </c>
    </row>
    <row r="565" spans="2:75" x14ac:dyDescent="0.3">
      <c r="B565" s="347">
        <f t="shared" si="448"/>
        <v>44465</v>
      </c>
      <c r="C565" s="61"/>
      <c r="D565" s="17">
        <v>58622</v>
      </c>
      <c r="E565" s="16"/>
      <c r="F565" s="16"/>
      <c r="G565" s="16"/>
      <c r="H565" s="16">
        <f t="shared" ref="H565" si="798">+H564+D565</f>
        <v>41613204</v>
      </c>
      <c r="I565" s="16"/>
      <c r="J565" s="436">
        <f t="shared" ref="J565" si="799">+D565/H564</f>
        <v>1.4107228897164699E-3</v>
      </c>
      <c r="K565" s="16"/>
      <c r="L565" s="16"/>
      <c r="M565" s="16"/>
      <c r="N565" s="16">
        <f t="shared" ref="N565" si="800">SUM(D559:D565)</f>
        <v>742142</v>
      </c>
      <c r="O565" s="16">
        <f t="shared" ref="O565" si="801">+H565/BW565</f>
        <v>74843.892086330932</v>
      </c>
      <c r="P565" s="41"/>
      <c r="Q565" s="17">
        <f t="shared" ref="Q565" si="802">SUM(D559:D565)</f>
        <v>742142</v>
      </c>
      <c r="R565" s="16"/>
      <c r="S565" s="60">
        <f t="shared" ref="S565" si="803">+(Q565-Q558)/Q558</f>
        <v>-0.10190789903600636</v>
      </c>
      <c r="T565" s="16"/>
      <c r="U565" s="41"/>
      <c r="V565" s="10">
        <f t="shared" si="349"/>
        <v>457</v>
      </c>
      <c r="W565" s="34">
        <v>586</v>
      </c>
      <c r="X565" s="33">
        <v>4256</v>
      </c>
      <c r="Y565" s="33"/>
      <c r="Z565" s="33">
        <f t="shared" ref="Z565" si="804">SUM(W560:W565)</f>
        <v>9914</v>
      </c>
      <c r="AA565" s="33">
        <f t="shared" ref="AA565" si="805">+AA564+W565</f>
        <v>667030</v>
      </c>
      <c r="AB565" s="33"/>
      <c r="AC565" s="46">
        <f t="shared" ref="AC565" si="806">+AA565/H565</f>
        <v>1.60292872425781E-2</v>
      </c>
      <c r="AD565" s="33"/>
      <c r="AE565" s="33">
        <f t="shared" ref="AE565" si="807">+AA565/BW565</f>
        <v>1199.6942446043165</v>
      </c>
      <c r="AF565" s="50"/>
      <c r="AG565" s="33">
        <f t="shared" ref="AG565" si="808">SUM(W559:W565)</f>
        <v>10660</v>
      </c>
      <c r="AH565" s="33">
        <f t="shared" ref="AH565" si="809">SUM(D536:D1036)</f>
        <v>1120446501.060914</v>
      </c>
      <c r="AI565" s="213">
        <f t="shared" ref="AI565" si="810">+(AG565-AG558)/AG558</f>
        <v>5.9431524547803614E-2</v>
      </c>
      <c r="AJ565" s="50"/>
      <c r="AK565" s="111"/>
      <c r="AL565" s="23">
        <f t="shared" ref="AL565" si="811">+AP565-AP564</f>
        <v>34972</v>
      </c>
      <c r="AM565" s="24"/>
      <c r="AN565" s="24"/>
      <c r="AO565" s="24">
        <v>178263</v>
      </c>
      <c r="AP565" s="24">
        <v>33205607</v>
      </c>
      <c r="AQ565" s="24">
        <v>20336656</v>
      </c>
      <c r="AR565" s="461">
        <f t="shared" ref="AR565" si="812">+AL565/AP564</f>
        <v>1.0543060149436391E-3</v>
      </c>
      <c r="AS565" s="25"/>
      <c r="AT565" s="25"/>
      <c r="AU565" s="24"/>
      <c r="AV565" s="298">
        <f t="shared" ref="AV565" si="813">+AP565/H565</f>
        <v>0.79795843165549085</v>
      </c>
      <c r="AW565" s="298"/>
      <c r="AX565" s="24">
        <f t="shared" ref="AX565" si="814">+AP565/BW565</f>
        <v>59722.314748201439</v>
      </c>
      <c r="AY565" s="308"/>
      <c r="AZ565" s="111"/>
      <c r="BA565" s="65">
        <f t="shared" ref="BA565" si="815">+BC565-BC564</f>
        <v>1143749</v>
      </c>
      <c r="BB565" s="66"/>
      <c r="BC565" s="66">
        <v>633813815</v>
      </c>
      <c r="BD565" s="66"/>
      <c r="BE565" s="66">
        <f t="shared" ref="BE565" si="816">+D565</f>
        <v>58622</v>
      </c>
      <c r="BF565" s="66"/>
      <c r="BG565" s="144">
        <f t="shared" ref="BG565" si="817">+BE565/BA565</f>
        <v>5.1254252462734393E-2</v>
      </c>
      <c r="BH565" s="66"/>
      <c r="BI565" s="170"/>
      <c r="BJ565" s="66"/>
      <c r="BK565" s="66">
        <f t="shared" ref="BK565" si="818">SUM(BA559:BA565)</f>
        <v>13888514</v>
      </c>
      <c r="BL565" s="66"/>
      <c r="BM565" s="144">
        <f t="shared" ref="BM565" si="819">+Q565/BK565</f>
        <v>5.3435666335505727E-2</v>
      </c>
      <c r="BN565" s="65">
        <f t="shared" ref="BN565" si="820">+BC565/BW565</f>
        <v>1139952.904676259</v>
      </c>
      <c r="BO565" s="66"/>
      <c r="BP565" s="66">
        <f t="shared" ref="BP565" si="821">+BP564+BE565</f>
        <v>40706226</v>
      </c>
      <c r="BQ565" s="66"/>
      <c r="BR565" s="435">
        <f t="shared" ref="BR565" si="822">+BP565/BC565</f>
        <v>6.4224264344884943E-2</v>
      </c>
      <c r="BS565" s="66"/>
      <c r="BT565" s="75"/>
      <c r="BU565" s="170"/>
      <c r="BV565" s="1"/>
      <c r="BW565" s="61">
        <f t="shared" si="399"/>
        <v>556</v>
      </c>
    </row>
    <row r="566" spans="2:75" x14ac:dyDescent="0.3">
      <c r="B566" s="158">
        <f t="shared" si="448"/>
        <v>44466</v>
      </c>
      <c r="C566" s="61"/>
      <c r="D566" s="17">
        <v>81409</v>
      </c>
      <c r="E566" s="16"/>
      <c r="F566" s="16"/>
      <c r="G566" s="16"/>
      <c r="H566" s="16">
        <f t="shared" ref="H566" si="823">+H565+D566</f>
        <v>41694613</v>
      </c>
      <c r="I566" s="16"/>
      <c r="J566" s="436">
        <f t="shared" ref="J566" si="824">+D566/H565</f>
        <v>1.9563261699339471E-3</v>
      </c>
      <c r="K566" s="16"/>
      <c r="L566" s="16"/>
      <c r="M566" s="16"/>
      <c r="N566" s="16">
        <f t="shared" ref="N566" si="825">SUM(D560:D566)</f>
        <v>737479</v>
      </c>
      <c r="O566" s="16">
        <f t="shared" ref="O566" si="826">+H566/BW566</f>
        <v>74855.678635547578</v>
      </c>
      <c r="P566" s="41"/>
      <c r="Q566" s="17">
        <f t="shared" ref="Q566" si="827">SUM(D560:D566)</f>
        <v>737479</v>
      </c>
      <c r="R566" s="16"/>
      <c r="S566" s="60">
        <f t="shared" ref="S566" si="828">+(Q566-Q559)/Q559</f>
        <v>-8.1588405392817379E-2</v>
      </c>
      <c r="T566" s="16"/>
      <c r="U566" s="41"/>
      <c r="V566" s="10">
        <f t="shared" si="349"/>
        <v>458</v>
      </c>
      <c r="W566" s="34">
        <v>689</v>
      </c>
      <c r="X566" s="33">
        <v>4256</v>
      </c>
      <c r="Y566" s="33"/>
      <c r="Z566" s="33">
        <f t="shared" ref="Z566" si="829">SUM(W561:W566)</f>
        <v>8676</v>
      </c>
      <c r="AA566" s="33">
        <f t="shared" ref="AA566" si="830">+AA565+W566</f>
        <v>667719</v>
      </c>
      <c r="AB566" s="33"/>
      <c r="AC566" s="46">
        <f t="shared" ref="AC566" si="831">+AA566/H566</f>
        <v>1.60145148727007E-2</v>
      </c>
      <c r="AD566" s="33"/>
      <c r="AE566" s="33">
        <f t="shared" ref="AE566" si="832">+AA566/BW566</f>
        <v>1198.7773788150807</v>
      </c>
      <c r="AF566" s="50"/>
      <c r="AG566" s="33">
        <f t="shared" ref="AG566" si="833">SUM(W560:W566)</f>
        <v>10603</v>
      </c>
      <c r="AH566" s="33">
        <f t="shared" ref="AH566" si="834">SUM(D537:D1037)</f>
        <v>1120373716.060914</v>
      </c>
      <c r="AI566" s="213">
        <f t="shared" ref="AI566" si="835">+(AG566-AG559)/AG559</f>
        <v>6.1042729910937656E-2</v>
      </c>
      <c r="AJ566" s="50"/>
      <c r="AK566" s="111"/>
      <c r="AL566" s="23">
        <f t="shared" ref="AL566" si="836">+AP566-AP565</f>
        <v>189226</v>
      </c>
      <c r="AM566" s="24"/>
      <c r="AN566" s="24"/>
      <c r="AO566" s="24">
        <v>178263</v>
      </c>
      <c r="AP566" s="24">
        <v>33394833</v>
      </c>
      <c r="AQ566" s="24">
        <v>20336656</v>
      </c>
      <c r="AR566" s="461">
        <f t="shared" ref="AR566" si="837">+AL566/AP565</f>
        <v>5.698615899417228E-3</v>
      </c>
      <c r="AS566" s="25"/>
      <c r="AT566" s="25"/>
      <c r="AU566" s="24"/>
      <c r="AV566" s="298">
        <f t="shared" ref="AV566" si="838">+AP566/H566</f>
        <v>0.80093879274044344</v>
      </c>
      <c r="AW566" s="298"/>
      <c r="AX566" s="24">
        <f t="shared" ref="AX566" si="839">+AP566/BW566</f>
        <v>59954.81687612208</v>
      </c>
      <c r="AY566" s="308"/>
      <c r="AZ566" s="111"/>
      <c r="BA566" s="65">
        <f t="shared" ref="BA566" si="840">+BC566-BC565</f>
        <v>2710122</v>
      </c>
      <c r="BB566" s="66"/>
      <c r="BC566" s="66">
        <v>636523937</v>
      </c>
      <c r="BD566" s="66"/>
      <c r="BE566" s="66">
        <f t="shared" ref="BE566" si="841">+D566</f>
        <v>81409</v>
      </c>
      <c r="BF566" s="66"/>
      <c r="BG566" s="144">
        <f t="shared" ref="BG566" si="842">+BE566/BA566</f>
        <v>3.0038869098881895E-2</v>
      </c>
      <c r="BH566" s="66"/>
      <c r="BI566" s="170"/>
      <c r="BJ566" s="66"/>
      <c r="BK566" s="66">
        <f t="shared" ref="BK566" si="843">SUM(BA560:BA566)</f>
        <v>13351756</v>
      </c>
      <c r="BL566" s="66"/>
      <c r="BM566" s="144">
        <f t="shared" ref="BM566" si="844">+Q566/BK566</f>
        <v>5.5234607343034127E-2</v>
      </c>
      <c r="BN566" s="65">
        <f t="shared" ref="BN566" si="845">+BC566/BW566</f>
        <v>1142771.8797127469</v>
      </c>
      <c r="BO566" s="66"/>
      <c r="BP566" s="66">
        <f t="shared" ref="BP566" si="846">+BP565+BE566</f>
        <v>40787635</v>
      </c>
      <c r="BQ566" s="66"/>
      <c r="BR566" s="435">
        <f t="shared" ref="BR566" si="847">+BP566/BC566</f>
        <v>6.4078713507988619E-2</v>
      </c>
      <c r="BS566" s="66"/>
      <c r="BT566" s="75"/>
      <c r="BU566" s="170"/>
      <c r="BV566" s="1"/>
      <c r="BW566" s="61">
        <f t="shared" si="399"/>
        <v>557</v>
      </c>
    </row>
    <row r="567" spans="2:75" x14ac:dyDescent="0.3">
      <c r="B567" s="158">
        <f t="shared" si="448"/>
        <v>44467</v>
      </c>
      <c r="C567" s="61"/>
      <c r="D567" s="17">
        <v>105633</v>
      </c>
      <c r="E567" s="16"/>
      <c r="F567" s="16"/>
      <c r="G567" s="16"/>
      <c r="H567" s="16">
        <f t="shared" ref="H567" si="848">+H566+D567</f>
        <v>41800246</v>
      </c>
      <c r="I567" s="16"/>
      <c r="J567" s="436">
        <f t="shared" ref="J567" si="849">+D567/H566</f>
        <v>2.5334927560066332E-3</v>
      </c>
      <c r="K567" s="16"/>
      <c r="L567" s="16"/>
      <c r="M567" s="16"/>
      <c r="N567" s="16">
        <f t="shared" ref="N567" si="850">SUM(D561:D567)</f>
        <v>722533</v>
      </c>
      <c r="O567" s="16">
        <f t="shared" ref="O567" si="851">+H567/BW567</f>
        <v>74910.835125448022</v>
      </c>
      <c r="P567" s="41"/>
      <c r="Q567" s="17">
        <f t="shared" ref="Q567" si="852">SUM(D561:D567)</f>
        <v>722533</v>
      </c>
      <c r="R567" s="16"/>
      <c r="S567" s="60">
        <f t="shared" ref="S567" si="853">+(Q567-Q560)/Q560</f>
        <v>-7.5470177117748366E-2</v>
      </c>
      <c r="T567" s="16"/>
      <c r="U567" s="41"/>
      <c r="V567" s="10">
        <f t="shared" si="349"/>
        <v>459</v>
      </c>
      <c r="W567" s="34">
        <v>1836</v>
      </c>
      <c r="X567" s="33">
        <v>4256</v>
      </c>
      <c r="Y567" s="33"/>
      <c r="Z567" s="33">
        <f t="shared" ref="Z567" si="854">SUM(W562:W567)</f>
        <v>8284</v>
      </c>
      <c r="AA567" s="33">
        <f t="shared" ref="AA567" si="855">+AA566+W567</f>
        <v>669555</v>
      </c>
      <c r="AB567" s="33"/>
      <c r="AC567" s="46">
        <f t="shared" ref="AC567" si="856">+AA567/H567</f>
        <v>1.6017967932533218E-2</v>
      </c>
      <c r="AD567" s="33"/>
      <c r="AE567" s="33">
        <f t="shared" ref="AE567" si="857">+AA567/BW567</f>
        <v>1199.9193548387098</v>
      </c>
      <c r="AF567" s="50"/>
      <c r="AG567" s="33">
        <f t="shared" ref="AG567" si="858">SUM(W561:W567)</f>
        <v>10512</v>
      </c>
      <c r="AH567" s="33">
        <f t="shared" ref="AH567" si="859">SUM(D538:D1038)</f>
        <v>1120336454.060914</v>
      </c>
      <c r="AI567" s="213">
        <f t="shared" ref="AI567" si="860">+(AG567-AG560)/AG560</f>
        <v>5.2673743240536752E-2</v>
      </c>
      <c r="AJ567" s="50"/>
      <c r="AK567" s="111"/>
      <c r="AL567" s="23">
        <f t="shared" ref="AL567" si="861">+AP567-AP566</f>
        <v>126125</v>
      </c>
      <c r="AM567" s="24"/>
      <c r="AN567" s="24"/>
      <c r="AO567" s="24">
        <v>178263</v>
      </c>
      <c r="AP567" s="24">
        <v>33520958</v>
      </c>
      <c r="AQ567" s="24">
        <v>20336656</v>
      </c>
      <c r="AR567" s="461">
        <f t="shared" ref="AR567" si="862">+AL567/AP566</f>
        <v>3.77678187520806E-3</v>
      </c>
      <c r="AS567" s="25"/>
      <c r="AT567" s="25"/>
      <c r="AU567" s="24"/>
      <c r="AV567" s="298">
        <f t="shared" ref="AV567" si="863">+AP567/H567</f>
        <v>0.80193207475381845</v>
      </c>
      <c r="AW567" s="298"/>
      <c r="AX567" s="24">
        <f t="shared" ref="AX567" si="864">+AP567/BW567</f>
        <v>60073.401433691753</v>
      </c>
      <c r="AY567" s="308"/>
      <c r="AZ567" s="111"/>
      <c r="BA567" s="65">
        <f t="shared" ref="BA567" si="865">+BC567-BC566</f>
        <v>1525802</v>
      </c>
      <c r="BB567" s="66"/>
      <c r="BC567" s="66">
        <v>638049739</v>
      </c>
      <c r="BD567" s="66"/>
      <c r="BE567" s="66">
        <f t="shared" ref="BE567" si="866">+D567</f>
        <v>105633</v>
      </c>
      <c r="BF567" s="66"/>
      <c r="BG567" s="144">
        <f t="shared" ref="BG567" si="867">+BE567/BA567</f>
        <v>6.9231132217679625E-2</v>
      </c>
      <c r="BH567" s="66"/>
      <c r="BI567" s="170"/>
      <c r="BJ567" s="66"/>
      <c r="BK567" s="66">
        <f t="shared" ref="BK567" si="868">SUM(BA561:BA567)</f>
        <v>13037197</v>
      </c>
      <c r="BL567" s="66"/>
      <c r="BM567" s="144">
        <f t="shared" ref="BM567" si="869">+Q567/BK567</f>
        <v>5.5420885332943884E-2</v>
      </c>
      <c r="BN567" s="65">
        <f t="shared" ref="BN567" si="870">+BC567/BW567</f>
        <v>1143458.3136200716</v>
      </c>
      <c r="BO567" s="66"/>
      <c r="BP567" s="66">
        <f t="shared" ref="BP567" si="871">+BP566+BE567</f>
        <v>40893268</v>
      </c>
      <c r="BQ567" s="66"/>
      <c r="BR567" s="435">
        <f t="shared" ref="BR567" si="872">+BP567/BC567</f>
        <v>6.4091034758655394E-2</v>
      </c>
      <c r="BS567" s="66"/>
      <c r="BT567" s="75"/>
      <c r="BU567" s="170"/>
      <c r="BV567" s="1"/>
      <c r="BW567" s="61">
        <f t="shared" si="399"/>
        <v>558</v>
      </c>
    </row>
    <row r="568" spans="2:75" x14ac:dyDescent="0.3">
      <c r="B568" s="158">
        <f t="shared" si="448"/>
        <v>44468</v>
      </c>
      <c r="C568" s="61"/>
      <c r="D568" s="17">
        <v>123276</v>
      </c>
      <c r="E568" s="16"/>
      <c r="F568" s="16"/>
      <c r="G568" s="16"/>
      <c r="H568" s="16">
        <f t="shared" ref="H568" si="873">+H567+D568</f>
        <v>41923522</v>
      </c>
      <c r="I568" s="16"/>
      <c r="J568" s="436">
        <f t="shared" ref="J568" si="874">+D568/H567</f>
        <v>2.9491692465159177E-3</v>
      </c>
      <c r="K568" s="16"/>
      <c r="L568" s="16"/>
      <c r="M568" s="16"/>
      <c r="N568" s="16">
        <f t="shared" ref="N568" si="875">SUM(D562:D568)</f>
        <v>712189</v>
      </c>
      <c r="O568" s="16">
        <f t="shared" ref="O568" si="876">+H568/BW568</f>
        <v>74997.355992844372</v>
      </c>
      <c r="P568" s="41"/>
      <c r="Q568" s="17">
        <f t="shared" ref="Q568" si="877">SUM(D562:D568)</f>
        <v>712189</v>
      </c>
      <c r="R568" s="16"/>
      <c r="S568" s="60">
        <f t="shared" ref="S568" si="878">+(Q568-Q561)/Q561</f>
        <v>-5.1205328892589511E-2</v>
      </c>
      <c r="T568" s="16"/>
      <c r="U568" s="41"/>
      <c r="V568" s="10">
        <f t="shared" si="349"/>
        <v>460</v>
      </c>
      <c r="W568" s="34">
        <v>2190</v>
      </c>
      <c r="X568" s="33">
        <v>4256</v>
      </c>
      <c r="Y568" s="33"/>
      <c r="Z568" s="33">
        <f t="shared" ref="Z568" si="879">SUM(W563:W568)</f>
        <v>8500</v>
      </c>
      <c r="AA568" s="33">
        <f t="shared" ref="AA568" si="880">+AA567+W568</f>
        <v>671745</v>
      </c>
      <c r="AB568" s="33"/>
      <c r="AC568" s="46">
        <f t="shared" ref="AC568" si="881">+AA568/H568</f>
        <v>1.6023105119841792E-2</v>
      </c>
      <c r="AD568" s="33"/>
      <c r="AE568" s="33">
        <f t="shared" ref="AE568" si="882">+AA568/BW568</f>
        <v>1201.6905187835421</v>
      </c>
      <c r="AF568" s="50"/>
      <c r="AG568" s="33">
        <f t="shared" ref="AG568" si="883">SUM(W562:W568)</f>
        <v>10474</v>
      </c>
      <c r="AH568" s="33">
        <f t="shared" ref="AH568" si="884">SUM(D539:D1039)</f>
        <v>1120216812.060914</v>
      </c>
      <c r="AI568" s="213">
        <f t="shared" ref="AI568" si="885">+(AG568-AG561)/AG561</f>
        <v>5.4571083366894882E-2</v>
      </c>
      <c r="AJ568" s="50"/>
      <c r="AK568" s="111"/>
      <c r="AL568" s="23">
        <f t="shared" ref="AL568" si="886">+AP568-AP567</f>
        <v>113744</v>
      </c>
      <c r="AM568" s="24"/>
      <c r="AN568" s="24"/>
      <c r="AO568" s="24">
        <v>178263</v>
      </c>
      <c r="AP568" s="24">
        <v>33634702</v>
      </c>
      <c r="AQ568" s="24">
        <v>20336656</v>
      </c>
      <c r="AR568" s="461">
        <f t="shared" ref="AR568" si="887">+AL568/AP567</f>
        <v>3.3932204443560352E-3</v>
      </c>
      <c r="AS568" s="25"/>
      <c r="AT568" s="25"/>
      <c r="AU568" s="24"/>
      <c r="AV568" s="298">
        <f t="shared" ref="AV568" si="888">+AP568/H568</f>
        <v>0.80228712654437762</v>
      </c>
      <c r="AW568" s="298"/>
      <c r="AX568" s="24">
        <f t="shared" ref="AX568" si="889">+AP568/BW568</f>
        <v>60169.413237924869</v>
      </c>
      <c r="AY568" s="308"/>
      <c r="AZ568" s="111"/>
      <c r="BA568" s="65">
        <f t="shared" ref="BA568" si="890">+BC568-BC567</f>
        <v>1783117</v>
      </c>
      <c r="BB568" s="66"/>
      <c r="BC568" s="66">
        <v>639832856</v>
      </c>
      <c r="BD568" s="66"/>
      <c r="BE568" s="66">
        <f t="shared" ref="BE568" si="891">+D568</f>
        <v>123276</v>
      </c>
      <c r="BF568" s="66"/>
      <c r="BG568" s="144">
        <f t="shared" ref="BG568" si="892">+BE568/BA568</f>
        <v>6.9135115643000428E-2</v>
      </c>
      <c r="BH568" s="66"/>
      <c r="BI568" s="170"/>
      <c r="BJ568" s="66"/>
      <c r="BK568" s="66">
        <f t="shared" ref="BK568" si="893">SUM(BA562:BA568)</f>
        <v>12779224</v>
      </c>
      <c r="BL568" s="66"/>
      <c r="BM568" s="144">
        <f t="shared" ref="BM568" si="894">+Q568/BK568</f>
        <v>5.5730222742789388E-2</v>
      </c>
      <c r="BN568" s="65">
        <f t="shared" ref="BN568" si="895">+BC568/BW568</f>
        <v>1144602.6046511629</v>
      </c>
      <c r="BO568" s="66"/>
      <c r="BP568" s="66">
        <f t="shared" ref="BP568" si="896">+BP567+BE568</f>
        <v>41016544</v>
      </c>
      <c r="BQ568" s="66"/>
      <c r="BR568" s="435">
        <f t="shared" ref="BR568" si="897">+BP568/BC568</f>
        <v>6.4105091846049247E-2</v>
      </c>
      <c r="BS568" s="66"/>
      <c r="BT568" s="75"/>
      <c r="BU568" s="170"/>
      <c r="BV568" s="1"/>
      <c r="BW568" s="61">
        <f t="shared" si="399"/>
        <v>559</v>
      </c>
    </row>
    <row r="569" spans="2:75" x14ac:dyDescent="0.3">
      <c r="B569" s="158">
        <f t="shared" si="448"/>
        <v>44469</v>
      </c>
      <c r="C569" s="61"/>
      <c r="D569" s="17">
        <v>113922</v>
      </c>
      <c r="E569" s="16"/>
      <c r="F569" s="16"/>
      <c r="G569" s="16"/>
      <c r="H569" s="16">
        <f t="shared" ref="H569" si="898">+H568+D569</f>
        <v>42037444</v>
      </c>
      <c r="I569" s="16"/>
      <c r="J569" s="436">
        <f t="shared" ref="J569" si="899">+D569/H568</f>
        <v>2.7173766555204973E-3</v>
      </c>
      <c r="K569" s="16"/>
      <c r="L569" s="16"/>
      <c r="M569" s="16"/>
      <c r="N569" s="16">
        <f t="shared" ref="N569" si="900">SUM(D563:D569)</f>
        <v>698648</v>
      </c>
      <c r="O569" s="16">
        <f t="shared" ref="O569" si="901">+H569/BW569</f>
        <v>75066.864285714284</v>
      </c>
      <c r="P569" s="41"/>
      <c r="Q569" s="17">
        <f t="shared" ref="Q569" si="902">SUM(D563:D569)</f>
        <v>698648</v>
      </c>
      <c r="R569" s="16"/>
      <c r="S569" s="60">
        <f t="shared" ref="S569" si="903">+(Q569-Q562)/Q562</f>
        <v>-3.8927238061699218E-2</v>
      </c>
      <c r="T569" s="16"/>
      <c r="U569" s="41"/>
      <c r="V569" s="10">
        <f t="shared" si="349"/>
        <v>461</v>
      </c>
      <c r="W569" s="34">
        <v>1812</v>
      </c>
      <c r="X569" s="33">
        <v>4256</v>
      </c>
      <c r="Y569" s="33"/>
      <c r="Z569" s="33">
        <f t="shared" ref="Z569" si="904">SUM(W564:W569)</f>
        <v>8308</v>
      </c>
      <c r="AA569" s="33">
        <f t="shared" ref="AA569" si="905">+AA568+W569</f>
        <v>673557</v>
      </c>
      <c r="AB569" s="33"/>
      <c r="AC569" s="46">
        <f t="shared" ref="AC569" si="906">+AA569/H569</f>
        <v>1.6022786732704301E-2</v>
      </c>
      <c r="AD569" s="33"/>
      <c r="AE569" s="33">
        <f t="shared" ref="AE569" si="907">+AA569/BW569</f>
        <v>1202.7803571428572</v>
      </c>
      <c r="AF569" s="50"/>
      <c r="AG569" s="33">
        <f t="shared" ref="AG569" si="908">SUM(W563:W569)</f>
        <v>10312</v>
      </c>
      <c r="AH569" s="33">
        <f t="shared" ref="AH569" si="909">SUM(D540:D1040)</f>
        <v>1120058146.060914</v>
      </c>
      <c r="AI569" s="213">
        <f t="shared" ref="AI569" si="910">+(AG569-AG562)/AG562</f>
        <v>2.7603388141504735E-2</v>
      </c>
      <c r="AJ569" s="50"/>
      <c r="AK569" s="111"/>
      <c r="AL569" s="23">
        <f t="shared" ref="AL569" si="911">+AP569-AP568</f>
        <v>86996</v>
      </c>
      <c r="AM569" s="24"/>
      <c r="AN569" s="24"/>
      <c r="AO569" s="24">
        <v>178263</v>
      </c>
      <c r="AP569" s="24">
        <v>33721698</v>
      </c>
      <c r="AQ569" s="24">
        <v>20336656</v>
      </c>
      <c r="AR569" s="461">
        <f t="shared" ref="AR569" si="912">+AL569/AP568</f>
        <v>2.5864953404373852E-3</v>
      </c>
      <c r="AS569" s="25"/>
      <c r="AT569" s="25"/>
      <c r="AU569" s="24"/>
      <c r="AV569" s="298">
        <f t="shared" ref="AV569" si="913">+AP569/H569</f>
        <v>0.80218240671340535</v>
      </c>
      <c r="AW569" s="298"/>
      <c r="AX569" s="24">
        <f t="shared" ref="AX569" si="914">+AP569/BW569</f>
        <v>60217.317857142858</v>
      </c>
      <c r="AY569" s="308"/>
      <c r="AZ569" s="111"/>
      <c r="BA569" s="65">
        <f t="shared" ref="BA569" si="915">+BC569-BC568</f>
        <v>2018518</v>
      </c>
      <c r="BB569" s="66"/>
      <c r="BC569" s="66">
        <v>641851374</v>
      </c>
      <c r="BD569" s="66"/>
      <c r="BE569" s="66">
        <f t="shared" ref="BE569" si="916">+D569</f>
        <v>113922</v>
      </c>
      <c r="BF569" s="66"/>
      <c r="BG569" s="144">
        <f t="shared" ref="BG569" si="917">+BE569/BA569</f>
        <v>5.6438436516295619E-2</v>
      </c>
      <c r="BH569" s="66"/>
      <c r="BI569" s="170"/>
      <c r="BJ569" s="66"/>
      <c r="BK569" s="66">
        <f t="shared" ref="BK569" si="918">SUM(BA563:BA569)</f>
        <v>12833144</v>
      </c>
      <c r="BL569" s="66"/>
      <c r="BM569" s="144">
        <f t="shared" ref="BM569" si="919">+Q569/BK569</f>
        <v>5.4440907076239463E-2</v>
      </c>
      <c r="BN569" s="65">
        <f t="shared" ref="BN569" si="920">+BC569/BW569</f>
        <v>1146163.1678571429</v>
      </c>
      <c r="BO569" s="66"/>
      <c r="BP569" s="66">
        <f t="shared" ref="BP569" si="921">+BP568+BE569</f>
        <v>41130466</v>
      </c>
      <c r="BQ569" s="66"/>
      <c r="BR569" s="435">
        <f t="shared" ref="BR569" si="922">+BP569/BC569</f>
        <v>6.4080981464098255E-2</v>
      </c>
      <c r="BS569" s="66"/>
      <c r="BT569" s="75"/>
      <c r="BU569" s="170"/>
      <c r="BV569" s="1"/>
      <c r="BW569" s="61">
        <f t="shared" si="399"/>
        <v>560</v>
      </c>
    </row>
    <row r="570" spans="2:75" x14ac:dyDescent="0.3">
      <c r="B570" s="158">
        <f t="shared" si="448"/>
        <v>44470</v>
      </c>
      <c r="C570" s="61"/>
      <c r="D570" s="17">
        <v>120876</v>
      </c>
      <c r="E570" s="16"/>
      <c r="F570" s="16"/>
      <c r="G570" s="16"/>
      <c r="H570" s="16">
        <f t="shared" ref="H570" si="923">+H569+D570</f>
        <v>42158320</v>
      </c>
      <c r="I570" s="16"/>
      <c r="J570" s="436">
        <f t="shared" ref="J570" si="924">+D570/H569</f>
        <v>2.8754364799153821E-3</v>
      </c>
      <c r="K570" s="16"/>
      <c r="L570" s="16"/>
      <c r="M570" s="16"/>
      <c r="N570" s="16">
        <f t="shared" ref="N570" si="925">SUM(D564:D570)</f>
        <v>688517</v>
      </c>
      <c r="O570" s="16">
        <f t="shared" ref="O570" si="926">+H570/BW570</f>
        <v>75148.520499108738</v>
      </c>
      <c r="P570" s="41"/>
      <c r="Q570" s="17">
        <f t="shared" ref="Q570" si="927">SUM(D564:D570)</f>
        <v>688517</v>
      </c>
      <c r="R570" s="16"/>
      <c r="S570" s="60">
        <f t="shared" ref="S570" si="928">+(Q570-Q563)/Q563</f>
        <v>-1.6118960212747412E-2</v>
      </c>
      <c r="T570" s="16"/>
      <c r="U570" s="41"/>
      <c r="V570" s="10">
        <f t="shared" si="349"/>
        <v>462</v>
      </c>
      <c r="W570" s="34">
        <v>1821</v>
      </c>
      <c r="X570" s="33">
        <v>4256</v>
      </c>
      <c r="Y570" s="33"/>
      <c r="Z570" s="33">
        <f t="shared" ref="Z570" si="929">SUM(W565:W570)</f>
        <v>8934</v>
      </c>
      <c r="AA570" s="33">
        <f t="shared" ref="AA570" si="930">+AA569+W570</f>
        <v>675378</v>
      </c>
      <c r="AB570" s="33"/>
      <c r="AC570" s="46">
        <f t="shared" ref="AC570" si="931">+AA570/H570</f>
        <v>1.6020040646780993E-2</v>
      </c>
      <c r="AD570" s="33"/>
      <c r="AE570" s="33">
        <f t="shared" ref="AE570" si="932">+AA570/BW570</f>
        <v>1203.8823529411766</v>
      </c>
      <c r="AF570" s="50"/>
      <c r="AG570" s="33">
        <f t="shared" ref="AG570" si="933">SUM(W564:W570)</f>
        <v>10129</v>
      </c>
      <c r="AH570" s="33">
        <f t="shared" ref="AH570" si="934">SUM(D541:D1041)</f>
        <v>1119873726.060914</v>
      </c>
      <c r="AI570" s="213">
        <f t="shared" ref="AI570" si="935">+(AG570-AG563)/AG563</f>
        <v>2.772002772002772E-3</v>
      </c>
      <c r="AJ570" s="50"/>
      <c r="AK570" s="111"/>
      <c r="AL570" s="23">
        <f t="shared" ref="AL570" si="936">+AP570-AP569</f>
        <v>94796</v>
      </c>
      <c r="AM570" s="24"/>
      <c r="AN570" s="24"/>
      <c r="AO570" s="24">
        <v>178263</v>
      </c>
      <c r="AP570" s="24">
        <v>33816494</v>
      </c>
      <c r="AQ570" s="24">
        <v>20336656</v>
      </c>
      <c r="AR570" s="461">
        <f t="shared" ref="AR570" si="937">+AL570/AP569</f>
        <v>2.8111277196065276E-3</v>
      </c>
      <c r="AS570" s="25"/>
      <c r="AT570" s="25"/>
      <c r="AU570" s="24"/>
      <c r="AV570" s="298">
        <f t="shared" ref="AV570" si="938">+AP570/H570</f>
        <v>0.80213096726814537</v>
      </c>
      <c r="AW570" s="298"/>
      <c r="AX570" s="24">
        <f t="shared" ref="AX570" si="939">+AP570/BW570</f>
        <v>60278.955436720142</v>
      </c>
      <c r="AY570" s="308"/>
      <c r="AZ570" s="111"/>
      <c r="BA570" s="65">
        <f t="shared" ref="BA570" si="940">+BC570-BC569</f>
        <v>1915333</v>
      </c>
      <c r="BB570" s="66"/>
      <c r="BC570" s="66">
        <v>643766707</v>
      </c>
      <c r="BD570" s="66"/>
      <c r="BE570" s="66">
        <f t="shared" ref="BE570" si="941">+D570</f>
        <v>120876</v>
      </c>
      <c r="BF570" s="66"/>
      <c r="BG570" s="144">
        <f t="shared" ref="BG570" si="942">+BE570/BA570</f>
        <v>6.3109652472964226E-2</v>
      </c>
      <c r="BH570" s="66"/>
      <c r="BI570" s="170"/>
      <c r="BJ570" s="66"/>
      <c r="BK570" s="66">
        <f t="shared" ref="BK570" si="943">SUM(BA564:BA570)</f>
        <v>12609272</v>
      </c>
      <c r="BL570" s="66"/>
      <c r="BM570" s="144">
        <f t="shared" ref="BM570" si="944">+Q570/BK570</f>
        <v>5.4604024720856209E-2</v>
      </c>
      <c r="BN570" s="65">
        <f t="shared" ref="BN570" si="945">+BC570/BW570</f>
        <v>1147534.2370766487</v>
      </c>
      <c r="BO570" s="66"/>
      <c r="BP570" s="66">
        <f t="shared" ref="BP570" si="946">+BP569+BE570</f>
        <v>41251342</v>
      </c>
      <c r="BQ570" s="66"/>
      <c r="BR570" s="435">
        <f t="shared" ref="BR570" si="947">+BP570/BC570</f>
        <v>6.4078091568658888E-2</v>
      </c>
      <c r="BS570" s="66"/>
      <c r="BT570" s="75"/>
      <c r="BU570" s="170"/>
      <c r="BV570" s="1"/>
      <c r="BW570" s="61">
        <f t="shared" si="399"/>
        <v>561</v>
      </c>
    </row>
    <row r="571" spans="2:75" x14ac:dyDescent="0.3">
      <c r="B571" s="158">
        <f t="shared" si="448"/>
        <v>44471</v>
      </c>
      <c r="C571" s="61"/>
      <c r="D571" s="17">
        <v>46482</v>
      </c>
      <c r="E571" s="16"/>
      <c r="F571" s="16"/>
      <c r="G571" s="16"/>
      <c r="H571" s="16">
        <f t="shared" ref="H571" si="948">+H570+D571</f>
        <v>42204802</v>
      </c>
      <c r="I571" s="16"/>
      <c r="J571" s="436">
        <f t="shared" ref="J571" si="949">+D571/H570</f>
        <v>1.1025581664544507E-3</v>
      </c>
      <c r="K571" s="16"/>
      <c r="L571" s="16"/>
      <c r="M571" s="16"/>
      <c r="N571" s="16">
        <f t="shared" ref="N571" si="950">SUM(D565:D571)</f>
        <v>650220</v>
      </c>
      <c r="O571" s="16">
        <f t="shared" ref="O571" si="951">+H571/BW571</f>
        <v>75097.512455516015</v>
      </c>
      <c r="P571" s="41"/>
      <c r="Q571" s="17">
        <f t="shared" ref="Q571" si="952">SUM(D565:D571)</f>
        <v>650220</v>
      </c>
      <c r="R571" s="16"/>
      <c r="S571" s="60">
        <f t="shared" ref="S571" si="953">+(Q571-Q564)/Q564</f>
        <v>-9.6937988964149457E-2</v>
      </c>
      <c r="T571" s="16"/>
      <c r="U571" s="41"/>
      <c r="V571" s="10">
        <f t="shared" si="349"/>
        <v>463</v>
      </c>
      <c r="W571" s="34">
        <v>690</v>
      </c>
      <c r="X571" s="33">
        <v>4256</v>
      </c>
      <c r="Y571" s="33"/>
      <c r="Z571" s="33">
        <f t="shared" ref="Z571" si="954">SUM(W566:W571)</f>
        <v>9038</v>
      </c>
      <c r="AA571" s="33">
        <f t="shared" ref="AA571" si="955">+AA570+W571</f>
        <v>676068</v>
      </c>
      <c r="AB571" s="33"/>
      <c r="AC571" s="46">
        <f t="shared" ref="AC571" si="956">+AA571/H571</f>
        <v>1.6018745923745834E-2</v>
      </c>
      <c r="AD571" s="33"/>
      <c r="AE571" s="33">
        <f t="shared" ref="AE571" si="957">+AA571/BW571</f>
        <v>1202.9679715302491</v>
      </c>
      <c r="AF571" s="50"/>
      <c r="AG571" s="33">
        <f t="shared" ref="AG571" si="958">SUM(W565:W571)</f>
        <v>9624</v>
      </c>
      <c r="AH571" s="33">
        <f t="shared" ref="AH571" si="959">SUM(D542:D1042)</f>
        <v>1119696158.060914</v>
      </c>
      <c r="AI571" s="213">
        <f t="shared" ref="AI571" si="960">+(AG571-AG564)/AG564</f>
        <v>-7.8778596726332917E-2</v>
      </c>
      <c r="AJ571" s="50"/>
      <c r="AK571" s="111"/>
      <c r="AL571" s="23">
        <f t="shared" ref="AL571" si="961">+AP571-AP570</f>
        <v>101465</v>
      </c>
      <c r="AM571" s="24"/>
      <c r="AN571" s="24"/>
      <c r="AO571" s="24">
        <v>178263</v>
      </c>
      <c r="AP571" s="24">
        <v>33917959</v>
      </c>
      <c r="AQ571" s="24">
        <v>20336656</v>
      </c>
      <c r="AR571" s="461">
        <f t="shared" ref="AR571" si="962">+AL571/AP570</f>
        <v>3.000458888493881E-3</v>
      </c>
      <c r="AS571" s="25"/>
      <c r="AT571" s="25"/>
      <c r="AU571" s="24"/>
      <c r="AV571" s="298">
        <f t="shared" ref="AV571" si="963">+AP571/H571</f>
        <v>0.80365165556279594</v>
      </c>
      <c r="AW571" s="298"/>
      <c r="AX571" s="24">
        <f t="shared" ref="AX571" si="964">+AP571/BW571</f>
        <v>60352.240213523131</v>
      </c>
      <c r="AY571" s="308"/>
      <c r="AZ571" s="111"/>
      <c r="BA571" s="65">
        <f t="shared" ref="BA571" si="965">+BC571-BC570</f>
        <v>573593</v>
      </c>
      <c r="BB571" s="66"/>
      <c r="BC571" s="66">
        <v>644340300</v>
      </c>
      <c r="BD571" s="66"/>
      <c r="BE571" s="66">
        <f t="shared" ref="BE571" si="966">+D571</f>
        <v>46482</v>
      </c>
      <c r="BF571" s="66"/>
      <c r="BG571" s="144">
        <f t="shared" ref="BG571" si="967">+BE571/BA571</f>
        <v>8.1036553793369159E-2</v>
      </c>
      <c r="BH571" s="66"/>
      <c r="BI571" s="170"/>
      <c r="BJ571" s="66"/>
      <c r="BK571" s="66">
        <f t="shared" ref="BK571" si="968">SUM(BA565:BA571)</f>
        <v>11670234</v>
      </c>
      <c r="BL571" s="66"/>
      <c r="BM571" s="144">
        <f t="shared" ref="BM571" si="969">+Q571/BK571</f>
        <v>5.5716106463675023E-2</v>
      </c>
      <c r="BN571" s="65">
        <f t="shared" ref="BN571" si="970">+BC571/BW571</f>
        <v>1146512.9893238435</v>
      </c>
      <c r="BO571" s="66"/>
      <c r="BP571" s="66">
        <f t="shared" ref="BP571" si="971">+BP570+BE571</f>
        <v>41297824</v>
      </c>
      <c r="BQ571" s="66"/>
      <c r="BR571" s="435">
        <f t="shared" ref="BR571" si="972">+BP571/BC571</f>
        <v>6.4093188025023423E-2</v>
      </c>
      <c r="BS571" s="66"/>
      <c r="BT571" s="75"/>
      <c r="BU571" s="170"/>
      <c r="BV571" s="1"/>
      <c r="BW571" s="61">
        <f t="shared" si="399"/>
        <v>562</v>
      </c>
    </row>
    <row r="572" spans="2:75" x14ac:dyDescent="0.3">
      <c r="B572" s="347">
        <f t="shared" si="448"/>
        <v>44472</v>
      </c>
      <c r="C572" s="61"/>
      <c r="D572" s="17">
        <v>26933</v>
      </c>
      <c r="E572" s="16"/>
      <c r="F572" s="16"/>
      <c r="G572" s="16"/>
      <c r="H572" s="16">
        <f t="shared" ref="H572" si="973">+H571+D572</f>
        <v>42231735</v>
      </c>
      <c r="I572" s="16"/>
      <c r="J572" s="436">
        <f t="shared" ref="J572" si="974">+D572/H571</f>
        <v>6.38150132773991E-4</v>
      </c>
      <c r="K572" s="16"/>
      <c r="L572" s="16"/>
      <c r="M572" s="16"/>
      <c r="N572" s="16">
        <f t="shared" ref="N572" si="975">SUM(D566:D572)</f>
        <v>618531</v>
      </c>
      <c r="O572" s="16">
        <f t="shared" ref="O572" si="976">+H572/BW572</f>
        <v>75011.962699822383</v>
      </c>
      <c r="P572" s="41"/>
      <c r="Q572" s="17">
        <f t="shared" ref="Q572" si="977">SUM(D566:D572)</f>
        <v>618531</v>
      </c>
      <c r="R572" s="16"/>
      <c r="S572" s="60">
        <f t="shared" ref="S572" si="978">+(Q572-Q565)/Q565</f>
        <v>-0.16655976888519985</v>
      </c>
      <c r="T572" s="16"/>
      <c r="U572" s="41"/>
      <c r="V572" s="10">
        <f t="shared" si="349"/>
        <v>464</v>
      </c>
      <c r="W572" s="34">
        <v>259</v>
      </c>
      <c r="X572" s="33">
        <v>4256</v>
      </c>
      <c r="Y572" s="33"/>
      <c r="Z572" s="33">
        <f t="shared" ref="Z572" si="979">SUM(W567:W572)</f>
        <v>8608</v>
      </c>
      <c r="AA572" s="33">
        <f t="shared" ref="AA572" si="980">+AA571+W572</f>
        <v>676327</v>
      </c>
      <c r="AB572" s="33"/>
      <c r="AC572" s="46">
        <f t="shared" ref="AC572" si="981">+AA572/H572</f>
        <v>1.6014662906934797E-2</v>
      </c>
      <c r="AD572" s="33"/>
      <c r="AE572" s="33">
        <f t="shared" ref="AE572" si="982">+AA572/BW572</f>
        <v>1201.291296625222</v>
      </c>
      <c r="AF572" s="50"/>
      <c r="AG572" s="33">
        <f t="shared" ref="AG572" si="983">SUM(W566:W572)</f>
        <v>9297</v>
      </c>
      <c r="AH572" s="33">
        <f t="shared" ref="AH572" si="984">SUM(D543:D1043)</f>
        <v>1119513565.060914</v>
      </c>
      <c r="AI572" s="213">
        <f t="shared" ref="AI572" si="985">+(AG572-AG565)/AG565</f>
        <v>-0.12786116322701688</v>
      </c>
      <c r="AJ572" s="50"/>
      <c r="AK572" s="111"/>
      <c r="AL572" s="23">
        <f t="shared" ref="AL572" si="986">+AP572-AP571</f>
        <v>20188</v>
      </c>
      <c r="AM572" s="24"/>
      <c r="AN572" s="24"/>
      <c r="AO572" s="24">
        <v>178263</v>
      </c>
      <c r="AP572" s="24">
        <v>33938147</v>
      </c>
      <c r="AQ572" s="24">
        <v>20336656</v>
      </c>
      <c r="AR572" s="461">
        <f t="shared" ref="AR572" si="987">+AL572/AP571</f>
        <v>5.9520090816785293E-4</v>
      </c>
      <c r="AS572" s="25"/>
      <c r="AT572" s="25"/>
      <c r="AU572" s="24"/>
      <c r="AV572" s="298">
        <f t="shared" ref="AV572" si="988">+AP572/H572</f>
        <v>0.80361716135981631</v>
      </c>
      <c r="AW572" s="298"/>
      <c r="AX572" s="24">
        <f t="shared" ref="AX572" si="989">+AP572/BW572</f>
        <v>60280.900532859683</v>
      </c>
      <c r="AY572" s="308"/>
      <c r="AZ572" s="111"/>
      <c r="BA572" s="65">
        <f t="shared" ref="BA572" si="990">+BC572-BC571</f>
        <v>408356</v>
      </c>
      <c r="BB572" s="66"/>
      <c r="BC572" s="66">
        <v>644748656</v>
      </c>
      <c r="BD572" s="66"/>
      <c r="BE572" s="66">
        <f t="shared" ref="BE572" si="991">+D572</f>
        <v>26933</v>
      </c>
      <c r="BF572" s="66"/>
      <c r="BG572" s="144">
        <f t="shared" ref="BG572" si="992">+BE572/BA572</f>
        <v>6.5954706187738146E-2</v>
      </c>
      <c r="BH572" s="66"/>
      <c r="BI572" s="170"/>
      <c r="BJ572" s="66"/>
      <c r="BK572" s="66">
        <f t="shared" ref="BK572" si="993">SUM(BA566:BA572)</f>
        <v>10934841</v>
      </c>
      <c r="BL572" s="66"/>
      <c r="BM572" s="144">
        <f t="shared" ref="BM572" si="994">+Q572/BK572</f>
        <v>5.656515718884253E-2</v>
      </c>
      <c r="BN572" s="65">
        <f t="shared" ref="BN572" si="995">+BC572/BW572</f>
        <v>1145201.8756660747</v>
      </c>
      <c r="BO572" s="66"/>
      <c r="BP572" s="66">
        <f t="shared" ref="BP572" si="996">+BP571+BE572</f>
        <v>41324757</v>
      </c>
      <c r="BQ572" s="66"/>
      <c r="BR572" s="435">
        <f t="shared" ref="BR572" si="997">+BP572/BC572</f>
        <v>6.4094367030367264E-2</v>
      </c>
      <c r="BS572" s="66"/>
      <c r="BT572" s="75"/>
      <c r="BU572" s="170"/>
      <c r="BV572" s="1"/>
      <c r="BW572" s="61">
        <f t="shared" si="399"/>
        <v>563</v>
      </c>
    </row>
    <row r="573" spans="2:75" x14ac:dyDescent="0.3">
      <c r="B573" s="158">
        <f t="shared" si="448"/>
        <v>44473</v>
      </c>
      <c r="C573" s="61"/>
      <c r="D573" s="17">
        <v>73729</v>
      </c>
      <c r="E573" s="16"/>
      <c r="F573" s="16"/>
      <c r="G573" s="16"/>
      <c r="H573" s="16">
        <f t="shared" ref="H573" si="998">+H572+D573</f>
        <v>42305464</v>
      </c>
      <c r="I573" s="16"/>
      <c r="J573" s="436">
        <f t="shared" ref="J573" si="999">+D573/H572</f>
        <v>1.7458198200950067E-3</v>
      </c>
      <c r="K573" s="16"/>
      <c r="L573" s="16"/>
      <c r="M573" s="16"/>
      <c r="N573" s="16">
        <f t="shared" ref="N573" si="1000">SUM(D567:D573)</f>
        <v>610851</v>
      </c>
      <c r="O573" s="16">
        <f t="shared" ref="O573" si="1001">+H573/BW573</f>
        <v>75009.687943262412</v>
      </c>
      <c r="P573" s="41"/>
      <c r="Q573" s="17">
        <f t="shared" ref="Q573" si="1002">SUM(D567:D573)</f>
        <v>610851</v>
      </c>
      <c r="R573" s="16"/>
      <c r="S573" s="60">
        <f t="shared" ref="S573" si="1003">+(Q573-Q566)/Q566</f>
        <v>-0.17170387224585379</v>
      </c>
      <c r="T573" s="16"/>
      <c r="U573" s="41"/>
      <c r="V573" s="10">
        <f t="shared" si="349"/>
        <v>465</v>
      </c>
      <c r="W573" s="34">
        <v>733</v>
      </c>
      <c r="X573" s="33">
        <v>4256</v>
      </c>
      <c r="Y573" s="33"/>
      <c r="Z573" s="33">
        <f t="shared" ref="Z573" si="1004">SUM(W568:W573)</f>
        <v>7505</v>
      </c>
      <c r="AA573" s="33">
        <f t="shared" ref="AA573" si="1005">+AA572+W573</f>
        <v>677060</v>
      </c>
      <c r="AB573" s="33"/>
      <c r="AC573" s="46">
        <f t="shared" ref="AC573" si="1006">+AA573/H573</f>
        <v>1.6004079283943085E-2</v>
      </c>
      <c r="AD573" s="33"/>
      <c r="AE573" s="33">
        <f t="shared" ref="AE573" si="1007">+AA573/BW573</f>
        <v>1200.4609929078015</v>
      </c>
      <c r="AF573" s="50"/>
      <c r="AG573" s="33">
        <f t="shared" ref="AG573" si="1008">SUM(W567:W573)</f>
        <v>9341</v>
      </c>
      <c r="AH573" s="33">
        <f t="shared" ref="AH573" si="1009">SUM(D544:D1044)</f>
        <v>1119454883.060914</v>
      </c>
      <c r="AI573" s="213">
        <f t="shared" ref="AI573" si="1010">+(AG573-AG566)/AG566</f>
        <v>-0.11902291804206357</v>
      </c>
      <c r="AJ573" s="50"/>
      <c r="AK573" s="111"/>
      <c r="AL573" s="23">
        <f t="shared" ref="AL573" si="1011">+AP573-AP572</f>
        <v>216630</v>
      </c>
      <c r="AM573" s="24"/>
      <c r="AN573" s="24"/>
      <c r="AO573" s="24">
        <v>178263</v>
      </c>
      <c r="AP573" s="24">
        <v>34154777</v>
      </c>
      <c r="AQ573" s="24">
        <v>20336656</v>
      </c>
      <c r="AR573" s="461">
        <f t="shared" ref="AR573" si="1012">+AL573/AP572</f>
        <v>6.3830827298850465E-3</v>
      </c>
      <c r="AS573" s="25"/>
      <c r="AT573" s="25"/>
      <c r="AU573" s="24"/>
      <c r="AV573" s="298">
        <f t="shared" ref="AV573" si="1013">+AP573/H573</f>
        <v>0.80733725080996632</v>
      </c>
      <c r="AW573" s="298"/>
      <c r="AX573" s="24">
        <f t="shared" ref="AX573" si="1014">+AP573/BW573</f>
        <v>60558.115248226954</v>
      </c>
      <c r="AY573" s="308"/>
      <c r="AZ573" s="111"/>
      <c r="BA573" s="65">
        <f t="shared" ref="BA573" si="1015">+BC573-BC572</f>
        <v>4512688</v>
      </c>
      <c r="BB573" s="66"/>
      <c r="BC573" s="66">
        <v>649261344</v>
      </c>
      <c r="BD573" s="66"/>
      <c r="BE573" s="66">
        <f t="shared" ref="BE573" si="1016">+D573</f>
        <v>73729</v>
      </c>
      <c r="BF573" s="66"/>
      <c r="BG573" s="144">
        <f t="shared" ref="BG573" si="1017">+BE573/BA573</f>
        <v>1.6338155884031869E-2</v>
      </c>
      <c r="BH573" s="66"/>
      <c r="BI573" s="170"/>
      <c r="BJ573" s="66"/>
      <c r="BK573" s="66">
        <f t="shared" ref="BK573" si="1018">SUM(BA567:BA573)</f>
        <v>12737407</v>
      </c>
      <c r="BL573" s="66"/>
      <c r="BM573" s="144">
        <f t="shared" ref="BM573" si="1019">+Q573/BK573</f>
        <v>4.7957249069610478E-2</v>
      </c>
      <c r="BN573" s="65">
        <f t="shared" ref="BN573" si="1020">+BC573/BW573</f>
        <v>1151172.5957446808</v>
      </c>
      <c r="BO573" s="66"/>
      <c r="BP573" s="66">
        <f t="shared" ref="BP573" si="1021">+BP572+BE573</f>
        <v>41398486</v>
      </c>
      <c r="BQ573" s="66"/>
      <c r="BR573" s="435">
        <f t="shared" ref="BR573" si="1022">+BP573/BC573</f>
        <v>6.3762437703360333E-2</v>
      </c>
      <c r="BS573" s="66"/>
      <c r="BT573" s="75"/>
      <c r="BU573" s="170"/>
      <c r="BV573" s="1"/>
      <c r="BW573" s="61">
        <f t="shared" si="399"/>
        <v>564</v>
      </c>
    </row>
    <row r="574" spans="2:75" x14ac:dyDescent="0.3">
      <c r="B574" s="158">
        <f t="shared" si="448"/>
        <v>44474</v>
      </c>
      <c r="C574" s="61"/>
      <c r="D574" s="17">
        <v>94811</v>
      </c>
      <c r="E574" s="16"/>
      <c r="F574" s="16"/>
      <c r="G574" s="16"/>
      <c r="H574" s="16">
        <f t="shared" ref="H574" si="1023">+H573+D574</f>
        <v>42400275</v>
      </c>
      <c r="I574" s="16"/>
      <c r="J574" s="436">
        <f t="shared" ref="J574" si="1024">+D574/H573</f>
        <v>2.2411053097065666E-3</v>
      </c>
      <c r="K574" s="16"/>
      <c r="L574" s="16"/>
      <c r="M574" s="16"/>
      <c r="N574" s="16">
        <f t="shared" ref="N574" si="1025">SUM(D568:D574)</f>
        <v>600029</v>
      </c>
      <c r="O574" s="16">
        <f t="shared" ref="O574" si="1026">+H574/BW574</f>
        <v>75044.734513274336</v>
      </c>
      <c r="P574" s="41"/>
      <c r="Q574" s="17">
        <f t="shared" ref="Q574" si="1027">SUM(D568:D574)</f>
        <v>600029</v>
      </c>
      <c r="R574" s="16"/>
      <c r="S574" s="60">
        <f t="shared" ref="S574" si="1028">+(Q574-Q567)/Q567</f>
        <v>-0.16954796528324659</v>
      </c>
      <c r="T574" s="16"/>
      <c r="U574" s="41"/>
      <c r="V574" s="10">
        <f t="shared" si="349"/>
        <v>466</v>
      </c>
      <c r="W574" s="34">
        <v>1811</v>
      </c>
      <c r="X574" s="33">
        <v>4256</v>
      </c>
      <c r="Y574" s="33"/>
      <c r="Z574" s="33">
        <f t="shared" ref="Z574" si="1029">SUM(W569:W574)</f>
        <v>7126</v>
      </c>
      <c r="AA574" s="33">
        <f t="shared" ref="AA574" si="1030">+AA573+W574</f>
        <v>678871</v>
      </c>
      <c r="AB574" s="33"/>
      <c r="AC574" s="46">
        <f t="shared" ref="AC574" si="1031">+AA574/H574</f>
        <v>1.6011004645606661E-2</v>
      </c>
      <c r="AD574" s="33"/>
      <c r="AE574" s="33">
        <f t="shared" ref="AE574" si="1032">+AA574/BW574</f>
        <v>1201.5415929203539</v>
      </c>
      <c r="AF574" s="50"/>
      <c r="AG574" s="33">
        <f t="shared" ref="AG574" si="1033">SUM(W568:W574)</f>
        <v>9316</v>
      </c>
      <c r="AH574" s="33">
        <f t="shared" ref="AH574" si="1034">SUM(D545:D1045)</f>
        <v>1119419297.060914</v>
      </c>
      <c r="AI574" s="213">
        <f t="shared" ref="AI574" si="1035">+(AG574-AG567)/AG567</f>
        <v>-0.11377473363774733</v>
      </c>
      <c r="AJ574" s="50"/>
      <c r="AK574" s="111"/>
      <c r="AL574" s="23">
        <f t="shared" ref="AL574" si="1036">+AP574-AP573</f>
        <v>127344</v>
      </c>
      <c r="AM574" s="24"/>
      <c r="AN574" s="24"/>
      <c r="AO574" s="24">
        <v>178263</v>
      </c>
      <c r="AP574" s="24">
        <v>34282121</v>
      </c>
      <c r="AQ574" s="24">
        <v>20336656</v>
      </c>
      <c r="AR574" s="461">
        <f t="shared" ref="AR574" si="1037">+AL574/AP573</f>
        <v>3.7284389237850976E-3</v>
      </c>
      <c r="AS574" s="25"/>
      <c r="AT574" s="25"/>
      <c r="AU574" s="24"/>
      <c r="AV574" s="298">
        <f t="shared" ref="AV574" si="1038">+AP574/H574</f>
        <v>0.80853534558443307</v>
      </c>
      <c r="AW574" s="298"/>
      <c r="AX574" s="24">
        <f t="shared" ref="AX574" si="1039">+AP574/BW574</f>
        <v>60676.320353982301</v>
      </c>
      <c r="AY574" s="308"/>
      <c r="AZ574" s="111"/>
      <c r="BA574" s="65">
        <f t="shared" ref="BA574" si="1040">+BC574-BC573</f>
        <v>1427929</v>
      </c>
      <c r="BB574" s="66"/>
      <c r="BC574" s="66">
        <v>650689273</v>
      </c>
      <c r="BD574" s="66"/>
      <c r="BE574" s="66">
        <f t="shared" ref="BE574" si="1041">+D574</f>
        <v>94811</v>
      </c>
      <c r="BF574" s="66"/>
      <c r="BG574" s="144">
        <f t="shared" ref="BG574" si="1042">+BE574/BA574</f>
        <v>6.6397558982274327E-2</v>
      </c>
      <c r="BH574" s="66"/>
      <c r="BI574" s="170"/>
      <c r="BJ574" s="66"/>
      <c r="BK574" s="66">
        <f t="shared" ref="BK574" si="1043">SUM(BA568:BA574)</f>
        <v>12639534</v>
      </c>
      <c r="BL574" s="66"/>
      <c r="BM574" s="144">
        <f t="shared" ref="BM574" si="1044">+Q574/BK574</f>
        <v>4.7472398903313999E-2</v>
      </c>
      <c r="BN574" s="65">
        <f t="shared" ref="BN574" si="1045">+BC574/BW574</f>
        <v>1151662.4300884956</v>
      </c>
      <c r="BO574" s="66"/>
      <c r="BP574" s="66">
        <f t="shared" ref="BP574" si="1046">+BP573+BE574</f>
        <v>41493297</v>
      </c>
      <c r="BQ574" s="66"/>
      <c r="BR574" s="435">
        <f t="shared" ref="BR574" si="1047">+BP574/BC574</f>
        <v>6.3768220442140283E-2</v>
      </c>
      <c r="BS574" s="66"/>
      <c r="BT574" s="75"/>
      <c r="BU574" s="170"/>
      <c r="BV574" s="1"/>
      <c r="BW574" s="61">
        <f t="shared" si="399"/>
        <v>565</v>
      </c>
    </row>
    <row r="575" spans="2:75" x14ac:dyDescent="0.3">
      <c r="B575" s="158">
        <f t="shared" si="448"/>
        <v>44475</v>
      </c>
      <c r="C575" s="61"/>
      <c r="D575" s="17">
        <v>107987</v>
      </c>
      <c r="E575" s="16"/>
      <c r="F575" s="16"/>
      <c r="G575" s="16"/>
      <c r="H575" s="16">
        <f t="shared" ref="H575" si="1048">+H574+D575</f>
        <v>42508262</v>
      </c>
      <c r="I575" s="16"/>
      <c r="J575" s="436">
        <f t="shared" ref="J575" si="1049">+D575/H574</f>
        <v>2.5468466890839741E-3</v>
      </c>
      <c r="K575" s="16"/>
      <c r="L575" s="16"/>
      <c r="M575" s="16"/>
      <c r="N575" s="16">
        <f t="shared" ref="N575" si="1050">SUM(D569:D575)</f>
        <v>584740</v>
      </c>
      <c r="O575" s="16">
        <f t="shared" ref="O575" si="1051">+H575/BW575</f>
        <v>75102.936395759723</v>
      </c>
      <c r="P575" s="41"/>
      <c r="Q575" s="17">
        <f t="shared" ref="Q575" si="1052">SUM(D569:D575)</f>
        <v>584740</v>
      </c>
      <c r="R575" s="16"/>
      <c r="S575" s="60">
        <f t="shared" ref="S575" si="1053">+(Q575-Q568)/Q568</f>
        <v>-0.17895390128182267</v>
      </c>
      <c r="T575" s="16"/>
      <c r="U575" s="41"/>
      <c r="V575" s="10">
        <f t="shared" si="349"/>
        <v>467</v>
      </c>
      <c r="W575" s="34">
        <v>2102</v>
      </c>
      <c r="X575" s="33">
        <v>4256</v>
      </c>
      <c r="Y575" s="33"/>
      <c r="Z575" s="33">
        <f t="shared" ref="Z575" si="1054">SUM(W570:W575)</f>
        <v>7416</v>
      </c>
      <c r="AA575" s="33">
        <f t="shared" ref="AA575" si="1055">+AA574+W575</f>
        <v>680973</v>
      </c>
      <c r="AB575" s="33"/>
      <c r="AC575" s="46">
        <f t="shared" ref="AC575" si="1056">+AA575/H575</f>
        <v>1.6019779872439858E-2</v>
      </c>
      <c r="AD575" s="33"/>
      <c r="AE575" s="33">
        <f t="shared" ref="AE575" si="1057">+AA575/BW575</f>
        <v>1203.1325088339222</v>
      </c>
      <c r="AF575" s="50"/>
      <c r="AG575" s="33">
        <f t="shared" ref="AG575" si="1058">SUM(W569:W575)</f>
        <v>9228</v>
      </c>
      <c r="AH575" s="33">
        <f t="shared" ref="AH575" si="1059">SUM(D546:D1046)</f>
        <v>1119379653.060914</v>
      </c>
      <c r="AI575" s="213">
        <f t="shared" ref="AI575" si="1060">+(AG575-AG568)/AG568</f>
        <v>-0.11896123734962764</v>
      </c>
      <c r="AJ575" s="50"/>
      <c r="AK575" s="111"/>
      <c r="AL575" s="23">
        <f t="shared" ref="AL575" si="1061">+AP575-AP574</f>
        <v>110205</v>
      </c>
      <c r="AM575" s="24"/>
      <c r="AN575" s="24"/>
      <c r="AO575" s="24">
        <v>178263</v>
      </c>
      <c r="AP575" s="24">
        <v>34392326</v>
      </c>
      <c r="AQ575" s="24">
        <v>20336656</v>
      </c>
      <c r="AR575" s="461">
        <f t="shared" ref="AR575" si="1062">+AL575/AP574</f>
        <v>3.2146494086523992E-3</v>
      </c>
      <c r="AS575" s="25"/>
      <c r="AT575" s="25"/>
      <c r="AU575" s="24"/>
      <c r="AV575" s="298">
        <f t="shared" ref="AV575" si="1063">+AP575/H575</f>
        <v>0.80907391603072365</v>
      </c>
      <c r="AW575" s="298"/>
      <c r="AX575" s="24">
        <f t="shared" ref="AX575" si="1064">+AP575/BW575</f>
        <v>60763.826855123676</v>
      </c>
      <c r="AY575" s="308"/>
      <c r="AZ575" s="111"/>
      <c r="BA575" s="65">
        <f t="shared" ref="BA575" si="1065">+BC575-BC574</f>
        <v>1700356</v>
      </c>
      <c r="BB575" s="66"/>
      <c r="BC575" s="66">
        <v>652389629</v>
      </c>
      <c r="BD575" s="66"/>
      <c r="BE575" s="66">
        <f t="shared" ref="BE575" si="1066">+D575</f>
        <v>107987</v>
      </c>
      <c r="BF575" s="66"/>
      <c r="BG575" s="144">
        <f t="shared" ref="BG575" si="1067">+BE575/BA575</f>
        <v>6.3508465286093024E-2</v>
      </c>
      <c r="BH575" s="66"/>
      <c r="BI575" s="170"/>
      <c r="BJ575" s="66"/>
      <c r="BK575" s="66">
        <f t="shared" ref="BK575" si="1068">SUM(BA569:BA575)</f>
        <v>12556773</v>
      </c>
      <c r="BL575" s="66"/>
      <c r="BM575" s="144">
        <f t="shared" ref="BM575" si="1069">+Q575/BK575</f>
        <v>4.6567696971188378E-2</v>
      </c>
      <c r="BN575" s="65">
        <f t="shared" ref="BN575" si="1070">+BC575/BW575</f>
        <v>1152631.8533568904</v>
      </c>
      <c r="BO575" s="66"/>
      <c r="BP575" s="66">
        <f t="shared" ref="BP575" si="1071">+BP574+BE575</f>
        <v>41601284</v>
      </c>
      <c r="BQ575" s="66"/>
      <c r="BR575" s="435">
        <f t="shared" ref="BR575" si="1072">+BP575/BC575</f>
        <v>6.3767543429173679E-2</v>
      </c>
      <c r="BS575" s="66"/>
      <c r="BT575" s="75"/>
      <c r="BU575" s="170"/>
      <c r="BV575" s="1"/>
      <c r="BW575" s="61">
        <f t="shared" si="399"/>
        <v>566</v>
      </c>
    </row>
    <row r="576" spans="2:75" x14ac:dyDescent="0.3">
      <c r="B576" s="158">
        <f t="shared" si="448"/>
        <v>44476</v>
      </c>
      <c r="C576" s="61"/>
      <c r="D576" s="17">
        <v>108725</v>
      </c>
      <c r="E576" s="16"/>
      <c r="F576" s="16"/>
      <c r="G576" s="16"/>
      <c r="H576" s="16">
        <f t="shared" ref="H576" si="1073">+H575+D576</f>
        <v>42616987</v>
      </c>
      <c r="I576" s="16"/>
      <c r="J576" s="436">
        <f t="shared" ref="J576" si="1074">+D576/H575</f>
        <v>2.5577380698368706E-3</v>
      </c>
      <c r="K576" s="16"/>
      <c r="L576" s="16"/>
      <c r="M576" s="16"/>
      <c r="N576" s="16">
        <f t="shared" ref="N576" si="1075">SUM(D570:D576)</f>
        <v>579543</v>
      </c>
      <c r="O576" s="16">
        <f t="shared" ref="O576" si="1076">+H576/BW576</f>
        <v>75162.234567901236</v>
      </c>
      <c r="P576" s="41"/>
      <c r="Q576" s="17">
        <f t="shared" ref="Q576" si="1077">SUM(D570:D576)</f>
        <v>579543</v>
      </c>
      <c r="R576" s="16"/>
      <c r="S576" s="60">
        <f t="shared" ref="S576" si="1078">+(Q576-Q569)/Q569</f>
        <v>-0.17047926853007522</v>
      </c>
      <c r="T576" s="16"/>
      <c r="U576" s="41"/>
      <c r="V576" s="10">
        <f t="shared" si="349"/>
        <v>468</v>
      </c>
      <c r="W576" s="34">
        <v>1876</v>
      </c>
      <c r="X576" s="33">
        <v>4256</v>
      </c>
      <c r="Y576" s="33"/>
      <c r="Z576" s="33">
        <f t="shared" ref="Z576" si="1079">SUM(W571:W576)</f>
        <v>7471</v>
      </c>
      <c r="AA576" s="33">
        <f t="shared" ref="AA576" si="1080">+AA575+W576</f>
        <v>682849</v>
      </c>
      <c r="AB576" s="33"/>
      <c r="AC576" s="46">
        <f t="shared" ref="AC576" si="1081">+AA576/H576</f>
        <v>1.6022930011452944E-2</v>
      </c>
      <c r="AD576" s="33"/>
      <c r="AE576" s="33">
        <f t="shared" ref="AE576" si="1082">+AA576/BW576</f>
        <v>1204.3192239858906</v>
      </c>
      <c r="AF576" s="50"/>
      <c r="AG576" s="33">
        <f t="shared" ref="AG576" si="1083">SUM(W570:W576)</f>
        <v>9292</v>
      </c>
      <c r="AH576" s="33">
        <f t="shared" ref="AH576" si="1084">SUM(D547:D1047)</f>
        <v>1119263877.060914</v>
      </c>
      <c r="AI576" s="213">
        <f t="shared" ref="AI576" si="1085">+(AG576-AG569)/AG569</f>
        <v>-9.8913886733902251E-2</v>
      </c>
      <c r="AJ576" s="50"/>
      <c r="AK576" s="111"/>
      <c r="AL576" s="23">
        <f t="shared" ref="AL576" si="1086">+AP576-AP575</f>
        <v>86805</v>
      </c>
      <c r="AM576" s="24"/>
      <c r="AN576" s="24"/>
      <c r="AO576" s="24">
        <v>178263</v>
      </c>
      <c r="AP576" s="24">
        <v>34479131</v>
      </c>
      <c r="AQ576" s="24">
        <v>20336656</v>
      </c>
      <c r="AR576" s="461">
        <f t="shared" ref="AR576" si="1087">+AL576/AP575</f>
        <v>2.5239642122489767E-3</v>
      </c>
      <c r="AS576" s="25"/>
      <c r="AT576" s="25"/>
      <c r="AU576" s="24"/>
      <c r="AV576" s="298">
        <f t="shared" ref="AV576" si="1088">+AP576/H576</f>
        <v>0.80904666019678961</v>
      </c>
      <c r="AW576" s="298"/>
      <c r="AX576" s="24">
        <f t="shared" ref="AX576" si="1089">+AP576/BW576</f>
        <v>60809.754850088182</v>
      </c>
      <c r="AY576" s="308"/>
      <c r="AZ576" s="111"/>
      <c r="BA576" s="65">
        <f t="shared" ref="BA576" si="1090">+BC576-BC575</f>
        <v>1776421</v>
      </c>
      <c r="BB576" s="66"/>
      <c r="BC576" s="66">
        <v>654166050</v>
      </c>
      <c r="BD576" s="66"/>
      <c r="BE576" s="66">
        <f t="shared" ref="BE576" si="1091">+D576</f>
        <v>108725</v>
      </c>
      <c r="BF576" s="66"/>
      <c r="BG576" s="144">
        <f t="shared" ref="BG576" si="1092">+BE576/BA576</f>
        <v>6.1204523026917604E-2</v>
      </c>
      <c r="BH576" s="66"/>
      <c r="BI576" s="170"/>
      <c r="BJ576" s="66"/>
      <c r="BK576" s="66">
        <f t="shared" ref="BK576" si="1093">SUM(BA570:BA576)</f>
        <v>12314676</v>
      </c>
      <c r="BL576" s="66"/>
      <c r="BM576" s="144">
        <f t="shared" ref="BM576" si="1094">+Q576/BK576</f>
        <v>4.7061165068411057E-2</v>
      </c>
      <c r="BN576" s="65">
        <f t="shared" ref="BN576" si="1095">+BC576/BW576</f>
        <v>1153732.0105820105</v>
      </c>
      <c r="BO576" s="66"/>
      <c r="BP576" s="66">
        <f t="shared" ref="BP576" si="1096">+BP575+BE576</f>
        <v>41710009</v>
      </c>
      <c r="BQ576" s="66"/>
      <c r="BR576" s="435">
        <f t="shared" ref="BR576" si="1097">+BP576/BC576</f>
        <v>6.3760583417620031E-2</v>
      </c>
      <c r="BS576" s="66"/>
      <c r="BT576" s="75"/>
      <c r="BU576" s="170"/>
      <c r="BV576" s="1"/>
      <c r="BW576" s="61">
        <f t="shared" si="399"/>
        <v>567</v>
      </c>
    </row>
    <row r="577" spans="2:85" x14ac:dyDescent="0.3">
      <c r="B577" s="158">
        <f t="shared" si="448"/>
        <v>44477</v>
      </c>
      <c r="C577" s="61"/>
      <c r="D577" s="17">
        <v>106298</v>
      </c>
      <c r="E577" s="16"/>
      <c r="F577" s="16"/>
      <c r="G577" s="16"/>
      <c r="H577" s="16">
        <f t="shared" ref="H577" si="1098">+H576+D577</f>
        <v>42723285</v>
      </c>
      <c r="I577" s="16"/>
      <c r="J577" s="436">
        <f t="shared" ref="J577" si="1099">+D577/H576</f>
        <v>2.4942636137087778E-3</v>
      </c>
      <c r="K577" s="16"/>
      <c r="L577" s="16"/>
      <c r="M577" s="16"/>
      <c r="N577" s="16">
        <f t="shared" ref="N577" si="1100">SUM(D571:D577)</f>
        <v>564965</v>
      </c>
      <c r="O577" s="16">
        <f t="shared" ref="O577" si="1101">+H577/BW577</f>
        <v>75217.051056338023</v>
      </c>
      <c r="P577" s="41"/>
      <c r="Q577" s="17">
        <f t="shared" ref="Q577" si="1102">SUM(D571:D577)</f>
        <v>564965</v>
      </c>
      <c r="R577" s="16"/>
      <c r="S577" s="60">
        <f t="shared" ref="S577" si="1103">+(Q577-Q570)/Q570</f>
        <v>-0.17944654961315407</v>
      </c>
      <c r="T577" s="16"/>
      <c r="U577" s="41"/>
      <c r="V577" s="10">
        <f t="shared" si="349"/>
        <v>469</v>
      </c>
      <c r="W577" s="34">
        <v>1937</v>
      </c>
      <c r="X577" s="33">
        <v>4256</v>
      </c>
      <c r="Y577" s="33"/>
      <c r="Z577" s="33">
        <f t="shared" ref="Z577" si="1104">SUM(W572:W577)</f>
        <v>8718</v>
      </c>
      <c r="AA577" s="33">
        <f t="shared" ref="AA577" si="1105">+AA576+W577</f>
        <v>684786</v>
      </c>
      <c r="AB577" s="33"/>
      <c r="AC577" s="46">
        <f t="shared" ref="AC577" si="1106">+AA577/H577</f>
        <v>1.6028402310356051E-2</v>
      </c>
      <c r="AD577" s="33"/>
      <c r="AE577" s="33">
        <f t="shared" ref="AE577" si="1107">+AA577/BW577</f>
        <v>1205.6091549295775</v>
      </c>
      <c r="AF577" s="50"/>
      <c r="AG577" s="33">
        <f t="shared" ref="AG577" si="1108">SUM(W571:W577)</f>
        <v>9408</v>
      </c>
      <c r="AH577" s="33">
        <f t="shared" ref="AH577" si="1109">SUM(D548:D1048)</f>
        <v>1119106118.060914</v>
      </c>
      <c r="AI577" s="213">
        <f t="shared" ref="AI577" si="1110">+(AG577-AG570)/AG570</f>
        <v>-7.1181755355908774E-2</v>
      </c>
      <c r="AJ577" s="50"/>
      <c r="AK577" s="111"/>
      <c r="AL577" s="23">
        <f t="shared" ref="AL577" si="1111">+AP577-AP576</f>
        <v>98385</v>
      </c>
      <c r="AM577" s="24"/>
      <c r="AN577" s="24"/>
      <c r="AO577" s="24">
        <v>178263</v>
      </c>
      <c r="AP577" s="24">
        <v>34577516</v>
      </c>
      <c r="AQ577" s="24">
        <v>20336656</v>
      </c>
      <c r="AR577" s="461">
        <f t="shared" ref="AR577" si="1112">+AL577/AP576</f>
        <v>2.8534651873911789E-3</v>
      </c>
      <c r="AS577" s="25"/>
      <c r="AT577" s="25"/>
      <c r="AU577" s="24"/>
      <c r="AV577" s="298">
        <f t="shared" ref="AV577" si="1113">+AP577/H577</f>
        <v>0.80933654797378063</v>
      </c>
      <c r="AW577" s="298"/>
      <c r="AX577" s="24">
        <f t="shared" ref="AX577" si="1114">+AP577/BW577</f>
        <v>60875.908450704228</v>
      </c>
      <c r="AY577" s="308"/>
      <c r="AZ577" s="111"/>
      <c r="BA577" s="65">
        <f t="shared" ref="BA577" si="1115">+BC577-BC576</f>
        <v>2387687</v>
      </c>
      <c r="BB577" s="66"/>
      <c r="BC577" s="66">
        <v>656553737</v>
      </c>
      <c r="BD577" s="66"/>
      <c r="BE577" s="66">
        <f t="shared" ref="BE577" si="1116">+D577</f>
        <v>106298</v>
      </c>
      <c r="BF577" s="66"/>
      <c r="BG577" s="144">
        <f t="shared" ref="BG577" si="1117">+BE577/BA577</f>
        <v>4.4519235561445034E-2</v>
      </c>
      <c r="BH577" s="66"/>
      <c r="BI577" s="170"/>
      <c r="BJ577" s="66"/>
      <c r="BK577" s="66">
        <f t="shared" ref="BK577" si="1118">SUM(BA571:BA577)</f>
        <v>12787030</v>
      </c>
      <c r="BL577" s="66"/>
      <c r="BM577" s="144">
        <f t="shared" ref="BM577" si="1119">+Q577/BK577</f>
        <v>4.4182660086040305E-2</v>
      </c>
      <c r="BN577" s="65">
        <f t="shared" ref="BN577" si="1120">+BC577/BW577</f>
        <v>1155904.4665492957</v>
      </c>
      <c r="BO577" s="66"/>
      <c r="BP577" s="66">
        <f t="shared" ref="BP577" si="1121">+BP576+BE577</f>
        <v>41816307</v>
      </c>
      <c r="BQ577" s="66"/>
      <c r="BR577" s="435">
        <f t="shared" ref="BR577" si="1122">+BP577/BC577</f>
        <v>6.3690608465762188E-2</v>
      </c>
      <c r="BS577" s="66"/>
      <c r="BT577" s="75"/>
      <c r="BU577" s="170"/>
      <c r="BV577" s="1"/>
      <c r="BW577" s="61">
        <f t="shared" si="399"/>
        <v>568</v>
      </c>
    </row>
    <row r="578" spans="2:85" x14ac:dyDescent="0.3">
      <c r="B578" s="158">
        <f t="shared" si="448"/>
        <v>44478</v>
      </c>
      <c r="C578" s="61"/>
      <c r="D578" s="17">
        <v>42357</v>
      </c>
      <c r="E578" s="16"/>
      <c r="F578" s="16"/>
      <c r="G578" s="16"/>
      <c r="H578" s="16">
        <f t="shared" ref="H578" si="1123">+H577+D578</f>
        <v>42765642</v>
      </c>
      <c r="I578" s="16"/>
      <c r="J578" s="436">
        <f t="shared" ref="J578" si="1124">+D578/H577</f>
        <v>9.9142657218423153E-4</v>
      </c>
      <c r="K578" s="16"/>
      <c r="L578" s="16"/>
      <c r="M578" s="16"/>
      <c r="N578" s="16">
        <f t="shared" ref="N578" si="1125">SUM(D572:D578)</f>
        <v>560840</v>
      </c>
      <c r="O578" s="16">
        <f t="shared" ref="O578" si="1126">+H578/BW578</f>
        <v>75159.300527240775</v>
      </c>
      <c r="P578" s="41"/>
      <c r="Q578" s="17">
        <f t="shared" ref="Q578" si="1127">SUM(D572:D578)</f>
        <v>560840</v>
      </c>
      <c r="R578" s="16"/>
      <c r="S578" s="60">
        <f t="shared" ref="S578" si="1128">+(Q578-Q571)/Q571</f>
        <v>-0.13746116698963429</v>
      </c>
      <c r="T578" s="16"/>
      <c r="U578" s="41"/>
      <c r="V578" s="10">
        <f t="shared" si="349"/>
        <v>470</v>
      </c>
      <c r="W578" s="34">
        <v>581</v>
      </c>
      <c r="X578" s="33">
        <v>4256</v>
      </c>
      <c r="Y578" s="33"/>
      <c r="Z578" s="33">
        <f t="shared" ref="Z578" si="1129">SUM(W573:W578)</f>
        <v>9040</v>
      </c>
      <c r="AA578" s="33">
        <f t="shared" ref="AA578" si="1130">+AA577+W578</f>
        <v>685367</v>
      </c>
      <c r="AB578" s="33"/>
      <c r="AC578" s="46">
        <f t="shared" ref="AC578" si="1131">+AA578/H578</f>
        <v>1.6026112737884304E-2</v>
      </c>
      <c r="AD578" s="33"/>
      <c r="AE578" s="33">
        <f t="shared" ref="AE578" si="1132">+AA578/BW578</f>
        <v>1204.5114235500878</v>
      </c>
      <c r="AF578" s="50"/>
      <c r="AG578" s="33">
        <f t="shared" ref="AG578" si="1133">SUM(W572:W578)</f>
        <v>9299</v>
      </c>
      <c r="AH578" s="33">
        <f t="shared" ref="AH578" si="1134">SUM(D549:D1049)</f>
        <v>1118945370.060914</v>
      </c>
      <c r="AI578" s="213">
        <f t="shared" ref="AI578" si="1135">+(AG578-AG571)/AG571</f>
        <v>-3.3769742310889445E-2</v>
      </c>
      <c r="AJ578" s="50"/>
      <c r="AK578" s="111"/>
      <c r="AL578" s="23">
        <f t="shared" ref="AL578" si="1136">+AP578-AP577</f>
        <v>53138</v>
      </c>
      <c r="AM578" s="24"/>
      <c r="AN578" s="24"/>
      <c r="AO578" s="24">
        <v>178263</v>
      </c>
      <c r="AP578" s="24">
        <v>34630654</v>
      </c>
      <c r="AQ578" s="24">
        <v>20336656</v>
      </c>
      <c r="AR578" s="461">
        <f t="shared" ref="AR578" si="1137">+AL578/AP577</f>
        <v>1.5367789866686779E-3</v>
      </c>
      <c r="AS578" s="25"/>
      <c r="AT578" s="25"/>
      <c r="AU578" s="24"/>
      <c r="AV578" s="298">
        <f t="shared" ref="AV578" si="1138">+AP578/H578</f>
        <v>0.8097774844582013</v>
      </c>
      <c r="AW578" s="298"/>
      <c r="AX578" s="24">
        <f t="shared" ref="AX578" si="1139">+AP578/BW578</f>
        <v>60862.309314586993</v>
      </c>
      <c r="AY578" s="308"/>
      <c r="AZ578" s="111"/>
      <c r="BA578" s="65">
        <f t="shared" ref="BA578" si="1140">+BC578-BC577</f>
        <v>549020</v>
      </c>
      <c r="BB578" s="66"/>
      <c r="BC578" s="66">
        <v>657102757</v>
      </c>
      <c r="BD578" s="66"/>
      <c r="BE578" s="66">
        <f t="shared" ref="BE578" si="1141">+D578</f>
        <v>42357</v>
      </c>
      <c r="BF578" s="66"/>
      <c r="BG578" s="144">
        <f t="shared" ref="BG578" si="1142">+BE578/BA578</f>
        <v>7.7150194892717933E-2</v>
      </c>
      <c r="BH578" s="66"/>
      <c r="BI578" s="170"/>
      <c r="BJ578" s="66"/>
      <c r="BK578" s="66">
        <f t="shared" ref="BK578" si="1143">SUM(BA572:BA578)</f>
        <v>12762457</v>
      </c>
      <c r="BL578" s="66"/>
      <c r="BM578" s="144">
        <f t="shared" ref="BM578" si="1144">+Q578/BK578</f>
        <v>4.3944516326284197E-2</v>
      </c>
      <c r="BN578" s="65">
        <f t="shared" ref="BN578" si="1145">+BC578/BW578</f>
        <v>1154837.8857644992</v>
      </c>
      <c r="BO578" s="66"/>
      <c r="BP578" s="66">
        <f t="shared" ref="BP578" si="1146">+BP577+BE578</f>
        <v>41858664</v>
      </c>
      <c r="BQ578" s="66"/>
      <c r="BR578" s="435">
        <f t="shared" ref="BR578" si="1147">+BP578/BC578</f>
        <v>6.3701854168297156E-2</v>
      </c>
      <c r="BS578" s="66"/>
      <c r="BT578" s="75"/>
      <c r="BU578" s="170"/>
      <c r="BV578" s="1"/>
      <c r="BW578" s="61">
        <f t="shared" si="399"/>
        <v>569</v>
      </c>
    </row>
    <row r="579" spans="2:85" x14ac:dyDescent="0.3">
      <c r="B579" s="347">
        <f t="shared" si="448"/>
        <v>44479</v>
      </c>
      <c r="C579" s="61"/>
      <c r="D579" s="17">
        <v>24694</v>
      </c>
      <c r="E579" s="16"/>
      <c r="F579" s="16"/>
      <c r="G579" s="16"/>
      <c r="H579" s="16">
        <f t="shared" ref="H579" si="1148">+H578+D579</f>
        <v>42790336</v>
      </c>
      <c r="I579" s="16"/>
      <c r="J579" s="436">
        <f t="shared" ref="J579" si="1149">+D579/H578</f>
        <v>5.7742614971149041E-4</v>
      </c>
      <c r="K579" s="16"/>
      <c r="L579" s="16"/>
      <c r="M579" s="16"/>
      <c r="N579" s="16">
        <f t="shared" ref="N579" si="1150">SUM(D573:D579)</f>
        <v>558601</v>
      </c>
      <c r="O579" s="16">
        <f t="shared" ref="O579" si="1151">+H579/BW579</f>
        <v>75070.764912280705</v>
      </c>
      <c r="P579" s="41"/>
      <c r="Q579" s="17">
        <f t="shared" ref="Q579" si="1152">SUM(D573:D579)</f>
        <v>558601</v>
      </c>
      <c r="R579" s="16"/>
      <c r="S579" s="60">
        <f t="shared" ref="S579" si="1153">+(Q579-Q572)/Q572</f>
        <v>-9.6890859148530961E-2</v>
      </c>
      <c r="T579" s="16"/>
      <c r="U579" s="41"/>
      <c r="V579" s="10">
        <f t="shared" si="349"/>
        <v>471</v>
      </c>
      <c r="W579" s="34">
        <v>517</v>
      </c>
      <c r="X579" s="33">
        <v>4256</v>
      </c>
      <c r="Y579" s="33"/>
      <c r="Z579" s="33">
        <f t="shared" ref="Z579" si="1154">SUM(W574:W579)</f>
        <v>8824</v>
      </c>
      <c r="AA579" s="33">
        <f t="shared" ref="AA579" si="1155">+AA578+W579</f>
        <v>685884</v>
      </c>
      <c r="AB579" s="33"/>
      <c r="AC579" s="46">
        <f t="shared" ref="AC579" si="1156">+AA579/H579</f>
        <v>1.6028946349007402E-2</v>
      </c>
      <c r="AD579" s="33"/>
      <c r="AE579" s="33">
        <f t="shared" ref="AE579" si="1157">+AA579/BW579</f>
        <v>1203.3052631578948</v>
      </c>
      <c r="AF579" s="50"/>
      <c r="AG579" s="33">
        <f t="shared" ref="AG579" si="1158">SUM(W573:W579)</f>
        <v>9557</v>
      </c>
      <c r="AH579" s="33">
        <f t="shared" ref="AH579" si="1159">SUM(D550:D1050)</f>
        <v>1118774245.060914</v>
      </c>
      <c r="AI579" s="213">
        <f t="shared" ref="AI579" si="1160">+(AG579-AG572)/AG572</f>
        <v>2.7966010541034741E-2</v>
      </c>
      <c r="AJ579" s="50"/>
      <c r="AK579" s="111"/>
      <c r="AL579" s="23">
        <f t="shared" ref="AL579" si="1161">+AP579-AP578</f>
        <v>34309</v>
      </c>
      <c r="AM579" s="24"/>
      <c r="AN579" s="24"/>
      <c r="AO579" s="24">
        <v>178263</v>
      </c>
      <c r="AP579" s="24">
        <v>34664963</v>
      </c>
      <c r="AQ579" s="24">
        <v>20336656</v>
      </c>
      <c r="AR579" s="461">
        <f t="shared" ref="AR579" si="1162">+AL579/AP578</f>
        <v>9.9071187047175026E-4</v>
      </c>
      <c r="AS579" s="25"/>
      <c r="AT579" s="25"/>
      <c r="AU579" s="24"/>
      <c r="AV579" s="298">
        <f t="shared" ref="AV579" si="1163">+AP579/H579</f>
        <v>0.81011196079413816</v>
      </c>
      <c r="AW579" s="298"/>
      <c r="AX579" s="24">
        <f t="shared" ref="AX579" si="1164">+AP579/BW579</f>
        <v>60815.724561403506</v>
      </c>
      <c r="AY579" s="308"/>
      <c r="AZ579" s="111"/>
      <c r="BA579" s="65">
        <f t="shared" ref="BA579" si="1165">+BC579-BC578</f>
        <v>311143</v>
      </c>
      <c r="BB579" s="66"/>
      <c r="BC579" s="66">
        <v>657413900</v>
      </c>
      <c r="BD579" s="66"/>
      <c r="BE579" s="66">
        <f t="shared" ref="BE579" si="1166">+D579</f>
        <v>24694</v>
      </c>
      <c r="BF579" s="66"/>
      <c r="BG579" s="144">
        <f t="shared" ref="BG579" si="1167">+BE579/BA579</f>
        <v>7.9365436471333123E-2</v>
      </c>
      <c r="BH579" s="66"/>
      <c r="BI579" s="170"/>
      <c r="BJ579" s="66"/>
      <c r="BK579" s="66">
        <f t="shared" ref="BK579" si="1168">SUM(BA573:BA579)</f>
        <v>12665244</v>
      </c>
      <c r="BL579" s="66"/>
      <c r="BM579" s="144">
        <f t="shared" ref="BM579" si="1169">+Q579/BK579</f>
        <v>4.4105032638929023E-2</v>
      </c>
      <c r="BN579" s="65">
        <f t="shared" ref="BN579" si="1170">+BC579/BW579</f>
        <v>1153357.7192982456</v>
      </c>
      <c r="BO579" s="66"/>
      <c r="BP579" s="66">
        <f t="shared" ref="BP579" si="1171">+BP578+BE579</f>
        <v>41883358</v>
      </c>
      <c r="BQ579" s="66"/>
      <c r="BR579" s="435">
        <f t="shared" ref="BR579" si="1172">+BP579/BC579</f>
        <v>6.3709267479741455E-2</v>
      </c>
      <c r="BS579" s="66"/>
      <c r="BT579" s="75"/>
      <c r="BU579" s="170"/>
      <c r="BV579" s="1"/>
      <c r="BW579" s="61">
        <f t="shared" si="399"/>
        <v>570</v>
      </c>
    </row>
    <row r="580" spans="2:85" x14ac:dyDescent="0.3">
      <c r="B580" s="158">
        <f t="shared" si="448"/>
        <v>44480</v>
      </c>
      <c r="C580" s="61"/>
      <c r="D580" s="17"/>
      <c r="E580" s="16"/>
      <c r="F580" s="16"/>
      <c r="G580" s="16"/>
      <c r="H580" s="16"/>
      <c r="I580" s="16"/>
      <c r="J580" s="436"/>
      <c r="K580" s="16"/>
      <c r="L580" s="16"/>
      <c r="M580" s="16"/>
      <c r="N580" s="16"/>
      <c r="O580" s="16"/>
      <c r="P580" s="41"/>
      <c r="Q580" s="17"/>
      <c r="R580" s="16"/>
      <c r="S580" s="60"/>
      <c r="T580" s="16"/>
      <c r="U580" s="41"/>
      <c r="V580" s="10"/>
      <c r="W580" s="34"/>
      <c r="X580" s="33"/>
      <c r="Y580" s="33"/>
      <c r="Z580" s="33"/>
      <c r="AA580" s="33"/>
      <c r="AB580" s="33"/>
      <c r="AC580" s="46"/>
      <c r="AD580" s="33"/>
      <c r="AE580" s="33"/>
      <c r="AF580" s="50"/>
      <c r="AG580" s="33"/>
      <c r="AH580" s="33"/>
      <c r="AI580" s="213"/>
      <c r="AJ580" s="50"/>
      <c r="AK580" s="111"/>
      <c r="AL580" s="23"/>
      <c r="AM580" s="24"/>
      <c r="AN580" s="24"/>
      <c r="AO580" s="24"/>
      <c r="AP580" s="24"/>
      <c r="AQ580" s="24"/>
      <c r="AR580" s="461"/>
      <c r="AS580" s="25"/>
      <c r="AT580" s="25"/>
      <c r="AU580" s="24"/>
      <c r="AV580" s="298"/>
      <c r="AW580" s="298"/>
      <c r="AX580" s="24"/>
      <c r="AY580" s="308"/>
      <c r="AZ580" s="111"/>
      <c r="BA580" s="65"/>
      <c r="BB580" s="66"/>
      <c r="BC580" s="66"/>
      <c r="BD580" s="66"/>
      <c r="BE580" s="66"/>
      <c r="BF580" s="66"/>
      <c r="BG580" s="144"/>
      <c r="BH580" s="66"/>
      <c r="BI580" s="170"/>
      <c r="BJ580" s="66"/>
      <c r="BK580" s="66"/>
      <c r="BL580" s="66"/>
      <c r="BM580" s="144"/>
      <c r="BN580" s="65"/>
      <c r="BO580" s="66"/>
      <c r="BP580" s="66"/>
      <c r="BQ580" s="66"/>
      <c r="BR580" s="435"/>
      <c r="BS580" s="66"/>
      <c r="BT580" s="75"/>
      <c r="BU580" s="170"/>
      <c r="BV580" s="1"/>
      <c r="BW580" s="61"/>
    </row>
    <row r="581" spans="2:85" x14ac:dyDescent="0.3">
      <c r="B581" s="158">
        <f t="shared" si="448"/>
        <v>44481</v>
      </c>
      <c r="C581" s="61"/>
      <c r="D581" s="17"/>
      <c r="E581" s="16"/>
      <c r="F581" s="16"/>
      <c r="G581" s="16"/>
      <c r="H581" s="16"/>
      <c r="I581" s="16"/>
      <c r="J581" s="436"/>
      <c r="K581" s="16"/>
      <c r="L581" s="16"/>
      <c r="M581" s="16"/>
      <c r="N581" s="16"/>
      <c r="O581" s="16"/>
      <c r="P581" s="41"/>
      <c r="Q581" s="17"/>
      <c r="R581" s="16"/>
      <c r="S581" s="60"/>
      <c r="T581" s="16"/>
      <c r="U581" s="41"/>
      <c r="V581" s="10"/>
      <c r="W581" s="34"/>
      <c r="X581" s="33"/>
      <c r="Y581" s="33"/>
      <c r="Z581" s="33"/>
      <c r="AA581" s="33"/>
      <c r="AB581" s="33"/>
      <c r="AC581" s="46"/>
      <c r="AD581" s="33"/>
      <c r="AE581" s="33"/>
      <c r="AF581" s="50"/>
      <c r="AG581" s="33"/>
      <c r="AH581" s="33"/>
      <c r="AI581" s="213"/>
      <c r="AJ581" s="50"/>
      <c r="AK581" s="111"/>
      <c r="AL581" s="23"/>
      <c r="AM581" s="24"/>
      <c r="AN581" s="24"/>
      <c r="AO581" s="24"/>
      <c r="AP581" s="24"/>
      <c r="AQ581" s="24"/>
      <c r="AR581" s="461"/>
      <c r="AS581" s="25"/>
      <c r="AT581" s="25"/>
      <c r="AU581" s="24"/>
      <c r="AV581" s="298"/>
      <c r="AW581" s="298"/>
      <c r="AX581" s="24"/>
      <c r="AY581" s="308"/>
      <c r="AZ581" s="111"/>
      <c r="BA581" s="65"/>
      <c r="BB581" s="66"/>
      <c r="BC581" s="66"/>
      <c r="BD581" s="66"/>
      <c r="BE581" s="66"/>
      <c r="BF581" s="66"/>
      <c r="BG581" s="144"/>
      <c r="BH581" s="66"/>
      <c r="BI581" s="170"/>
      <c r="BJ581" s="66"/>
      <c r="BK581" s="66"/>
      <c r="BL581" s="66"/>
      <c r="BM581" s="144"/>
      <c r="BN581" s="65"/>
      <c r="BO581" s="66"/>
      <c r="BP581" s="66"/>
      <c r="BQ581" s="66"/>
      <c r="BR581" s="435"/>
      <c r="BS581" s="66"/>
      <c r="BT581" s="75"/>
      <c r="BU581" s="170"/>
      <c r="BV581" s="1"/>
      <c r="BW581" s="61"/>
    </row>
    <row r="582" spans="2:85" x14ac:dyDescent="0.3">
      <c r="B582" s="158">
        <f t="shared" si="448"/>
        <v>44482</v>
      </c>
      <c r="C582" s="61"/>
      <c r="D582" s="17"/>
      <c r="E582" s="16"/>
      <c r="F582" s="16"/>
      <c r="G582" s="16"/>
      <c r="H582" s="16"/>
      <c r="I582" s="16"/>
      <c r="J582" s="436"/>
      <c r="K582" s="16"/>
      <c r="L582" s="16"/>
      <c r="M582" s="16"/>
      <c r="N582" s="16"/>
      <c r="O582" s="16"/>
      <c r="P582" s="41"/>
      <c r="Q582" s="17"/>
      <c r="R582" s="16"/>
      <c r="S582" s="60"/>
      <c r="T582" s="16"/>
      <c r="U582" s="41"/>
      <c r="V582" s="10"/>
      <c r="W582" s="34"/>
      <c r="X582" s="33"/>
      <c r="Y582" s="33"/>
      <c r="Z582" s="33"/>
      <c r="AA582" s="33"/>
      <c r="AB582" s="33"/>
      <c r="AC582" s="46"/>
      <c r="AD582" s="33"/>
      <c r="AE582" s="33"/>
      <c r="AF582" s="50"/>
      <c r="AG582" s="33"/>
      <c r="AH582" s="33"/>
      <c r="AI582" s="213"/>
      <c r="AJ582" s="50"/>
      <c r="AK582" s="111"/>
      <c r="AL582" s="23"/>
      <c r="AM582" s="24"/>
      <c r="AN582" s="24"/>
      <c r="AO582" s="24"/>
      <c r="AP582" s="24"/>
      <c r="AQ582" s="24"/>
      <c r="AR582" s="461"/>
      <c r="AS582" s="25"/>
      <c r="AT582" s="25"/>
      <c r="AU582" s="24"/>
      <c r="AV582" s="298"/>
      <c r="AW582" s="298"/>
      <c r="AX582" s="24"/>
      <c r="AY582" s="308"/>
      <c r="AZ582" s="111"/>
      <c r="BA582" s="65"/>
      <c r="BB582" s="66"/>
      <c r="BC582" s="66"/>
      <c r="BD582" s="66"/>
      <c r="BE582" s="66"/>
      <c r="BF582" s="66"/>
      <c r="BG582" s="144"/>
      <c r="BH582" s="66"/>
      <c r="BI582" s="170"/>
      <c r="BJ582" s="66"/>
      <c r="BK582" s="66"/>
      <c r="BL582" s="66"/>
      <c r="BM582" s="144"/>
      <c r="BN582" s="65"/>
      <c r="BO582" s="66"/>
      <c r="BP582" s="66"/>
      <c r="BQ582" s="66"/>
      <c r="BR582" s="435"/>
      <c r="BS582" s="66"/>
      <c r="BT582" s="75"/>
      <c r="BU582" s="170"/>
      <c r="BV582" s="1"/>
      <c r="BW582" s="61"/>
    </row>
    <row r="583" spans="2:85" x14ac:dyDescent="0.3">
      <c r="B583" s="158">
        <f t="shared" si="448"/>
        <v>44483</v>
      </c>
      <c r="C583" s="61"/>
      <c r="D583" s="17"/>
      <c r="E583" s="16"/>
      <c r="F583" s="16"/>
      <c r="G583" s="16"/>
      <c r="H583" s="16"/>
      <c r="I583" s="16"/>
      <c r="J583" s="436"/>
      <c r="K583" s="16"/>
      <c r="L583" s="16"/>
      <c r="M583" s="16"/>
      <c r="N583" s="16"/>
      <c r="O583" s="16"/>
      <c r="P583" s="41"/>
      <c r="Q583" s="410"/>
      <c r="R583" s="16"/>
      <c r="S583" s="60"/>
      <c r="T583" s="16"/>
      <c r="U583" s="41"/>
      <c r="V583" s="10"/>
      <c r="W583" s="34"/>
      <c r="X583" s="33"/>
      <c r="Y583" s="33"/>
      <c r="Z583" s="33"/>
      <c r="AA583" s="33"/>
      <c r="AB583" s="33"/>
      <c r="AC583" s="46"/>
      <c r="AD583" s="33"/>
      <c r="AE583" s="33"/>
      <c r="AF583" s="50"/>
      <c r="AG583" s="33"/>
      <c r="AH583" s="33"/>
      <c r="AI583" s="213"/>
      <c r="AJ583" s="50"/>
      <c r="AK583" s="10"/>
      <c r="AL583" s="23"/>
      <c r="AM583" s="24"/>
      <c r="AN583" s="24"/>
      <c r="AO583" s="24"/>
      <c r="AP583" s="24"/>
      <c r="AQ583" s="24"/>
      <c r="AR583" s="461"/>
      <c r="AS583" s="25"/>
      <c r="AT583" s="25"/>
      <c r="AU583" s="24"/>
      <c r="AV583" s="298"/>
      <c r="AW583" s="298"/>
      <c r="AX583" s="24"/>
      <c r="AY583" s="308"/>
      <c r="AZ583" s="10"/>
      <c r="BA583" s="65"/>
      <c r="BB583" s="66"/>
      <c r="BC583" s="66"/>
      <c r="BD583" s="66"/>
      <c r="BE583" s="66"/>
      <c r="BF583" s="66"/>
      <c r="BG583" s="144"/>
      <c r="BH583" s="66"/>
      <c r="BI583" s="170"/>
      <c r="BJ583" s="66"/>
      <c r="BK583" s="66"/>
      <c r="BL583" s="66"/>
      <c r="BM583" s="144"/>
      <c r="BN583" s="65"/>
      <c r="BO583" s="66"/>
      <c r="BP583" s="66"/>
      <c r="BQ583" s="66"/>
      <c r="BR583" s="435"/>
      <c r="BS583" s="66"/>
      <c r="BT583" s="75"/>
      <c r="BU583" s="170"/>
      <c r="BV583" s="1"/>
      <c r="BW583" s="61"/>
    </row>
    <row r="584" spans="2:85" x14ac:dyDescent="0.3">
      <c r="B584" s="158">
        <f t="shared" si="448"/>
        <v>44484</v>
      </c>
      <c r="D584" s="559"/>
      <c r="E584" s="19"/>
      <c r="F584" s="19"/>
      <c r="G584" s="19"/>
      <c r="H584" s="19"/>
      <c r="I584" s="19"/>
      <c r="J584" s="39"/>
      <c r="K584" s="19"/>
      <c r="L584" s="19"/>
      <c r="M584" s="19"/>
      <c r="N584" s="19"/>
      <c r="O584" s="19"/>
      <c r="P584" s="43"/>
      <c r="Q584" s="18"/>
      <c r="R584" s="19"/>
      <c r="S584" s="19"/>
      <c r="T584" s="19"/>
      <c r="U584" s="43"/>
      <c r="V584" s="1"/>
      <c r="W584" s="35"/>
      <c r="X584" s="36"/>
      <c r="Y584" s="36"/>
      <c r="Z584" s="36"/>
      <c r="AA584" s="36"/>
      <c r="AB584" s="36"/>
      <c r="AC584" s="47"/>
      <c r="AD584" s="36"/>
      <c r="AE584" s="36"/>
      <c r="AF584" s="51"/>
      <c r="AG584" s="36"/>
      <c r="AH584" s="36"/>
      <c r="AI584" s="36"/>
      <c r="AJ584" s="51"/>
      <c r="AK584" s="1"/>
      <c r="AL584" s="26"/>
      <c r="AM584" s="27"/>
      <c r="AN584" s="27"/>
      <c r="AO584" s="27"/>
      <c r="AP584" s="27"/>
      <c r="AQ584" s="27"/>
      <c r="AR584" s="27"/>
      <c r="AS584" s="27"/>
      <c r="AT584" s="27"/>
      <c r="AU584" s="27"/>
      <c r="AV584" s="300"/>
      <c r="AW584" s="300"/>
      <c r="AX584" s="27"/>
      <c r="AY584" s="307"/>
      <c r="AZ584" s="1"/>
      <c r="BA584" s="67"/>
      <c r="BB584" s="68"/>
      <c r="BC584" s="68"/>
      <c r="BD584" s="68"/>
      <c r="BE584" s="68"/>
      <c r="BF584" s="68"/>
      <c r="BG584" s="68"/>
      <c r="BH584" s="68"/>
      <c r="BI584" s="171"/>
      <c r="BJ584" s="68"/>
      <c r="BK584" s="68"/>
      <c r="BL584" s="68"/>
      <c r="BM584" s="68"/>
      <c r="BN584" s="67"/>
      <c r="BO584" s="68"/>
      <c r="BP584" s="68"/>
      <c r="BQ584" s="68"/>
      <c r="BR584" s="70"/>
      <c r="BS584" s="68"/>
      <c r="BT584" s="68"/>
      <c r="BU584" s="171"/>
      <c r="BV584" s="1"/>
      <c r="BW584" s="61">
        <f>+BW461+1</f>
        <v>453</v>
      </c>
    </row>
    <row r="585" spans="2:85" x14ac:dyDescent="0.3">
      <c r="B585" s="56"/>
      <c r="D585" s="1"/>
      <c r="E585" s="1"/>
      <c r="F585" s="1"/>
      <c r="G585" s="1"/>
      <c r="H585" s="59"/>
      <c r="I585" s="1"/>
      <c r="J585" s="59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59"/>
      <c r="X585" s="1"/>
      <c r="Y585" s="1"/>
      <c r="Z585" s="1"/>
      <c r="AA585" s="1"/>
      <c r="AB585" s="1"/>
      <c r="AC585" s="59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59"/>
      <c r="BD585" s="1"/>
      <c r="BE585" s="59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</row>
    <row r="586" spans="2:85" x14ac:dyDescent="0.3">
      <c r="B586" s="166" t="s">
        <v>74</v>
      </c>
      <c r="D586" s="56">
        <f>+D579</f>
        <v>24694</v>
      </c>
      <c r="E586" s="56">
        <f>+E238</f>
        <v>0</v>
      </c>
      <c r="F586" s="56">
        <f>+F238</f>
        <v>0</v>
      </c>
      <c r="G586" s="56">
        <f>+G238</f>
        <v>0</v>
      </c>
      <c r="H586" s="56">
        <f t="shared" ref="H586:BP586" si="1173">+H579</f>
        <v>42790336</v>
      </c>
      <c r="I586" s="56">
        <f t="shared" si="1173"/>
        <v>0</v>
      </c>
      <c r="J586" s="56">
        <f t="shared" si="1173"/>
        <v>5.7742614971149041E-4</v>
      </c>
      <c r="K586" s="56">
        <f t="shared" si="1173"/>
        <v>0</v>
      </c>
      <c r="L586" s="56">
        <f t="shared" si="1173"/>
        <v>0</v>
      </c>
      <c r="M586" s="56">
        <f t="shared" si="1173"/>
        <v>0</v>
      </c>
      <c r="N586" s="56">
        <f t="shared" si="1173"/>
        <v>558601</v>
      </c>
      <c r="O586" s="56">
        <f t="shared" si="1173"/>
        <v>75070.764912280705</v>
      </c>
      <c r="P586" s="56">
        <f t="shared" si="1173"/>
        <v>0</v>
      </c>
      <c r="Q586" s="56">
        <f t="shared" si="1173"/>
        <v>558601</v>
      </c>
      <c r="R586" s="56">
        <f t="shared" si="1173"/>
        <v>0</v>
      </c>
      <c r="S586" s="56">
        <f t="shared" si="1173"/>
        <v>-9.6890859148530961E-2</v>
      </c>
      <c r="T586" s="56">
        <f t="shared" si="1173"/>
        <v>0</v>
      </c>
      <c r="U586" s="56">
        <f t="shared" si="1173"/>
        <v>0</v>
      </c>
      <c r="V586" s="56">
        <f t="shared" si="1173"/>
        <v>471</v>
      </c>
      <c r="W586" s="56">
        <f t="shared" si="1173"/>
        <v>517</v>
      </c>
      <c r="X586" s="56">
        <f t="shared" si="1173"/>
        <v>4256</v>
      </c>
      <c r="Y586" s="56">
        <f t="shared" si="1173"/>
        <v>0</v>
      </c>
      <c r="Z586" s="56">
        <f t="shared" si="1173"/>
        <v>8824</v>
      </c>
      <c r="AA586" s="56">
        <f t="shared" si="1173"/>
        <v>685884</v>
      </c>
      <c r="AB586" s="56">
        <f t="shared" si="1173"/>
        <v>0</v>
      </c>
      <c r="AC586" s="56">
        <f t="shared" si="1173"/>
        <v>1.6028946349007402E-2</v>
      </c>
      <c r="AD586" s="56">
        <f t="shared" si="1173"/>
        <v>0</v>
      </c>
      <c r="AE586" s="56">
        <f t="shared" si="1173"/>
        <v>1203.3052631578948</v>
      </c>
      <c r="AF586" s="56">
        <f t="shared" si="1173"/>
        <v>0</v>
      </c>
      <c r="AG586" s="56">
        <f t="shared" si="1173"/>
        <v>9557</v>
      </c>
      <c r="AH586" s="56">
        <f t="shared" si="1173"/>
        <v>1118774245.060914</v>
      </c>
      <c r="AI586" s="56">
        <f t="shared" si="1173"/>
        <v>2.7966010541034741E-2</v>
      </c>
      <c r="AJ586" s="56">
        <f t="shared" si="1173"/>
        <v>0</v>
      </c>
      <c r="AK586" s="56">
        <f t="shared" si="1173"/>
        <v>0</v>
      </c>
      <c r="AL586" s="56">
        <f t="shared" si="1173"/>
        <v>34309</v>
      </c>
      <c r="AM586" s="56">
        <f t="shared" si="1173"/>
        <v>0</v>
      </c>
      <c r="AN586" s="56">
        <f t="shared" si="1173"/>
        <v>0</v>
      </c>
      <c r="AO586" s="56">
        <f t="shared" si="1173"/>
        <v>178263</v>
      </c>
      <c r="AP586" s="56">
        <f t="shared" si="1173"/>
        <v>34664963</v>
      </c>
      <c r="AQ586" s="56">
        <f t="shared" si="1173"/>
        <v>20336656</v>
      </c>
      <c r="AR586" s="56">
        <f t="shared" si="1173"/>
        <v>9.9071187047175026E-4</v>
      </c>
      <c r="AS586" s="56">
        <f t="shared" si="1173"/>
        <v>0</v>
      </c>
      <c r="AT586" s="56">
        <f t="shared" si="1173"/>
        <v>0</v>
      </c>
      <c r="AU586" s="56">
        <f t="shared" si="1173"/>
        <v>0</v>
      </c>
      <c r="AV586" s="56">
        <f t="shared" si="1173"/>
        <v>0.81011196079413816</v>
      </c>
      <c r="AW586" s="56">
        <f t="shared" si="1173"/>
        <v>0</v>
      </c>
      <c r="AX586" s="56">
        <f t="shared" si="1173"/>
        <v>60815.724561403506</v>
      </c>
      <c r="AY586" s="56">
        <f t="shared" si="1173"/>
        <v>0</v>
      </c>
      <c r="AZ586" s="56">
        <f t="shared" si="1173"/>
        <v>0</v>
      </c>
      <c r="BA586" s="56">
        <f t="shared" si="1173"/>
        <v>311143</v>
      </c>
      <c r="BB586" s="56">
        <f t="shared" si="1173"/>
        <v>0</v>
      </c>
      <c r="BC586" s="56">
        <f t="shared" si="1173"/>
        <v>657413900</v>
      </c>
      <c r="BD586" s="56">
        <f t="shared" si="1173"/>
        <v>0</v>
      </c>
      <c r="BE586" s="56">
        <f t="shared" si="1173"/>
        <v>24694</v>
      </c>
      <c r="BF586" s="56">
        <f t="shared" si="1173"/>
        <v>0</v>
      </c>
      <c r="BG586" s="56">
        <f t="shared" si="1173"/>
        <v>7.9365436471333123E-2</v>
      </c>
      <c r="BH586" s="56">
        <f t="shared" si="1173"/>
        <v>0</v>
      </c>
      <c r="BI586" s="56">
        <f t="shared" si="1173"/>
        <v>0</v>
      </c>
      <c r="BJ586" s="56">
        <f t="shared" si="1173"/>
        <v>0</v>
      </c>
      <c r="BK586" s="56">
        <f t="shared" si="1173"/>
        <v>12665244</v>
      </c>
      <c r="BL586" s="56">
        <f t="shared" si="1173"/>
        <v>0</v>
      </c>
      <c r="BM586" s="56">
        <f t="shared" si="1173"/>
        <v>4.4105032638929023E-2</v>
      </c>
      <c r="BN586" s="56">
        <f t="shared" si="1173"/>
        <v>1153357.7192982456</v>
      </c>
      <c r="BO586" s="56">
        <f t="shared" si="1173"/>
        <v>0</v>
      </c>
      <c r="BP586" s="56">
        <f t="shared" si="1173"/>
        <v>41883358</v>
      </c>
      <c r="BQ586" s="56">
        <f>+BQ530</f>
        <v>0</v>
      </c>
      <c r="BR586" s="56"/>
      <c r="BS586" s="56"/>
      <c r="BT586" s="56"/>
      <c r="BU586" s="56">
        <f>+BU509</f>
        <v>0</v>
      </c>
      <c r="BV586" s="56">
        <f>+BV505</f>
        <v>0</v>
      </c>
      <c r="BW586" s="56"/>
      <c r="BX586" s="56"/>
      <c r="BY586" s="56"/>
      <c r="BZ586" s="56"/>
      <c r="CA586" s="56"/>
      <c r="CB586" s="56"/>
      <c r="CC586" s="56"/>
      <c r="CD586" s="56"/>
      <c r="CE586" s="61"/>
      <c r="CF586" s="61"/>
      <c r="CG586" s="145"/>
    </row>
    <row r="587" spans="2:85" x14ac:dyDescent="0.3">
      <c r="B587" t="s">
        <v>105</v>
      </c>
      <c r="D587" s="56">
        <f>+D578-D586</f>
        <v>17663</v>
      </c>
      <c r="E587" s="56">
        <f>+E237-E586</f>
        <v>0</v>
      </c>
      <c r="F587" s="56">
        <f>+F237-F586</f>
        <v>0</v>
      </c>
      <c r="G587" s="56">
        <f>+G237-G586</f>
        <v>0</v>
      </c>
      <c r="H587" s="56">
        <f t="shared" ref="H587:BP587" si="1174">+H578-H586</f>
        <v>-24694</v>
      </c>
      <c r="I587" s="56">
        <f t="shared" si="1174"/>
        <v>0</v>
      </c>
      <c r="J587" s="56">
        <f t="shared" si="1174"/>
        <v>4.1400042247274112E-4</v>
      </c>
      <c r="K587" s="56">
        <f t="shared" si="1174"/>
        <v>0</v>
      </c>
      <c r="L587" s="56">
        <f t="shared" si="1174"/>
        <v>0</v>
      </c>
      <c r="M587" s="56">
        <f t="shared" si="1174"/>
        <v>0</v>
      </c>
      <c r="N587" s="56">
        <f t="shared" si="1174"/>
        <v>2239</v>
      </c>
      <c r="O587" s="56">
        <f t="shared" si="1174"/>
        <v>88.535614960070234</v>
      </c>
      <c r="P587" s="56">
        <f t="shared" si="1174"/>
        <v>0</v>
      </c>
      <c r="Q587" s="56">
        <f t="shared" si="1174"/>
        <v>2239</v>
      </c>
      <c r="R587" s="56">
        <f t="shared" si="1174"/>
        <v>0</v>
      </c>
      <c r="S587" s="56">
        <f t="shared" si="1174"/>
        <v>-4.0570307841103326E-2</v>
      </c>
      <c r="T587" s="56">
        <f t="shared" si="1174"/>
        <v>0</v>
      </c>
      <c r="U587" s="56">
        <f t="shared" si="1174"/>
        <v>0</v>
      </c>
      <c r="V587" s="56">
        <f t="shared" si="1174"/>
        <v>-1</v>
      </c>
      <c r="W587" s="56">
        <f t="shared" si="1174"/>
        <v>64</v>
      </c>
      <c r="X587" s="56">
        <f t="shared" si="1174"/>
        <v>0</v>
      </c>
      <c r="Y587" s="56">
        <f t="shared" si="1174"/>
        <v>0</v>
      </c>
      <c r="Z587" s="56">
        <f t="shared" si="1174"/>
        <v>216</v>
      </c>
      <c r="AA587" s="56">
        <f t="shared" si="1174"/>
        <v>-517</v>
      </c>
      <c r="AB587" s="56">
        <f t="shared" si="1174"/>
        <v>0</v>
      </c>
      <c r="AC587" s="56">
        <f t="shared" si="1174"/>
        <v>-2.8336111230972683E-6</v>
      </c>
      <c r="AD587" s="56">
        <f t="shared" si="1174"/>
        <v>0</v>
      </c>
      <c r="AE587" s="56">
        <f t="shared" si="1174"/>
        <v>1.2061603921929418</v>
      </c>
      <c r="AF587" s="56">
        <f t="shared" si="1174"/>
        <v>0</v>
      </c>
      <c r="AG587" s="56">
        <f t="shared" si="1174"/>
        <v>-258</v>
      </c>
      <c r="AH587" s="56">
        <f t="shared" si="1174"/>
        <v>171125</v>
      </c>
      <c r="AI587" s="56">
        <f t="shared" si="1174"/>
        <v>-6.1735752851924189E-2</v>
      </c>
      <c r="AJ587" s="56">
        <f t="shared" si="1174"/>
        <v>0</v>
      </c>
      <c r="AK587" s="56">
        <f t="shared" si="1174"/>
        <v>0</v>
      </c>
      <c r="AL587" s="56">
        <f t="shared" si="1174"/>
        <v>18829</v>
      </c>
      <c r="AM587" s="56">
        <f t="shared" si="1174"/>
        <v>0</v>
      </c>
      <c r="AN587" s="56">
        <f t="shared" si="1174"/>
        <v>0</v>
      </c>
      <c r="AO587" s="56">
        <f t="shared" si="1174"/>
        <v>0</v>
      </c>
      <c r="AP587" s="56">
        <f t="shared" si="1174"/>
        <v>-34309</v>
      </c>
      <c r="AQ587" s="56">
        <f t="shared" si="1174"/>
        <v>0</v>
      </c>
      <c r="AR587" s="56">
        <f t="shared" si="1174"/>
        <v>5.4606711619692764E-4</v>
      </c>
      <c r="AS587" s="56">
        <f t="shared" si="1174"/>
        <v>0</v>
      </c>
      <c r="AT587" s="56">
        <f t="shared" si="1174"/>
        <v>0</v>
      </c>
      <c r="AU587" s="56">
        <f t="shared" si="1174"/>
        <v>0</v>
      </c>
      <c r="AV587" s="56">
        <f t="shared" si="1174"/>
        <v>-3.3447633593686188E-4</v>
      </c>
      <c r="AW587" s="56">
        <f t="shared" si="1174"/>
        <v>0</v>
      </c>
      <c r="AX587" s="56">
        <f t="shared" si="1174"/>
        <v>46.584753183487919</v>
      </c>
      <c r="AY587" s="56">
        <f t="shared" si="1174"/>
        <v>0</v>
      </c>
      <c r="AZ587" s="56">
        <f t="shared" si="1174"/>
        <v>0</v>
      </c>
      <c r="BA587" s="56">
        <f t="shared" si="1174"/>
        <v>237877</v>
      </c>
      <c r="BB587" s="56">
        <f t="shared" si="1174"/>
        <v>0</v>
      </c>
      <c r="BC587" s="56">
        <f t="shared" si="1174"/>
        <v>-311143</v>
      </c>
      <c r="BD587" s="56">
        <f t="shared" si="1174"/>
        <v>0</v>
      </c>
      <c r="BE587" s="56">
        <f t="shared" si="1174"/>
        <v>17663</v>
      </c>
      <c r="BF587" s="56">
        <f t="shared" si="1174"/>
        <v>0</v>
      </c>
      <c r="BG587" s="56">
        <f t="shared" si="1174"/>
        <v>-2.2152415786151902E-3</v>
      </c>
      <c r="BH587" s="56">
        <f t="shared" si="1174"/>
        <v>0</v>
      </c>
      <c r="BI587" s="56">
        <f t="shared" si="1174"/>
        <v>0</v>
      </c>
      <c r="BJ587" s="56">
        <f t="shared" si="1174"/>
        <v>0</v>
      </c>
      <c r="BK587" s="56">
        <f t="shared" si="1174"/>
        <v>97213</v>
      </c>
      <c r="BL587" s="56">
        <f t="shared" si="1174"/>
        <v>0</v>
      </c>
      <c r="BM587" s="56">
        <f t="shared" si="1174"/>
        <v>-1.6051631264482613E-4</v>
      </c>
      <c r="BN587" s="56">
        <f t="shared" si="1174"/>
        <v>1480.1664662535768</v>
      </c>
      <c r="BO587" s="56">
        <f t="shared" si="1174"/>
        <v>0</v>
      </c>
      <c r="BP587" s="56">
        <f t="shared" si="1174"/>
        <v>-24694</v>
      </c>
      <c r="BQ587" s="56">
        <f>+BQ529-BQ586</f>
        <v>0</v>
      </c>
      <c r="BR587" s="56"/>
      <c r="BS587" s="56"/>
      <c r="BT587" s="56"/>
      <c r="BU587" s="56">
        <f>+BU508-BU586</f>
        <v>0</v>
      </c>
      <c r="BV587" s="56">
        <f>+BV504-BV586</f>
        <v>0</v>
      </c>
      <c r="BW587" s="56"/>
      <c r="BX587" s="56"/>
      <c r="BY587" s="56"/>
      <c r="BZ587" s="56"/>
      <c r="CA587" s="56"/>
      <c r="CB587" s="56"/>
      <c r="CC587" s="56"/>
      <c r="CD587" s="56"/>
      <c r="CE587" s="61"/>
      <c r="CF587" s="61"/>
      <c r="CG587" s="105"/>
    </row>
    <row r="588" spans="2:85" x14ac:dyDescent="0.3">
      <c r="B588" s="56"/>
      <c r="D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6"/>
      <c r="AI588" s="56"/>
      <c r="AJ588" s="56"/>
      <c r="AK588" s="56"/>
      <c r="AL588" s="56"/>
      <c r="AM588" s="56"/>
      <c r="AN588" s="56"/>
      <c r="AO588" s="56"/>
      <c r="AP588" s="56"/>
      <c r="AQ588" s="56"/>
      <c r="AR588" s="56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56"/>
      <c r="BI588" s="56"/>
      <c r="BJ588" s="56"/>
      <c r="BK588" s="56"/>
      <c r="BL588" s="56"/>
      <c r="BM588" s="56"/>
      <c r="BN588" s="56"/>
      <c r="BO588" s="56"/>
      <c r="BP588" s="56"/>
      <c r="BQ588" s="56"/>
      <c r="BR588" s="56"/>
      <c r="BS588" s="10"/>
      <c r="BT588" s="10"/>
      <c r="BU588" s="10"/>
      <c r="BV588" s="10"/>
      <c r="BW588" s="10"/>
      <c r="BX588" s="10"/>
      <c r="BY588" s="10"/>
      <c r="BZ588" s="10"/>
      <c r="CA588" s="10"/>
      <c r="CB588" s="61"/>
      <c r="CC588" s="105"/>
      <c r="CD588" s="105"/>
      <c r="CE588" s="105"/>
      <c r="CF588" s="105"/>
    </row>
    <row r="589" spans="2:85" x14ac:dyDescent="0.3">
      <c r="B589" s="56"/>
      <c r="D589" s="56"/>
      <c r="H589" s="1"/>
      <c r="N589" s="145"/>
      <c r="O589" s="1"/>
      <c r="W589" s="56"/>
      <c r="AA589" s="59"/>
      <c r="BA589" s="59"/>
      <c r="BC589" s="56"/>
      <c r="BE589" s="59"/>
      <c r="BJ589" s="61"/>
      <c r="BK589" s="10">
        <f>+BK187</f>
        <v>4928581</v>
      </c>
      <c r="BL589" s="61"/>
      <c r="BM589" s="61"/>
      <c r="BN589" s="61"/>
      <c r="BO589" s="61"/>
      <c r="BP589" s="61"/>
      <c r="BQ589" s="61"/>
      <c r="BR589" s="61"/>
      <c r="BS589" s="10"/>
      <c r="BT589" s="10"/>
    </row>
    <row r="590" spans="2:85" x14ac:dyDescent="0.3">
      <c r="B590" s="56"/>
      <c r="D590" s="56"/>
      <c r="H590" s="56"/>
      <c r="N590" s="231"/>
      <c r="W590" s="56"/>
      <c r="AA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56"/>
      <c r="AU590" t="s">
        <v>161</v>
      </c>
      <c r="BC590" s="1"/>
      <c r="BE590" s="59"/>
      <c r="BH590" s="96"/>
      <c r="BI590" s="96"/>
      <c r="BJ590" s="96"/>
      <c r="BK590" s="493"/>
      <c r="BL590" s="96"/>
      <c r="BM590" s="96"/>
      <c r="BN590" s="96"/>
      <c r="BO590" s="96"/>
      <c r="BP590" s="96"/>
      <c r="BQ590" s="96"/>
      <c r="BR590" s="78"/>
      <c r="BS590" s="1"/>
      <c r="BT590" s="1"/>
    </row>
    <row r="591" spans="2:85" x14ac:dyDescent="0.3">
      <c r="D591" s="1"/>
      <c r="E591" s="111" t="s">
        <v>26</v>
      </c>
      <c r="F591" s="112"/>
      <c r="H591" s="112" t="s">
        <v>59</v>
      </c>
      <c r="I591" s="104"/>
      <c r="J591" s="104"/>
      <c r="K591" s="61"/>
      <c r="L591" s="10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BC591" s="56"/>
      <c r="BE591" s="59"/>
      <c r="BH591" s="96"/>
      <c r="BI591" s="96"/>
      <c r="BJ591" s="96"/>
      <c r="BK591" s="493">
        <f>+BK194-BK586</f>
        <v>-6902135</v>
      </c>
      <c r="BL591" s="96"/>
      <c r="BM591" s="96"/>
      <c r="BN591" s="96"/>
      <c r="BO591" s="96"/>
      <c r="BP591" s="96"/>
      <c r="BQ591" s="96"/>
      <c r="BR591" s="78"/>
      <c r="BS591" s="1"/>
      <c r="BT591" s="1"/>
    </row>
    <row r="592" spans="2:85" x14ac:dyDescent="0.3">
      <c r="B592" s="56"/>
      <c r="D592" s="1"/>
      <c r="E592" s="111" t="s">
        <v>38</v>
      </c>
      <c r="F592" s="112"/>
      <c r="H592" s="112" t="s">
        <v>40</v>
      </c>
      <c r="I592" s="10"/>
      <c r="J592" s="10"/>
      <c r="K592" s="61"/>
      <c r="L592" s="10"/>
      <c r="AD592" s="1"/>
      <c r="AE592" s="1"/>
      <c r="AF592" s="1"/>
      <c r="AG592" s="1"/>
      <c r="AH592" s="1"/>
      <c r="AI592" s="1">
        <f>SUM(W213:W243)</f>
        <v>25465</v>
      </c>
      <c r="AJ592" s="1"/>
      <c r="AK592" s="1"/>
      <c r="AL592" s="1" t="s">
        <v>17</v>
      </c>
      <c r="AM592" s="1"/>
      <c r="AN592" s="1"/>
      <c r="AO592" s="1"/>
      <c r="BC592" s="56"/>
      <c r="BE592" s="59"/>
      <c r="BH592" s="97"/>
      <c r="BI592" s="97"/>
      <c r="BJ592" s="97"/>
      <c r="BK592" s="493">
        <f>+BK187-BK586</f>
        <v>-7736663</v>
      </c>
      <c r="BL592" s="97"/>
      <c r="BM592" s="97"/>
      <c r="BN592" s="97"/>
      <c r="BO592" s="97"/>
      <c r="BP592" s="97"/>
      <c r="BQ592" s="97"/>
      <c r="BR592" s="78"/>
      <c r="BS592" s="1"/>
      <c r="BT592" s="1"/>
    </row>
    <row r="593" spans="2:72" x14ac:dyDescent="0.3">
      <c r="B593" s="231"/>
      <c r="D593" s="1"/>
      <c r="E593" s="111" t="s">
        <v>45</v>
      </c>
      <c r="F593" s="112"/>
      <c r="H593" s="112" t="s">
        <v>55</v>
      </c>
      <c r="I593" s="10"/>
      <c r="J593" s="10"/>
      <c r="K593" s="61"/>
      <c r="L593" s="10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BC593" s="56"/>
      <c r="BE593" s="59"/>
      <c r="BH593" s="97"/>
      <c r="BI593" s="97"/>
      <c r="BJ593" s="97"/>
      <c r="BK593" s="493"/>
      <c r="BL593" s="97"/>
      <c r="BM593" s="97"/>
      <c r="BN593" s="97"/>
      <c r="BO593" s="97"/>
      <c r="BP593" s="97"/>
      <c r="BQ593" s="97"/>
      <c r="BR593" s="78"/>
      <c r="BS593" s="1"/>
      <c r="BT593" s="1"/>
    </row>
    <row r="594" spans="2:72" x14ac:dyDescent="0.3">
      <c r="D594" s="1"/>
      <c r="E594" s="111" t="s">
        <v>60</v>
      </c>
      <c r="F594" s="61"/>
      <c r="H594" s="81" t="s">
        <v>135</v>
      </c>
      <c r="I594" s="61"/>
      <c r="J594" s="61"/>
      <c r="K594" s="61"/>
      <c r="L594" s="6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BH594" s="97"/>
      <c r="BI594" s="97"/>
      <c r="BJ594" s="97"/>
      <c r="BK594" s="496"/>
      <c r="BL594" s="97"/>
      <c r="BM594" s="97"/>
      <c r="BN594" s="97"/>
      <c r="BO594" s="97"/>
      <c r="BP594" s="97"/>
      <c r="BQ594" s="97"/>
      <c r="BR594" s="78"/>
      <c r="BS594" s="1"/>
      <c r="BT594" s="1"/>
    </row>
    <row r="595" spans="2:72" x14ac:dyDescent="0.3">
      <c r="E595" s="111" t="s">
        <v>136</v>
      </c>
      <c r="H595" s="81" t="s">
        <v>137</v>
      </c>
      <c r="AD595" s="1"/>
      <c r="AE595" s="1"/>
      <c r="AF595" s="1"/>
      <c r="AG595" s="1"/>
      <c r="AH595" s="1"/>
      <c r="AI595" s="1"/>
      <c r="BD595" s="78"/>
      <c r="BE595" s="78"/>
      <c r="BF595" s="78"/>
      <c r="BG595" s="78"/>
      <c r="BH595" s="78"/>
      <c r="BI595" s="78"/>
      <c r="BJ595" s="78"/>
      <c r="BK595" s="494"/>
      <c r="BL595" s="78"/>
      <c r="BM595" s="78"/>
      <c r="BN595" s="78"/>
      <c r="BO595" s="78"/>
      <c r="BP595" s="78"/>
      <c r="BQ595" s="78"/>
      <c r="BR595" s="78"/>
      <c r="BS595" s="1"/>
      <c r="BT595" s="1"/>
    </row>
    <row r="596" spans="2:72" x14ac:dyDescent="0.3">
      <c r="B596" s="56"/>
      <c r="AD596" s="1"/>
      <c r="AE596" s="1"/>
      <c r="AF596" s="1"/>
      <c r="AG596" s="1"/>
      <c r="AH596" s="1"/>
      <c r="AI596" s="1"/>
      <c r="BA596" s="545">
        <v>157602857</v>
      </c>
      <c r="BK596" s="495"/>
    </row>
    <row r="597" spans="2:72" ht="15" thickBot="1" x14ac:dyDescent="0.35">
      <c r="D597" s="56">
        <f>SUM(D363:D369)</f>
        <v>378583</v>
      </c>
      <c r="AD597" s="1"/>
      <c r="AE597" s="507"/>
      <c r="AF597" s="547"/>
      <c r="AG597" s="507"/>
      <c r="AH597" s="507"/>
      <c r="AI597" s="507"/>
      <c r="AJ597" s="500"/>
      <c r="AK597" s="500"/>
      <c r="AL597" s="500"/>
      <c r="AM597" s="500"/>
      <c r="AN597" s="500"/>
      <c r="AO597" s="500"/>
      <c r="AP597" s="500"/>
      <c r="AQ597" s="500"/>
      <c r="AR597" s="500"/>
      <c r="AS597" s="500"/>
      <c r="AT597" s="500"/>
      <c r="AU597" s="500"/>
      <c r="AV597" s="500"/>
      <c r="AW597" s="500"/>
      <c r="AX597" s="500"/>
      <c r="AZ597" s="106"/>
      <c r="BA597" s="106"/>
      <c r="BB597" s="106"/>
      <c r="BC597" s="106"/>
      <c r="BK597" s="1"/>
    </row>
    <row r="598" spans="2:72" x14ac:dyDescent="0.3">
      <c r="D598" s="531">
        <f>SUM(D356:D362)</f>
        <v>417052</v>
      </c>
      <c r="J598" s="486"/>
      <c r="V598" s="106"/>
      <c r="AA598" s="56"/>
      <c r="AD598" s="1"/>
      <c r="AE598" s="507"/>
      <c r="AF598" s="546"/>
      <c r="AG598" s="1"/>
      <c r="AH598" s="1"/>
      <c r="AI598" s="485"/>
      <c r="AJ598" s="464"/>
      <c r="AK598" s="465"/>
      <c r="AL598" s="465"/>
      <c r="AM598" s="465"/>
      <c r="AN598" s="465"/>
      <c r="AO598" s="465"/>
      <c r="AP598" s="465"/>
      <c r="AQ598" s="465"/>
      <c r="AR598" s="465"/>
      <c r="AS598" s="465"/>
      <c r="AT598" s="465"/>
      <c r="AU598" s="465"/>
      <c r="AV598" s="465"/>
      <c r="AW598" s="466"/>
      <c r="AX598" s="500"/>
      <c r="AZ598" s="106"/>
      <c r="BA598" s="77"/>
      <c r="BB598" s="106"/>
      <c r="BC598" s="106"/>
      <c r="BK598" s="56"/>
    </row>
    <row r="599" spans="2:72" x14ac:dyDescent="0.3">
      <c r="D599" s="1"/>
      <c r="J599" s="214"/>
      <c r="AD599" s="1"/>
      <c r="AE599" s="507"/>
      <c r="AF599" s="546"/>
      <c r="AG599" s="1"/>
      <c r="AH599" s="1"/>
      <c r="AI599" s="485"/>
      <c r="AJ599" s="467"/>
      <c r="AK599" s="607" t="s">
        <v>142</v>
      </c>
      <c r="AL599" s="607"/>
      <c r="AM599" s="607"/>
      <c r="AN599" s="607"/>
      <c r="AO599" s="607"/>
      <c r="AP599" s="607"/>
      <c r="AQ599" s="607"/>
      <c r="AR599" s="607"/>
      <c r="AS599" s="607"/>
      <c r="AT599" s="607"/>
      <c r="AU599" s="607"/>
      <c r="AV599" s="607"/>
      <c r="AW599" s="468"/>
      <c r="AX599" s="500"/>
      <c r="AZ599" s="106"/>
      <c r="BA599" s="106"/>
      <c r="BB599" s="106"/>
      <c r="BC599" s="106"/>
    </row>
    <row r="600" spans="2:72" ht="15.6" x14ac:dyDescent="0.3">
      <c r="D600" s="1">
        <v>331000000</v>
      </c>
      <c r="H600" s="235">
        <f>+H269/D600</f>
        <v>4.5635842900302113E-2</v>
      </c>
      <c r="J600" s="57"/>
      <c r="AD600" s="1"/>
      <c r="AE600" s="507"/>
      <c r="AF600" s="546"/>
      <c r="AG600" s="1"/>
      <c r="AH600" s="1"/>
      <c r="AI600" s="485"/>
      <c r="AJ600" s="467"/>
      <c r="AK600" s="607" t="s">
        <v>141</v>
      </c>
      <c r="AL600" s="607"/>
      <c r="AM600" s="607"/>
      <c r="AN600" s="607"/>
      <c r="AO600" s="473"/>
      <c r="AP600" s="474" t="s">
        <v>20</v>
      </c>
      <c r="AQ600" s="473"/>
      <c r="AR600" s="474" t="s">
        <v>4</v>
      </c>
      <c r="AS600" s="475"/>
      <c r="AT600" s="475"/>
      <c r="AU600" s="475"/>
      <c r="AV600" s="479" t="s">
        <v>10</v>
      </c>
      <c r="AW600" s="468"/>
      <c r="AX600" s="500"/>
      <c r="AZ600" s="106"/>
      <c r="BA600" s="106"/>
      <c r="BB600" s="106"/>
      <c r="BC600" s="106"/>
    </row>
    <row r="601" spans="2:72" ht="15.6" x14ac:dyDescent="0.3">
      <c r="H601" s="235">
        <f>+AA269/H269</f>
        <v>1.9000541790705667E-2</v>
      </c>
      <c r="AD601" s="1"/>
      <c r="AE601" s="507"/>
      <c r="AF601" s="546"/>
      <c r="AG601" s="1"/>
      <c r="AH601" s="1"/>
      <c r="AI601" s="485"/>
      <c r="AJ601" s="467"/>
      <c r="AK601" s="622" t="s">
        <v>138</v>
      </c>
      <c r="AL601" s="622"/>
      <c r="AM601" s="622"/>
      <c r="AN601" s="622"/>
      <c r="AO601" s="473"/>
      <c r="AP601" s="476">
        <f>+AH50</f>
        <v>898992</v>
      </c>
      <c r="AQ601" s="477"/>
      <c r="AR601" s="476">
        <f>+AH51</f>
        <v>55687</v>
      </c>
      <c r="AS601" s="478"/>
      <c r="AT601" s="478"/>
      <c r="AU601" s="478"/>
      <c r="AV601" s="491">
        <f t="shared" ref="AV601:AV607" si="1175">+AR601/AP601</f>
        <v>6.194382152455194E-2</v>
      </c>
      <c r="AW601" s="468"/>
      <c r="AX601" s="500"/>
      <c r="AZ601" s="106"/>
      <c r="BA601" s="77"/>
      <c r="BB601" s="106"/>
      <c r="BC601" s="106"/>
    </row>
    <row r="602" spans="2:72" ht="15.6" x14ac:dyDescent="0.3">
      <c r="D602" s="235"/>
      <c r="AD602" s="1"/>
      <c r="AE602" s="507"/>
      <c r="AF602" s="546"/>
      <c r="AG602" s="1"/>
      <c r="AH602" s="1"/>
      <c r="AI602" s="485"/>
      <c r="AJ602" s="467"/>
      <c r="AK602" s="623" t="s">
        <v>139</v>
      </c>
      <c r="AL602" s="624"/>
      <c r="AM602" s="624"/>
      <c r="AN602" s="624"/>
      <c r="AO602" s="64"/>
      <c r="AP602" s="469">
        <f>+AG83</f>
        <v>742147</v>
      </c>
      <c r="AQ602" s="64"/>
      <c r="AR602" s="469">
        <f>+AG84</f>
        <v>42339</v>
      </c>
      <c r="AS602" s="64"/>
      <c r="AT602" s="64"/>
      <c r="AU602" s="64"/>
      <c r="AV602" s="489">
        <f t="shared" si="1175"/>
        <v>5.7049344671608188E-2</v>
      </c>
      <c r="AW602" s="468"/>
      <c r="AX602" s="500"/>
      <c r="AZ602" s="106"/>
      <c r="BA602" s="77"/>
      <c r="BB602" s="106"/>
      <c r="BC602" s="106"/>
    </row>
    <row r="603" spans="2:72" ht="15.6" x14ac:dyDescent="0.3">
      <c r="AD603" s="1"/>
      <c r="AE603" s="507"/>
      <c r="AF603" s="546"/>
      <c r="AG603" s="1"/>
      <c r="AH603" s="1"/>
      <c r="AI603" s="485"/>
      <c r="AJ603" s="467"/>
      <c r="AK603" s="624" t="s">
        <v>140</v>
      </c>
      <c r="AL603" s="624"/>
      <c r="AM603" s="624"/>
      <c r="AN603" s="624"/>
      <c r="AO603" s="64"/>
      <c r="AP603" s="469">
        <f>+AH113</f>
        <v>869627</v>
      </c>
      <c r="AQ603" s="64"/>
      <c r="AR603" s="469">
        <f>+AH114</f>
        <v>21252</v>
      </c>
      <c r="AS603" s="64"/>
      <c r="AT603" s="64"/>
      <c r="AU603" s="64"/>
      <c r="AV603" s="489">
        <f t="shared" si="1175"/>
        <v>2.4438063675575852E-2</v>
      </c>
      <c r="AW603" s="468"/>
      <c r="AX603" s="500"/>
      <c r="AZ603" s="106"/>
      <c r="BA603" s="106"/>
      <c r="BB603" s="106"/>
      <c r="BC603" s="106"/>
    </row>
    <row r="604" spans="2:72" ht="15.6" x14ac:dyDescent="0.3">
      <c r="D604" s="428"/>
      <c r="AD604" s="1"/>
      <c r="AE604" s="507"/>
      <c r="AF604" s="546"/>
      <c r="AG604" s="1"/>
      <c r="AH604" s="1"/>
      <c r="AI604" s="485"/>
      <c r="AJ604" s="467"/>
      <c r="AK604" s="624" t="s">
        <v>143</v>
      </c>
      <c r="AL604" s="624"/>
      <c r="AM604" s="624"/>
      <c r="AN604" s="624"/>
      <c r="AO604" s="64"/>
      <c r="AP604" s="469">
        <f>+AG610</f>
        <v>1970617</v>
      </c>
      <c r="AQ604" s="64"/>
      <c r="AR604" s="469">
        <f>+AG612</f>
        <v>25901</v>
      </c>
      <c r="AS604" s="64"/>
      <c r="AT604" s="64"/>
      <c r="AU604" s="64"/>
      <c r="AV604" s="489">
        <f t="shared" si="1175"/>
        <v>1.3143599187462607E-2</v>
      </c>
      <c r="AW604" s="468"/>
      <c r="AX604" s="500"/>
    </row>
    <row r="605" spans="2:72" ht="15.6" x14ac:dyDescent="0.3">
      <c r="D605" s="428"/>
      <c r="AD605" s="1"/>
      <c r="AE605" s="507"/>
      <c r="AF605" s="546"/>
      <c r="AG605" s="1"/>
      <c r="AH605" s="1"/>
      <c r="AI605" s="485"/>
      <c r="AJ605" s="467"/>
      <c r="AK605" s="543"/>
      <c r="AL605" s="543" t="s">
        <v>151</v>
      </c>
      <c r="AM605" s="543"/>
      <c r="AN605" s="543"/>
      <c r="AO605" s="64"/>
      <c r="AP605" s="469">
        <f>SUM(D144:D174)</f>
        <v>1493931</v>
      </c>
      <c r="AQ605" s="64"/>
      <c r="AR605" s="469">
        <f>SUM(W144:W174)</f>
        <v>30354</v>
      </c>
      <c r="AS605" s="64"/>
      <c r="AT605" s="64"/>
      <c r="AU605" s="64"/>
      <c r="AV605" s="489">
        <f t="shared" si="1175"/>
        <v>2.0318207467413155E-2</v>
      </c>
      <c r="AW605" s="468"/>
      <c r="AX605" s="500"/>
    </row>
    <row r="606" spans="2:72" ht="15.6" x14ac:dyDescent="0.3">
      <c r="D606" s="428"/>
      <c r="AD606" s="1"/>
      <c r="AE606" s="507"/>
      <c r="AF606" s="546"/>
      <c r="AG606" s="1"/>
      <c r="AH606" s="1"/>
      <c r="AI606" s="485"/>
      <c r="AJ606" s="467"/>
      <c r="AK606" s="543"/>
      <c r="AL606" s="543" t="s">
        <v>152</v>
      </c>
      <c r="AM606" s="543"/>
      <c r="AN606" s="543"/>
      <c r="AO606" s="64"/>
      <c r="AP606" s="469">
        <f>SUM(D175:D204)</f>
        <v>1202331</v>
      </c>
      <c r="AQ606" s="64"/>
      <c r="AR606" s="544">
        <f>SUM(W175:W204)</f>
        <v>24042</v>
      </c>
      <c r="AS606" s="64"/>
      <c r="AT606" s="64"/>
      <c r="AU606" s="64"/>
      <c r="AV606" s="489">
        <f t="shared" si="1175"/>
        <v>1.9996157464125936E-2</v>
      </c>
      <c r="AW606" s="468"/>
      <c r="AX606" s="500"/>
    </row>
    <row r="607" spans="2:72" ht="15.6" x14ac:dyDescent="0.3">
      <c r="D607" s="428"/>
      <c r="AD607" s="1"/>
      <c r="AE607" s="507"/>
      <c r="AF607" s="546"/>
      <c r="AG607" s="1"/>
      <c r="AH607" s="1"/>
      <c r="AI607" s="485"/>
      <c r="AJ607" s="467"/>
      <c r="AK607" s="543"/>
      <c r="AL607" s="543" t="s">
        <v>153</v>
      </c>
      <c r="AM607" s="543"/>
      <c r="AN607" s="543"/>
      <c r="AO607" s="64"/>
      <c r="AP607" s="469">
        <f>SUM(D205:D230)</f>
        <v>1470960</v>
      </c>
      <c r="AQ607" s="64"/>
      <c r="AR607" s="469">
        <f>SUM(W205:W235)</f>
        <v>24156</v>
      </c>
      <c r="AS607" s="64"/>
      <c r="AT607" s="64"/>
      <c r="AU607" s="64"/>
      <c r="AV607" s="489">
        <f t="shared" si="1175"/>
        <v>1.6421928536465982E-2</v>
      </c>
      <c r="AW607" s="468"/>
      <c r="AX607" s="500"/>
      <c r="BA607" s="486">
        <f>+AV601-AV607</f>
        <v>4.5521892988085955E-2</v>
      </c>
    </row>
    <row r="608" spans="2:72" ht="15" thickBot="1" x14ac:dyDescent="0.35">
      <c r="B608" s="427"/>
      <c r="D608" s="235"/>
      <c r="AD608" s="1"/>
      <c r="AE608" s="507"/>
      <c r="AF608" s="546"/>
      <c r="AG608" s="1"/>
      <c r="AH608" s="1"/>
      <c r="AI608" s="485"/>
      <c r="AJ608" s="467"/>
      <c r="AK608" s="480"/>
      <c r="AL608" s="480"/>
      <c r="AM608" s="480"/>
      <c r="AN608" s="480"/>
      <c r="AO608" s="481"/>
      <c r="AP608" s="482"/>
      <c r="AQ608" s="481"/>
      <c r="AR608" s="482"/>
      <c r="AS608" s="481"/>
      <c r="AT608" s="481"/>
      <c r="AU608" s="481"/>
      <c r="AV608" s="483"/>
      <c r="AW608" s="468"/>
      <c r="AX608" s="500"/>
      <c r="BA608">
        <f>+BA607/AV601</f>
        <v>0.73488996751747038</v>
      </c>
    </row>
    <row r="609" spans="2:87" ht="15.6" x14ac:dyDescent="0.3">
      <c r="B609" s="427"/>
      <c r="D609" s="235"/>
      <c r="AD609" s="1"/>
      <c r="AE609" s="507"/>
      <c r="AF609" s="546"/>
      <c r="AG609" s="1"/>
      <c r="AH609" s="1"/>
      <c r="AI609" s="485"/>
      <c r="AJ609" s="467"/>
      <c r="AK609" s="622" t="s">
        <v>138</v>
      </c>
      <c r="AL609" s="622"/>
      <c r="AM609" s="622"/>
      <c r="AN609" s="622"/>
      <c r="AO609" s="64"/>
      <c r="AP609" s="469"/>
      <c r="AQ609" s="64"/>
      <c r="AR609" s="469">
        <f>+AR601</f>
        <v>55687</v>
      </c>
      <c r="AS609" s="64"/>
      <c r="AT609" s="64"/>
      <c r="AU609" s="64"/>
      <c r="AV609" s="144"/>
      <c r="AW609" s="468"/>
      <c r="AX609" s="500"/>
    </row>
    <row r="610" spans="2:87" ht="15.6" x14ac:dyDescent="0.3">
      <c r="B610" s="427"/>
      <c r="D610" s="235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10"/>
      <c r="AE610" s="507"/>
      <c r="AF610" s="546"/>
      <c r="AG610" s="33">
        <f>SUM(D113:D143)</f>
        <v>1970617</v>
      </c>
      <c r="AH610" s="1"/>
      <c r="AI610" s="485"/>
      <c r="AJ610" s="467"/>
      <c r="AK610" s="608" t="s">
        <v>153</v>
      </c>
      <c r="AL610" s="608"/>
      <c r="AM610" s="608"/>
      <c r="AN610" s="608"/>
      <c r="AO610" s="64"/>
      <c r="AP610" s="469"/>
      <c r="AQ610" s="64"/>
      <c r="AR610" s="469">
        <f>+AR607</f>
        <v>24156</v>
      </c>
      <c r="AS610" s="64"/>
      <c r="AT610" s="64"/>
      <c r="AU610" s="64"/>
      <c r="AV610" s="144"/>
      <c r="AW610" s="468"/>
      <c r="AX610" s="500"/>
    </row>
    <row r="611" spans="2:87" ht="15.6" x14ac:dyDescent="0.3">
      <c r="B611" s="427"/>
      <c r="D611" s="235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10"/>
      <c r="AE611" s="507"/>
      <c r="AF611" s="546"/>
      <c r="AG611" s="33">
        <f>SUM(W125:W138)</f>
        <v>12117</v>
      </c>
      <c r="AH611" s="1"/>
      <c r="AI611" s="485"/>
      <c r="AJ611" s="467"/>
      <c r="AK611" s="63"/>
      <c r="AL611" s="497" t="s">
        <v>3</v>
      </c>
      <c r="AM611" s="63"/>
      <c r="AN611" s="63"/>
      <c r="AO611" s="64"/>
      <c r="AP611" s="469"/>
      <c r="AQ611" s="64"/>
      <c r="AR611" s="469">
        <f>+AR609-AR610</f>
        <v>31531</v>
      </c>
      <c r="AS611" s="64"/>
      <c r="AT611" s="64"/>
      <c r="AU611" s="64"/>
      <c r="AV611" s="484">
        <f>+AR611/AR609</f>
        <v>0.5662183274372834</v>
      </c>
      <c r="AW611" s="468"/>
      <c r="AX611" s="500"/>
    </row>
    <row r="612" spans="2:87" ht="15" thickBot="1" x14ac:dyDescent="0.35">
      <c r="D612" s="427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10"/>
      <c r="AE612" s="507"/>
      <c r="AF612" s="548"/>
      <c r="AG612" s="33">
        <f>SUM(W113:W143)</f>
        <v>25901</v>
      </c>
      <c r="AH612" s="1"/>
      <c r="AI612" s="485"/>
      <c r="AJ612" s="470"/>
      <c r="AK612" s="471"/>
      <c r="AL612" s="471"/>
      <c r="AM612" s="471"/>
      <c r="AN612" s="471"/>
      <c r="AO612" s="471"/>
      <c r="AP612" s="471"/>
      <c r="AQ612" s="471"/>
      <c r="AR612" s="471"/>
      <c r="AS612" s="471"/>
      <c r="AT612" s="471"/>
      <c r="AU612" s="471"/>
      <c r="AV612" s="471"/>
      <c r="AW612" s="472"/>
      <c r="AX612" s="500"/>
      <c r="BD612" s="78"/>
      <c r="BE612" s="78"/>
      <c r="BF612" s="78"/>
      <c r="BG612" s="78"/>
      <c r="BH612" s="78"/>
      <c r="BI612" s="78"/>
      <c r="BJ612" s="78"/>
      <c r="BK612" s="78"/>
      <c r="BL612" s="78"/>
      <c r="BM612" s="78"/>
      <c r="BN612" s="78"/>
      <c r="BO612" s="78"/>
      <c r="BP612" s="78"/>
      <c r="BQ612" s="78"/>
      <c r="BR612" s="78"/>
      <c r="BS612" s="1"/>
      <c r="BT612" s="1"/>
      <c r="BU612" s="1"/>
      <c r="BV612" s="1"/>
      <c r="BW612" s="78"/>
      <c r="BX612" s="78"/>
      <c r="BY612" s="78"/>
      <c r="BZ612" s="78"/>
      <c r="CA612" s="78"/>
      <c r="CB612" s="78"/>
      <c r="CC612" s="78"/>
      <c r="CD612" s="78"/>
      <c r="CE612" s="78"/>
      <c r="CF612" s="78"/>
      <c r="CG612" s="78"/>
      <c r="CH612" s="78"/>
      <c r="CI612" s="78"/>
    </row>
    <row r="613" spans="2:87" x14ac:dyDescent="0.3"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10"/>
      <c r="AE613" s="507"/>
      <c r="AF613" s="507"/>
      <c r="AG613" s="507"/>
      <c r="AH613" s="507"/>
      <c r="AI613" s="507"/>
      <c r="AJ613" s="500"/>
      <c r="AK613" s="500"/>
      <c r="AL613" s="500"/>
      <c r="AM613" s="500"/>
      <c r="AN613" s="500"/>
      <c r="AO613" s="500"/>
      <c r="AP613" s="500"/>
      <c r="AQ613" s="500"/>
      <c r="AR613" s="500"/>
      <c r="AS613" s="500"/>
      <c r="AT613" s="500"/>
      <c r="AU613" s="500"/>
      <c r="AV613" s="500"/>
      <c r="AW613" s="500"/>
      <c r="AX613" s="500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77"/>
      <c r="BX613" s="77"/>
      <c r="BY613" s="77"/>
      <c r="BZ613" s="77"/>
      <c r="CA613" s="109"/>
      <c r="CB613" s="1"/>
      <c r="CC613" s="1"/>
      <c r="CD613" s="1"/>
      <c r="CE613" s="1"/>
      <c r="CF613" s="1"/>
      <c r="CG613" s="1"/>
      <c r="CH613" s="1"/>
      <c r="CI613" s="1"/>
    </row>
    <row r="614" spans="2:87" x14ac:dyDescent="0.3">
      <c r="D614">
        <v>10</v>
      </c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10"/>
      <c r="AE614" s="10"/>
      <c r="AF614" s="10"/>
      <c r="AG614" s="10"/>
      <c r="AH614" s="10"/>
      <c r="AI614" s="10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77"/>
      <c r="BX614" s="77"/>
      <c r="BY614" s="77"/>
      <c r="BZ614" s="77"/>
      <c r="CA614" s="77"/>
      <c r="CB614" s="1"/>
      <c r="CC614" s="1"/>
      <c r="CD614" s="1"/>
      <c r="CE614" s="1"/>
      <c r="CF614" s="1"/>
      <c r="CG614" s="1"/>
      <c r="CH614" s="1"/>
      <c r="CI614" s="1"/>
    </row>
    <row r="615" spans="2:87" x14ac:dyDescent="0.3">
      <c r="D615" s="1">
        <v>77000000</v>
      </c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10"/>
      <c r="AE615" s="10"/>
      <c r="AF615" s="10"/>
      <c r="AG615" s="10"/>
      <c r="AH615" s="10"/>
      <c r="AI615" s="10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77"/>
      <c r="BX615" s="77"/>
      <c r="BY615" s="77"/>
      <c r="BZ615" s="77"/>
      <c r="CA615" s="77"/>
      <c r="CB615" s="1"/>
      <c r="CC615" s="1"/>
      <c r="CD615" s="1"/>
      <c r="CE615" s="1"/>
      <c r="CF615" s="1"/>
      <c r="CG615" s="1"/>
    </row>
    <row r="616" spans="2:87" x14ac:dyDescent="0.3">
      <c r="D616" s="57">
        <f>+D615/D618</f>
        <v>0.23262839879154079</v>
      </c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10"/>
      <c r="AE616" s="10"/>
      <c r="AF616" s="10"/>
      <c r="AG616" s="501"/>
      <c r="AH616" s="10"/>
      <c r="AI616" s="10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77"/>
      <c r="BX616" s="77"/>
      <c r="BY616" s="77"/>
      <c r="BZ616" s="77"/>
      <c r="CA616" s="77"/>
      <c r="CB616" s="1"/>
      <c r="CC616" s="1"/>
      <c r="CD616" s="1"/>
      <c r="CE616" s="1"/>
      <c r="CF616" s="1"/>
      <c r="CG616" s="1"/>
    </row>
    <row r="617" spans="2:87" x14ac:dyDescent="0.3"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10"/>
      <c r="AE617" s="10"/>
      <c r="AF617" s="507"/>
      <c r="AG617" s="526"/>
      <c r="AH617" s="507"/>
      <c r="AI617" s="507"/>
      <c r="AJ617" s="500"/>
      <c r="AK617" s="500"/>
      <c r="AL617" s="500"/>
      <c r="AM617" s="500"/>
      <c r="AN617" s="500"/>
      <c r="AO617" s="500"/>
      <c r="AP617" s="500"/>
      <c r="AQ617" s="500"/>
      <c r="AR617" s="500"/>
      <c r="AS617" s="500"/>
      <c r="AT617" s="500"/>
      <c r="AU617" s="500"/>
      <c r="AV617" s="500"/>
      <c r="AW617" s="500"/>
      <c r="AX617" s="500"/>
      <c r="AY617" s="500"/>
      <c r="AZ617" s="500"/>
      <c r="BA617" s="500"/>
      <c r="BB617" s="500"/>
      <c r="BC617" s="500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77"/>
      <c r="BX617" s="77"/>
      <c r="BY617" s="110"/>
      <c r="BZ617" s="77"/>
      <c r="CA617" s="77"/>
    </row>
    <row r="618" spans="2:87" x14ac:dyDescent="0.3">
      <c r="D618" s="1">
        <v>331000000</v>
      </c>
      <c r="H618">
        <v>0.13400000000000001</v>
      </c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10"/>
      <c r="AE618" s="10"/>
      <c r="AF618" s="507"/>
      <c r="AG618" s="527"/>
      <c r="AH618" s="507"/>
      <c r="AI618" s="507"/>
      <c r="AJ618" s="524"/>
      <c r="AK618" s="524"/>
      <c r="AL618" s="525"/>
      <c r="AM618" s="525"/>
      <c r="AN618" s="525"/>
      <c r="AO618" s="525"/>
      <c r="AP618" s="525"/>
      <c r="AQ618" s="525"/>
      <c r="AR618" s="525"/>
      <c r="AS618" s="525"/>
      <c r="AT618" s="525"/>
      <c r="AU618" s="525"/>
      <c r="AV618" s="525"/>
      <c r="AW618" s="525"/>
      <c r="AX618" s="525"/>
      <c r="AY618" s="525"/>
      <c r="AZ618" s="525"/>
      <c r="BA618" s="525"/>
      <c r="BB618" s="524"/>
      <c r="BC618" s="524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77"/>
      <c r="BX618" s="77"/>
      <c r="BY618" s="77"/>
      <c r="BZ618" s="77"/>
      <c r="CA618" s="77"/>
    </row>
    <row r="619" spans="2:87" x14ac:dyDescent="0.3">
      <c r="D619" s="1">
        <f>+D618*H618</f>
        <v>44354000</v>
      </c>
      <c r="H619" s="1">
        <f>+D619*0.001</f>
        <v>44354</v>
      </c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10"/>
      <c r="AE619" s="10"/>
      <c r="AF619" s="507"/>
      <c r="AG619" s="526"/>
      <c r="AH619" s="507"/>
      <c r="AI619" s="507"/>
      <c r="AJ619" s="524"/>
      <c r="AK619" s="524"/>
      <c r="AL619" s="138"/>
      <c r="AM619" s="138"/>
      <c r="AN619" s="138"/>
      <c r="AO619" s="138"/>
      <c r="AP619" s="138"/>
      <c r="AQ619" s="138"/>
      <c r="AR619" s="138"/>
      <c r="AS619" s="78"/>
      <c r="AT619" s="78"/>
      <c r="AU619" s="78"/>
      <c r="AV619" s="98"/>
      <c r="AW619" s="98"/>
      <c r="AX619" s="98"/>
      <c r="AY619" s="98"/>
      <c r="AZ619" s="524"/>
      <c r="BA619" s="524"/>
      <c r="BB619" s="530"/>
      <c r="BC619" s="524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77"/>
      <c r="BX619" s="77"/>
      <c r="BY619" s="77"/>
      <c r="BZ619" s="77"/>
      <c r="CA619" s="77"/>
    </row>
    <row r="620" spans="2:87" x14ac:dyDescent="0.3">
      <c r="D620" s="425">
        <v>7.1999999999999995E-2</v>
      </c>
      <c r="H620" s="1">
        <f>+AA204*H618</f>
        <v>28746.886000000002</v>
      </c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10"/>
      <c r="AE620" s="10"/>
      <c r="AF620" s="507"/>
      <c r="AG620" s="526">
        <v>44031</v>
      </c>
      <c r="AH620" s="507"/>
      <c r="AI620" s="507"/>
      <c r="AJ620" s="524"/>
      <c r="AK620" s="524"/>
      <c r="AL620" s="138"/>
      <c r="AM620" s="138"/>
      <c r="AN620" s="138"/>
      <c r="AO620" s="138"/>
      <c r="AP620" s="138"/>
      <c r="AQ620" s="138"/>
      <c r="AR620" s="138"/>
      <c r="AS620" s="138"/>
      <c r="AT620" s="98"/>
      <c r="AU620" s="78"/>
      <c r="AV620" s="98"/>
      <c r="AW620" s="98"/>
      <c r="AX620" s="98"/>
      <c r="AY620" s="98"/>
      <c r="AZ620" s="524"/>
      <c r="BA620" s="524"/>
      <c r="BB620" s="530"/>
      <c r="BC620" s="524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77"/>
      <c r="BX620" s="77"/>
      <c r="BY620" s="77"/>
      <c r="BZ620" s="77"/>
      <c r="CA620" s="77"/>
    </row>
    <row r="621" spans="2:87" x14ac:dyDescent="0.3"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10"/>
      <c r="AE621" s="10"/>
      <c r="AF621" s="507"/>
      <c r="AG621" s="526">
        <v>44038</v>
      </c>
      <c r="AH621" s="507"/>
      <c r="AI621" s="507"/>
      <c r="AJ621" s="524"/>
      <c r="AK621" s="524"/>
      <c r="AL621" s="78"/>
      <c r="AM621" s="78"/>
      <c r="AN621" s="139"/>
      <c r="AO621" s="139"/>
      <c r="AP621" s="139"/>
      <c r="AQ621" s="139"/>
      <c r="AR621" s="139"/>
      <c r="AS621" s="78"/>
      <c r="AT621" s="78"/>
      <c r="AU621" s="78"/>
      <c r="AV621" s="98"/>
      <c r="AW621" s="98"/>
      <c r="AX621" s="98"/>
      <c r="AY621" s="98"/>
      <c r="AZ621" s="524"/>
      <c r="BA621" s="524"/>
      <c r="BB621" s="530"/>
      <c r="BC621" s="524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77"/>
      <c r="BX621" s="77"/>
      <c r="BY621" s="77"/>
      <c r="BZ621" s="77"/>
      <c r="CA621" s="77"/>
    </row>
    <row r="622" spans="2:87" x14ac:dyDescent="0.3">
      <c r="D622" s="235">
        <v>4.2000000000000003E-2</v>
      </c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10"/>
      <c r="AE622" s="10"/>
      <c r="AF622" s="507"/>
      <c r="AG622" s="526">
        <v>44045</v>
      </c>
      <c r="AH622" s="507"/>
      <c r="AI622" s="507"/>
      <c r="AJ622" s="524"/>
      <c r="AK622" s="524"/>
      <c r="AL622" s="138"/>
      <c r="AM622" s="138"/>
      <c r="AN622" s="138"/>
      <c r="AO622" s="138"/>
      <c r="AP622" s="138"/>
      <c r="AQ622" s="138"/>
      <c r="AR622" s="138"/>
      <c r="AS622" s="138"/>
      <c r="AT622" s="138"/>
      <c r="AU622" s="138"/>
      <c r="AV622" s="98"/>
      <c r="AW622" s="98"/>
      <c r="AX622" s="98"/>
      <c r="AY622" s="98"/>
      <c r="AZ622" s="524"/>
      <c r="BA622" s="524"/>
      <c r="BB622" s="530"/>
      <c r="BC622" s="524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2:87" x14ac:dyDescent="0.3">
      <c r="D623" s="531">
        <f>+D618*D620*D622</f>
        <v>1000944.0000000001</v>
      </c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10"/>
      <c r="AE623" s="10"/>
      <c r="AF623" s="507"/>
      <c r="AG623" s="526">
        <v>44052</v>
      </c>
      <c r="AH623" s="507"/>
      <c r="AI623" s="507"/>
      <c r="AJ623" s="524"/>
      <c r="AK623" s="524"/>
      <c r="AL623" s="78"/>
      <c r="AM623" s="78"/>
      <c r="AN623" s="139"/>
      <c r="AO623" s="139"/>
      <c r="AP623" s="139"/>
      <c r="AQ623" s="139"/>
      <c r="AR623" s="139"/>
      <c r="AS623" s="139"/>
      <c r="AT623" s="139"/>
      <c r="AU623" s="78"/>
      <c r="AV623" s="98"/>
      <c r="AW623" s="98"/>
      <c r="AX623" s="98"/>
      <c r="AY623" s="98"/>
      <c r="AZ623" s="524"/>
      <c r="BA623" s="524"/>
      <c r="BB623" s="530"/>
      <c r="BC623" s="524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2:87" x14ac:dyDescent="0.3"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10"/>
      <c r="AE624" s="10"/>
      <c r="AF624" s="507"/>
      <c r="AG624" s="526"/>
      <c r="AH624" s="507"/>
      <c r="AI624" s="507"/>
      <c r="AJ624" s="524"/>
      <c r="AK624" s="524"/>
      <c r="AL624" s="78"/>
      <c r="AM624" s="78"/>
      <c r="AN624" s="139"/>
      <c r="AO624" s="139"/>
      <c r="AP624" s="139"/>
      <c r="AQ624" s="139"/>
      <c r="AR624" s="139"/>
      <c r="AS624" s="139"/>
      <c r="AT624" s="139"/>
      <c r="AU624" s="78"/>
      <c r="AV624" s="98"/>
      <c r="AW624" s="98"/>
      <c r="AX624" s="98"/>
      <c r="AY624" s="98"/>
      <c r="AZ624" s="524"/>
      <c r="BA624" s="524"/>
      <c r="BB624" s="530"/>
      <c r="BC624" s="524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2:79" x14ac:dyDescent="0.3"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10"/>
      <c r="AE625" s="10"/>
      <c r="AF625" s="507"/>
      <c r="AG625" s="526"/>
      <c r="AH625" s="507"/>
      <c r="AI625" s="507"/>
      <c r="AJ625" s="524"/>
      <c r="AK625" s="524"/>
      <c r="AL625" s="78"/>
      <c r="AM625" s="78"/>
      <c r="AN625" s="139"/>
      <c r="AO625" s="139"/>
      <c r="AP625" s="139"/>
      <c r="AQ625" s="139"/>
      <c r="AR625" s="139"/>
      <c r="AS625" s="139"/>
      <c r="AT625" s="139"/>
      <c r="AU625" s="78"/>
      <c r="AV625" s="98"/>
      <c r="AW625" s="98"/>
      <c r="AX625" s="98"/>
      <c r="AY625" s="98"/>
      <c r="AZ625" s="524"/>
      <c r="BA625" s="524"/>
      <c r="BB625" s="530"/>
      <c r="BC625" s="524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2:79" x14ac:dyDescent="0.3"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10"/>
      <c r="AE626" s="10"/>
      <c r="AF626" s="507"/>
      <c r="AG626" s="528"/>
      <c r="AH626" s="507"/>
      <c r="AI626" s="507"/>
      <c r="AJ626" s="524"/>
      <c r="AK626" s="524"/>
      <c r="AL626" s="78"/>
      <c r="AM626" s="78"/>
      <c r="AN626" s="139"/>
      <c r="AO626" s="139"/>
      <c r="AP626" s="139"/>
      <c r="AQ626" s="139"/>
      <c r="AR626" s="139"/>
      <c r="AS626" s="139"/>
      <c r="AT626" s="139"/>
      <c r="AU626" s="78"/>
      <c r="AV626" s="98"/>
      <c r="AW626" s="98"/>
      <c r="AX626" s="98"/>
      <c r="AY626" s="98"/>
      <c r="AZ626" s="524"/>
      <c r="BA626" s="524"/>
      <c r="BB626" s="530"/>
      <c r="BC626" s="524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2:79" x14ac:dyDescent="0.3"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10"/>
      <c r="AE627" s="10"/>
      <c r="AF627" s="507"/>
      <c r="AG627" s="507"/>
      <c r="AH627" s="507"/>
      <c r="AI627" s="507"/>
      <c r="AJ627" s="524"/>
      <c r="AK627" s="524"/>
      <c r="AL627" s="78"/>
      <c r="AM627" s="78"/>
      <c r="AN627" s="139"/>
      <c r="AO627" s="139"/>
      <c r="AP627" s="139"/>
      <c r="AQ627" s="139"/>
      <c r="AR627" s="139"/>
      <c r="AS627" s="139"/>
      <c r="AT627" s="139"/>
      <c r="AU627" s="78"/>
      <c r="AV627" s="98"/>
      <c r="AW627" s="98"/>
      <c r="AX627" s="98"/>
      <c r="AY627" s="98"/>
      <c r="AZ627" s="524"/>
      <c r="BA627" s="524"/>
      <c r="BB627" s="530"/>
      <c r="BC627" s="524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2:79" x14ac:dyDescent="0.3"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10"/>
      <c r="AE628" s="10"/>
      <c r="AF628" s="507"/>
      <c r="AG628" s="507"/>
      <c r="AH628" s="507"/>
      <c r="AI628" s="507"/>
      <c r="AJ628" s="524"/>
      <c r="AK628" s="524"/>
      <c r="AL628" s="138"/>
      <c r="AM628" s="138"/>
      <c r="AN628" s="138"/>
      <c r="AO628" s="138"/>
      <c r="AP628" s="138"/>
      <c r="AQ628" s="138"/>
      <c r="AR628" s="138"/>
      <c r="AS628" s="138"/>
      <c r="AT628" s="138"/>
      <c r="AU628" s="138"/>
      <c r="AV628" s="78"/>
      <c r="AW628" s="78"/>
      <c r="AX628" s="78"/>
      <c r="AY628" s="78"/>
      <c r="AZ628" s="524"/>
      <c r="BA628" s="530"/>
      <c r="BB628" s="530"/>
      <c r="BC628" s="524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2:79" x14ac:dyDescent="0.3">
      <c r="AD629" s="10"/>
      <c r="AE629" s="10"/>
      <c r="AF629" s="507"/>
      <c r="AG629" s="507"/>
      <c r="AH629" s="507"/>
      <c r="AI629" s="507"/>
      <c r="AJ629" s="524"/>
      <c r="AK629" s="524"/>
      <c r="AL629" s="138"/>
      <c r="AM629" s="138"/>
      <c r="AN629" s="138"/>
      <c r="AO629" s="138"/>
      <c r="AP629" s="138"/>
      <c r="AQ629" s="138"/>
      <c r="AR629" s="138"/>
      <c r="AS629" s="138"/>
      <c r="AT629" s="138"/>
      <c r="AU629" s="138"/>
      <c r="AV629" s="78"/>
      <c r="AW629" s="78"/>
      <c r="AX629" s="78"/>
      <c r="AY629" s="78"/>
      <c r="AZ629" s="524"/>
      <c r="BA629" s="530"/>
      <c r="BB629" s="530"/>
      <c r="BC629" s="524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2:79" ht="15" thickBot="1" x14ac:dyDescent="0.35">
      <c r="B630" s="500"/>
      <c r="C630" s="500"/>
      <c r="D630" s="500"/>
      <c r="E630" s="500"/>
      <c r="F630" s="500"/>
      <c r="G630" s="500"/>
      <c r="H630" s="500"/>
      <c r="I630" s="500"/>
      <c r="J630" s="500"/>
      <c r="K630" s="500"/>
      <c r="L630" s="500"/>
      <c r="M630" s="500"/>
      <c r="N630" s="500"/>
      <c r="O630" s="500"/>
      <c r="P630" s="500"/>
      <c r="Q630" s="500"/>
      <c r="R630" s="500"/>
      <c r="S630" s="500"/>
      <c r="T630" s="500"/>
      <c r="U630" s="500"/>
      <c r="V630" s="500"/>
      <c r="AD630" s="10"/>
      <c r="AE630" s="10"/>
      <c r="AF630" s="507"/>
      <c r="AG630" s="507"/>
      <c r="AH630" s="507"/>
      <c r="AI630" s="507"/>
      <c r="AJ630" s="524"/>
      <c r="AK630" s="524"/>
      <c r="AL630" s="138"/>
      <c r="AM630" s="138"/>
      <c r="AN630" s="138"/>
      <c r="AO630" s="138"/>
      <c r="AP630" s="138"/>
      <c r="AQ630" s="138"/>
      <c r="AR630" s="138"/>
      <c r="AS630" s="138"/>
      <c r="AT630" s="138"/>
      <c r="AU630" s="138"/>
      <c r="AV630" s="78"/>
      <c r="AW630" s="78"/>
      <c r="AX630" s="78"/>
      <c r="AY630" s="78"/>
      <c r="AZ630" s="524"/>
      <c r="BA630" s="530"/>
      <c r="BB630" s="530"/>
      <c r="BC630" s="524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2:79" x14ac:dyDescent="0.3">
      <c r="B631" s="500"/>
      <c r="C631" s="510"/>
      <c r="D631" s="357"/>
      <c r="E631" s="357"/>
      <c r="F631" s="357"/>
      <c r="G631" s="357"/>
      <c r="H631" s="357"/>
      <c r="I631" s="357"/>
      <c r="J631" s="357"/>
      <c r="K631" s="357"/>
      <c r="L631" s="357"/>
      <c r="M631" s="357"/>
      <c r="N631" s="357"/>
      <c r="O631" s="357"/>
      <c r="P631" s="511"/>
      <c r="V631" s="500"/>
      <c r="AD631" s="10"/>
      <c r="AE631" s="10"/>
      <c r="AF631" s="507"/>
      <c r="AG631" s="507"/>
      <c r="AH631" s="507"/>
      <c r="AI631" s="507"/>
      <c r="AJ631" s="524"/>
      <c r="AK631" s="524"/>
      <c r="AL631" s="138"/>
      <c r="AM631" s="138"/>
      <c r="AN631" s="138"/>
      <c r="AO631" s="138"/>
      <c r="AP631" s="138"/>
      <c r="AQ631" s="138"/>
      <c r="AR631" s="138"/>
      <c r="AS631" s="138"/>
      <c r="AT631" s="138"/>
      <c r="AU631" s="138"/>
      <c r="AV631" s="78"/>
      <c r="AW631" s="78"/>
      <c r="AX631" s="78"/>
      <c r="AY631" s="78"/>
      <c r="AZ631" s="524"/>
      <c r="BA631" s="530"/>
      <c r="BB631" s="530"/>
      <c r="BC631" s="524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2:79" x14ac:dyDescent="0.3">
      <c r="B632" s="500"/>
      <c r="C632" s="512"/>
      <c r="D632" s="502" t="s">
        <v>149</v>
      </c>
      <c r="E632" s="387"/>
      <c r="F632" s="387"/>
      <c r="G632" s="387"/>
      <c r="H632" s="626" t="s">
        <v>20</v>
      </c>
      <c r="I632" s="626"/>
      <c r="J632" s="626"/>
      <c r="K632" s="387"/>
      <c r="L632" s="387"/>
      <c r="M632" s="387"/>
      <c r="N632" s="387"/>
      <c r="O632" s="387"/>
      <c r="P632" s="513"/>
      <c r="V632" s="500"/>
      <c r="AD632" s="10"/>
      <c r="AE632" s="10"/>
      <c r="AF632" s="507"/>
      <c r="AG632" s="507"/>
      <c r="AH632" s="507"/>
      <c r="AI632" s="507"/>
      <c r="AJ632" s="524"/>
      <c r="AK632" s="524"/>
      <c r="AL632" s="138"/>
      <c r="AM632" s="138"/>
      <c r="AN632" s="138"/>
      <c r="AO632" s="138"/>
      <c r="AP632" s="138"/>
      <c r="AQ632" s="138"/>
      <c r="AR632" s="138"/>
      <c r="AS632" s="138"/>
      <c r="AT632" s="138"/>
      <c r="AU632" s="138"/>
      <c r="AV632" s="78"/>
      <c r="AW632" s="78"/>
      <c r="AX632" s="78"/>
      <c r="AY632" s="78"/>
      <c r="AZ632" s="524"/>
      <c r="BA632" s="530"/>
      <c r="BB632" s="530"/>
      <c r="BC632" s="524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2:79" x14ac:dyDescent="0.3">
      <c r="B633" s="500"/>
      <c r="C633" s="512"/>
      <c r="D633" s="514" t="s">
        <v>150</v>
      </c>
      <c r="E633" s="387"/>
      <c r="F633" s="387"/>
      <c r="G633" s="387"/>
      <c r="H633" s="515" t="s">
        <v>147</v>
      </c>
      <c r="I633" s="502"/>
      <c r="J633" s="516" t="s">
        <v>148</v>
      </c>
      <c r="K633" s="502"/>
      <c r="L633" s="502"/>
      <c r="M633" s="502"/>
      <c r="N633" s="502"/>
      <c r="O633" s="517" t="s">
        <v>3</v>
      </c>
      <c r="P633" s="513"/>
      <c r="V633" s="500"/>
      <c r="AD633" s="10"/>
      <c r="AE633" s="10"/>
      <c r="AF633" s="507"/>
      <c r="AG633" s="507"/>
      <c r="AH633" s="507"/>
      <c r="AI633" s="507"/>
      <c r="AJ633" s="524"/>
      <c r="AK633" s="524"/>
      <c r="AL633" s="529"/>
      <c r="AM633" s="529"/>
      <c r="AN633" s="529"/>
      <c r="AO633" s="529"/>
      <c r="AP633" s="529"/>
      <c r="AQ633" s="529"/>
      <c r="AR633" s="529"/>
      <c r="AS633" s="529"/>
      <c r="AT633" s="529"/>
      <c r="AU633" s="529"/>
      <c r="AV633" s="524"/>
      <c r="AW633" s="524"/>
      <c r="AX633" s="524"/>
      <c r="AY633" s="524"/>
      <c r="AZ633" s="524"/>
      <c r="BA633" s="530"/>
      <c r="BB633" s="530"/>
      <c r="BC633" s="524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2:79" x14ac:dyDescent="0.3">
      <c r="B634" s="500"/>
      <c r="C634" s="512"/>
      <c r="D634" s="503" t="s">
        <v>146</v>
      </c>
      <c r="E634" s="15"/>
      <c r="F634" s="15"/>
      <c r="G634" s="15"/>
      <c r="H634" s="518">
        <f>SUM(D133:D139)</f>
        <v>471981</v>
      </c>
      <c r="I634" s="15"/>
      <c r="J634" s="16">
        <f>+H634/7</f>
        <v>67425.857142857145</v>
      </c>
      <c r="K634" s="15"/>
      <c r="L634" s="15"/>
      <c r="M634" s="15"/>
      <c r="N634" s="15"/>
      <c r="O634" s="15"/>
      <c r="P634" s="513"/>
      <c r="V634" s="500"/>
      <c r="AD634" s="10"/>
      <c r="AE634" s="10"/>
      <c r="AF634" s="507"/>
      <c r="AG634" s="507"/>
      <c r="AH634" s="507"/>
      <c r="AI634" s="507"/>
      <c r="AJ634" s="524"/>
      <c r="AK634" s="524"/>
      <c r="AL634" s="529"/>
      <c r="AM634" s="529"/>
      <c r="AN634" s="529"/>
      <c r="AO634" s="529"/>
      <c r="AP634" s="529"/>
      <c r="AQ634" s="529"/>
      <c r="AR634" s="529"/>
      <c r="AS634" s="529"/>
      <c r="AT634" s="529"/>
      <c r="AU634" s="529"/>
      <c r="AV634" s="529"/>
      <c r="AW634" s="529"/>
      <c r="AX634" s="529"/>
      <c r="AY634" s="529"/>
      <c r="AZ634" s="524"/>
      <c r="BA634" s="524"/>
      <c r="BB634" s="530"/>
      <c r="BC634" s="524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2:79" x14ac:dyDescent="0.3">
      <c r="B635" s="500"/>
      <c r="C635" s="512"/>
      <c r="D635" s="503" t="s">
        <v>145</v>
      </c>
      <c r="E635" s="15"/>
      <c r="F635" s="15"/>
      <c r="G635" s="15"/>
      <c r="H635" s="16">
        <f>SUM(D140:D146)</f>
        <v>427527</v>
      </c>
      <c r="I635" s="15"/>
      <c r="J635" s="16">
        <f>+H635/7</f>
        <v>61075.285714285717</v>
      </c>
      <c r="K635" s="15"/>
      <c r="L635" s="15"/>
      <c r="M635" s="15"/>
      <c r="N635" s="15"/>
      <c r="O635" s="15"/>
      <c r="P635" s="513"/>
      <c r="V635" s="500"/>
      <c r="AJ635" s="98"/>
      <c r="AK635" s="98"/>
      <c r="AL635" s="98"/>
      <c r="AM635" s="98"/>
      <c r="AN635" s="98"/>
      <c r="AO635" s="98"/>
      <c r="AP635" s="98"/>
      <c r="AQ635" s="98"/>
      <c r="AR635" s="98"/>
      <c r="AS635" s="98"/>
      <c r="AT635" s="78"/>
      <c r="AU635" s="98"/>
      <c r="AV635" s="140"/>
      <c r="AW635" s="140"/>
      <c r="AX635" s="140"/>
      <c r="AY635" s="140"/>
      <c r="AZ635" s="98"/>
      <c r="BA635" s="98"/>
      <c r="BB635" s="98"/>
      <c r="BC635" s="98"/>
    </row>
    <row r="636" spans="2:79" x14ac:dyDescent="0.3">
      <c r="B636" s="506"/>
      <c r="C636" s="512"/>
      <c r="D636" s="503" t="s">
        <v>144</v>
      </c>
      <c r="E636" s="15"/>
      <c r="F636" s="15"/>
      <c r="G636" s="15"/>
      <c r="H636" s="16">
        <f>SUM(D147:D153)</f>
        <v>383516</v>
      </c>
      <c r="I636" s="15"/>
      <c r="J636" s="16">
        <f>+H636/7</f>
        <v>54788</v>
      </c>
      <c r="K636" s="15"/>
      <c r="L636" s="15"/>
      <c r="M636" s="15"/>
      <c r="N636" s="15"/>
      <c r="O636" s="518">
        <f>+H634-H636</f>
        <v>88465</v>
      </c>
      <c r="P636" s="513"/>
      <c r="V636" s="500"/>
      <c r="AA636">
        <f>+O636/7</f>
        <v>12637.857142857143</v>
      </c>
      <c r="AJ636" s="98"/>
      <c r="AK636" s="98"/>
      <c r="AL636" s="98"/>
      <c r="AM636" s="98"/>
      <c r="AN636" s="98"/>
      <c r="AO636" s="98"/>
      <c r="AP636" s="98"/>
      <c r="AQ636" s="98"/>
      <c r="AR636" s="98"/>
      <c r="AS636" s="98"/>
      <c r="AT636" s="98"/>
      <c r="AU636" s="98"/>
      <c r="AV636" s="78"/>
      <c r="AW636" s="78"/>
      <c r="AX636" s="78"/>
      <c r="AY636" s="78"/>
      <c r="AZ636" s="98"/>
      <c r="BA636" s="141"/>
      <c r="BB636" s="98"/>
      <c r="BC636" s="98"/>
    </row>
    <row r="637" spans="2:79" x14ac:dyDescent="0.3">
      <c r="B637" s="507"/>
      <c r="C637" s="512"/>
      <c r="D637" s="519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60">
        <f>+O636/H634</f>
        <v>0.18743339244588236</v>
      </c>
      <c r="P637" s="513"/>
      <c r="V637" s="500"/>
      <c r="X637" s="61"/>
      <c r="Y637" s="61"/>
      <c r="Z637" s="98"/>
      <c r="AA637" s="98"/>
      <c r="AB637" s="98"/>
      <c r="AC637" s="98"/>
      <c r="AD637" s="98"/>
      <c r="AE637" s="98"/>
      <c r="AF637" s="98"/>
      <c r="AG637" s="98"/>
      <c r="AH637" s="98"/>
      <c r="AI637" s="98"/>
      <c r="AJ637" s="98"/>
      <c r="AK637" s="98"/>
      <c r="AL637" s="98"/>
      <c r="AM637" s="98"/>
      <c r="AN637" s="98"/>
      <c r="AO637" s="98"/>
      <c r="AP637" s="78">
        <v>480454</v>
      </c>
      <c r="AQ637" s="98"/>
      <c r="AR637" s="98"/>
      <c r="AS637" s="98"/>
      <c r="AT637" s="98"/>
      <c r="AU637" s="98"/>
      <c r="AV637" s="98"/>
      <c r="AW637" s="98"/>
      <c r="AX637" s="98"/>
      <c r="AY637" s="98"/>
      <c r="AZ637" s="98"/>
      <c r="BA637" s="98"/>
      <c r="BB637" s="98"/>
      <c r="BC637" s="98"/>
    </row>
    <row r="638" spans="2:79" ht="15" thickBot="1" x14ac:dyDescent="0.35">
      <c r="B638" s="507"/>
      <c r="C638" s="520"/>
      <c r="D638" s="521"/>
      <c r="E638" s="521"/>
      <c r="F638" s="521"/>
      <c r="G638" s="521"/>
      <c r="H638" s="521"/>
      <c r="I638" s="521"/>
      <c r="J638" s="522"/>
      <c r="K638" s="521"/>
      <c r="L638" s="521"/>
      <c r="M638" s="521"/>
      <c r="N638" s="521"/>
      <c r="O638" s="521"/>
      <c r="P638" s="523"/>
      <c r="V638" s="500"/>
      <c r="X638" s="61"/>
      <c r="Y638" s="61"/>
      <c r="Z638" s="98"/>
      <c r="AA638" s="98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8"/>
      <c r="AM638" s="98"/>
      <c r="AN638" s="98"/>
      <c r="AO638" s="98"/>
      <c r="AP638" s="140">
        <f>+N201</f>
        <v>290088</v>
      </c>
      <c r="AQ638" s="98"/>
      <c r="AR638" s="98"/>
      <c r="AS638" s="98"/>
      <c r="AT638" s="98"/>
      <c r="AU638" s="98"/>
      <c r="AV638" s="98"/>
      <c r="AW638" s="98"/>
      <c r="AX638" s="98"/>
      <c r="AY638" s="98"/>
      <c r="AZ638" s="98"/>
      <c r="BA638" s="98"/>
      <c r="BB638" s="98"/>
      <c r="BC638" s="98"/>
    </row>
    <row r="639" spans="2:79" x14ac:dyDescent="0.3">
      <c r="B639" s="507"/>
      <c r="C639" s="500"/>
      <c r="D639" s="508"/>
      <c r="E639" s="500"/>
      <c r="F639" s="500"/>
      <c r="G639" s="500"/>
      <c r="H639" s="509"/>
      <c r="I639" s="500"/>
      <c r="J639" s="500"/>
      <c r="K639" s="500"/>
      <c r="L639" s="500"/>
      <c r="M639" s="500"/>
      <c r="N639" s="500"/>
      <c r="O639" s="500"/>
      <c r="P639" s="500"/>
      <c r="Q639" s="500"/>
      <c r="R639" s="500"/>
      <c r="S639" s="500"/>
      <c r="T639" s="500"/>
      <c r="U639" s="500"/>
      <c r="V639" s="500"/>
      <c r="X639" s="61"/>
      <c r="Y639" s="61"/>
      <c r="Z639" s="98"/>
      <c r="AA639" s="98"/>
      <c r="AB639" s="98"/>
      <c r="AC639" s="98"/>
      <c r="AD639" s="98"/>
      <c r="AE639" s="98"/>
      <c r="AF639" s="98"/>
      <c r="AG639" s="98"/>
      <c r="AH639" s="98"/>
      <c r="AI639" s="98"/>
      <c r="AJ639" s="98"/>
      <c r="AK639" s="98"/>
      <c r="AL639" s="98"/>
      <c r="AM639" s="98"/>
      <c r="AN639" s="98"/>
      <c r="AO639" s="98"/>
      <c r="AP639" s="140">
        <f>+AP637-AP638</f>
        <v>190366</v>
      </c>
      <c r="AQ639" s="98"/>
      <c r="AR639" s="98"/>
    </row>
    <row r="640" spans="2:79" x14ac:dyDescent="0.3">
      <c r="B640" s="1"/>
      <c r="D640" s="55"/>
      <c r="X640" s="61"/>
      <c r="Y640" s="61"/>
      <c r="Z640" s="98"/>
      <c r="AA640" s="98"/>
      <c r="AB640" s="98"/>
      <c r="AC640" s="98"/>
      <c r="AD640" s="98"/>
      <c r="AE640" s="98"/>
      <c r="AF640" s="98"/>
      <c r="AG640" s="98"/>
      <c r="AH640" s="98"/>
      <c r="AI640" s="98"/>
      <c r="AJ640" s="98"/>
      <c r="AK640" s="98"/>
      <c r="AL640" s="98"/>
      <c r="AM640" s="98"/>
      <c r="AN640" s="98"/>
      <c r="AO640" s="98"/>
      <c r="AP640" s="84">
        <f>+AP639/AP637</f>
        <v>0.3962210742339537</v>
      </c>
      <c r="AQ640" s="98"/>
      <c r="AR640" s="98"/>
    </row>
    <row r="641" spans="2:61" x14ac:dyDescent="0.3">
      <c r="B641" s="55"/>
      <c r="D641" s="55"/>
      <c r="J641" s="56">
        <f>+J634-J636</f>
        <v>12637.857142857145</v>
      </c>
      <c r="X641" s="61"/>
      <c r="Y641" s="61"/>
      <c r="Z641" s="98"/>
      <c r="AA641" s="98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8"/>
      <c r="AM641" s="98"/>
      <c r="AN641" s="98"/>
      <c r="AO641" s="98"/>
      <c r="AP641" s="98"/>
      <c r="AQ641" s="98"/>
      <c r="AR641" s="98"/>
    </row>
    <row r="642" spans="2:61" x14ac:dyDescent="0.3">
      <c r="B642" s="57"/>
      <c r="D642" s="55"/>
      <c r="X642" s="61"/>
      <c r="Y642" s="61"/>
      <c r="Z642" s="98"/>
      <c r="AA642" s="98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/>
      <c r="AL642" s="98"/>
      <c r="AM642" s="98"/>
      <c r="AN642" s="98"/>
      <c r="AO642" s="98"/>
      <c r="AP642" s="98"/>
      <c r="AQ642" s="98"/>
      <c r="AR642" s="98"/>
    </row>
    <row r="643" spans="2:61" x14ac:dyDescent="0.3">
      <c r="B643" s="1"/>
      <c r="D643" s="55"/>
      <c r="X643" s="61"/>
      <c r="Y643" s="61"/>
      <c r="Z643" s="98"/>
      <c r="AA643" s="98"/>
      <c r="AB643" s="98"/>
      <c r="AC643" s="98"/>
      <c r="AD643" s="98"/>
      <c r="AE643" s="98"/>
      <c r="AF643" s="98"/>
      <c r="AG643" s="98"/>
      <c r="AH643" s="98"/>
      <c r="AI643" s="98"/>
      <c r="AJ643" s="98"/>
      <c r="AK643" s="98"/>
      <c r="AL643" s="98"/>
      <c r="AM643" s="98"/>
      <c r="AN643" s="98"/>
      <c r="AO643" s="98"/>
      <c r="AP643" s="98"/>
      <c r="AQ643" s="98"/>
      <c r="AR643" s="98"/>
    </row>
    <row r="644" spans="2:61" x14ac:dyDescent="0.3">
      <c r="B644" s="1"/>
      <c r="D644" s="55"/>
      <c r="Z644" s="106"/>
      <c r="AA644" s="106"/>
      <c r="AB644" s="106"/>
      <c r="AC644" s="106"/>
      <c r="AD644" s="106"/>
      <c r="AE644" s="106"/>
      <c r="AF644" s="106"/>
      <c r="AG644" s="106"/>
      <c r="AH644" s="106"/>
      <c r="AI644" s="106"/>
      <c r="AJ644" s="106"/>
      <c r="AK644" s="106"/>
      <c r="AL644" s="106"/>
      <c r="AM644" s="106"/>
      <c r="AN644" s="106"/>
      <c r="AO644" s="106"/>
      <c r="AP644" s="106"/>
      <c r="AQ644" s="106"/>
      <c r="AR644" s="106"/>
    </row>
    <row r="645" spans="2:61" x14ac:dyDescent="0.3">
      <c r="B645" s="1"/>
      <c r="D645" s="55"/>
      <c r="AT645" s="500"/>
      <c r="AU645" s="500"/>
      <c r="AV645" s="500"/>
      <c r="AW645" s="500"/>
      <c r="AX645" s="500"/>
      <c r="AY645" s="500"/>
      <c r="AZ645" s="500"/>
      <c r="BA645" s="500"/>
      <c r="BB645" s="500"/>
      <c r="BC645" s="500"/>
      <c r="BD645" s="500"/>
      <c r="BE645" s="500"/>
      <c r="BF645" s="500"/>
      <c r="BG645" s="500"/>
      <c r="BH645" s="500"/>
      <c r="BI645" s="500"/>
    </row>
    <row r="646" spans="2:61" ht="15.6" x14ac:dyDescent="0.3">
      <c r="B646" s="1"/>
      <c r="D646" s="55"/>
      <c r="AT646" s="500"/>
      <c r="AU646" s="533"/>
      <c r="AV646" s="534"/>
      <c r="AW646" s="534"/>
      <c r="AX646" s="534"/>
      <c r="AY646" s="534"/>
      <c r="AZ646" s="534"/>
      <c r="BA646" s="534"/>
      <c r="BB646" s="534"/>
      <c r="BC646" s="534"/>
      <c r="BD646" s="534"/>
      <c r="BE646" s="534" t="s">
        <v>156</v>
      </c>
      <c r="BF646" s="534"/>
      <c r="BG646" s="534" t="s">
        <v>2</v>
      </c>
      <c r="BH646" s="533"/>
      <c r="BI646" s="500"/>
    </row>
    <row r="647" spans="2:61" ht="16.2" thickBot="1" x14ac:dyDescent="0.35">
      <c r="B647" s="57" t="e">
        <f>+B646/B645</f>
        <v>#DIV/0!</v>
      </c>
      <c r="D647" s="55"/>
      <c r="AT647" s="500"/>
      <c r="AU647" s="533"/>
      <c r="AV647" s="633" t="s">
        <v>155</v>
      </c>
      <c r="AW647" s="633"/>
      <c r="AX647" s="633"/>
      <c r="AY647" s="534"/>
      <c r="AZ647" s="534"/>
      <c r="BA647" s="535" t="s">
        <v>20</v>
      </c>
      <c r="BB647" s="534"/>
      <c r="BC647" s="535" t="s">
        <v>3</v>
      </c>
      <c r="BD647" s="534"/>
      <c r="BE647" s="535" t="s">
        <v>65</v>
      </c>
      <c r="BF647" s="534"/>
      <c r="BG647" s="535" t="s">
        <v>65</v>
      </c>
      <c r="BH647" s="533"/>
      <c r="BI647" s="500"/>
    </row>
    <row r="648" spans="2:61" ht="21" x14ac:dyDescent="0.4">
      <c r="B648" s="1"/>
      <c r="D648" s="55"/>
      <c r="AT648" s="500"/>
      <c r="AU648" s="533"/>
      <c r="AV648" s="536" t="s">
        <v>143</v>
      </c>
      <c r="AW648" s="533"/>
      <c r="AX648" s="537"/>
      <c r="AY648" s="533"/>
      <c r="AZ648" s="533"/>
      <c r="BA648" s="538">
        <f>+N143</f>
        <v>1970617</v>
      </c>
      <c r="BB648" s="537"/>
      <c r="BC648" s="537"/>
      <c r="BD648" s="537"/>
      <c r="BE648" s="537"/>
      <c r="BF648" s="537"/>
      <c r="BG648" s="537"/>
      <c r="BH648" s="533"/>
      <c r="BI648" s="500"/>
    </row>
    <row r="649" spans="2:61" ht="21" x14ac:dyDescent="0.4">
      <c r="B649" s="1"/>
      <c r="D649" s="55"/>
      <c r="AT649" s="500"/>
      <c r="AU649" s="533"/>
      <c r="AV649" s="536" t="s">
        <v>151</v>
      </c>
      <c r="AW649" s="533"/>
      <c r="AX649" s="537"/>
      <c r="AY649" s="533"/>
      <c r="AZ649" s="533"/>
      <c r="BA649" s="538">
        <f>+N174</f>
        <v>1493931</v>
      </c>
      <c r="BB649" s="537"/>
      <c r="BC649" s="538">
        <f>+BA649-BA648</f>
        <v>-476686</v>
      </c>
      <c r="BD649" s="537"/>
      <c r="BE649" s="539">
        <f>+BC649/BA648</f>
        <v>-0.24189682723735764</v>
      </c>
      <c r="BF649" s="537"/>
      <c r="BG649" s="537"/>
      <c r="BH649" s="533"/>
      <c r="BI649" s="500"/>
    </row>
    <row r="650" spans="2:61" ht="21" x14ac:dyDescent="0.4">
      <c r="B650" s="1">
        <f>+B646*50</f>
        <v>0</v>
      </c>
      <c r="D650" s="55"/>
      <c r="AT650" s="500"/>
      <c r="AU650" s="533"/>
      <c r="AV650" s="536" t="s">
        <v>152</v>
      </c>
      <c r="AW650" s="533"/>
      <c r="AX650" s="537"/>
      <c r="AY650" s="533"/>
      <c r="AZ650" s="533"/>
      <c r="BA650" s="538">
        <f>+N204</f>
        <v>1202331</v>
      </c>
      <c r="BB650" s="537"/>
      <c r="BC650" s="538">
        <f>+BA650-BA649</f>
        <v>-291600</v>
      </c>
      <c r="BD650" s="537"/>
      <c r="BE650" s="539">
        <f>+BC650/BA649</f>
        <v>-0.19518973767864781</v>
      </c>
      <c r="BF650" s="537"/>
      <c r="BG650" s="537"/>
      <c r="BH650" s="533"/>
      <c r="BI650" s="500"/>
    </row>
    <row r="651" spans="2:61" ht="21" x14ac:dyDescent="0.4">
      <c r="B651" s="1"/>
      <c r="D651" s="55"/>
      <c r="AT651" s="500"/>
      <c r="AU651" s="533"/>
      <c r="AV651" s="536" t="s">
        <v>153</v>
      </c>
      <c r="AW651" s="533"/>
      <c r="AX651" s="537"/>
      <c r="AY651" s="533"/>
      <c r="AZ651" s="540" t="s">
        <v>26</v>
      </c>
      <c r="BA651" s="538">
        <f>+N218</f>
        <v>371489</v>
      </c>
      <c r="BB651" s="537"/>
      <c r="BC651" s="538">
        <f>+BA651-BA650</f>
        <v>-830842</v>
      </c>
      <c r="BD651" s="537"/>
      <c r="BE651" s="539">
        <f>+BC651/BA650</f>
        <v>-0.69102601529861574</v>
      </c>
      <c r="BF651" s="537"/>
      <c r="BG651" s="539">
        <f>+(BA651-BA648)/BA648</f>
        <v>-0.81148594577231392</v>
      </c>
      <c r="BH651" s="533"/>
      <c r="BI651" s="500"/>
    </row>
    <row r="652" spans="2:61" x14ac:dyDescent="0.3">
      <c r="B652" s="1"/>
      <c r="D652" s="55"/>
      <c r="AT652" s="500"/>
      <c r="AU652" s="533"/>
      <c r="AV652" s="533"/>
      <c r="AW652" s="533"/>
      <c r="AX652" s="533"/>
      <c r="AY652" s="533"/>
      <c r="AZ652" s="533"/>
      <c r="BA652" s="533"/>
      <c r="BB652" s="533"/>
      <c r="BC652" s="533"/>
      <c r="BD652" s="533"/>
      <c r="BE652" s="533"/>
      <c r="BF652" s="533"/>
      <c r="BG652" s="533"/>
      <c r="BH652" s="533"/>
      <c r="BI652" s="500"/>
    </row>
    <row r="653" spans="2:61" ht="16.2" x14ac:dyDescent="0.3">
      <c r="B653" s="1"/>
      <c r="D653" s="55"/>
      <c r="AT653" s="500"/>
      <c r="AU653" s="533"/>
      <c r="AV653" s="533"/>
      <c r="AW653" s="533"/>
      <c r="AX653" s="541" t="s">
        <v>26</v>
      </c>
      <c r="AY653" s="533"/>
      <c r="AZ653" s="542" t="s">
        <v>154</v>
      </c>
      <c r="BA653" s="533"/>
      <c r="BB653" s="533"/>
      <c r="BC653" s="533"/>
      <c r="BD653" s="533"/>
      <c r="BE653" s="533"/>
      <c r="BF653" s="533"/>
      <c r="BG653" s="533"/>
      <c r="BH653" s="533"/>
      <c r="BI653" s="500"/>
    </row>
    <row r="654" spans="2:61" x14ac:dyDescent="0.3">
      <c r="B654" s="1"/>
      <c r="D654" s="55"/>
      <c r="AT654" s="500"/>
      <c r="AU654" s="533"/>
      <c r="AV654" s="533"/>
      <c r="AW654" s="533"/>
      <c r="AX654" s="533"/>
      <c r="AY654" s="533"/>
      <c r="AZ654" s="533"/>
      <c r="BA654" s="533"/>
      <c r="BB654" s="533"/>
      <c r="BC654" s="533"/>
      <c r="BD654" s="533"/>
      <c r="BE654" s="533"/>
      <c r="BF654" s="533"/>
      <c r="BG654" s="533"/>
      <c r="BH654" s="533"/>
      <c r="BI654" s="500"/>
    </row>
    <row r="655" spans="2:61" x14ac:dyDescent="0.3">
      <c r="B655" s="1"/>
      <c r="D655" s="55"/>
      <c r="AT655" s="532"/>
      <c r="AU655" s="532"/>
      <c r="AV655" s="532"/>
      <c r="AW655" s="532"/>
      <c r="AX655" s="532"/>
      <c r="AY655" s="532"/>
      <c r="AZ655" s="532"/>
      <c r="BA655" s="532"/>
      <c r="BB655" s="532"/>
      <c r="BC655" s="532"/>
      <c r="BD655" s="532"/>
      <c r="BE655" s="532"/>
      <c r="BF655" s="532"/>
      <c r="BG655" s="532"/>
      <c r="BH655" s="532"/>
      <c r="BI655" s="532"/>
    </row>
    <row r="656" spans="2:61" x14ac:dyDescent="0.3">
      <c r="B656" s="1"/>
      <c r="D656" s="55"/>
    </row>
    <row r="657" spans="2:61" x14ac:dyDescent="0.3">
      <c r="B657" s="1"/>
      <c r="D657" s="55"/>
      <c r="AS657" s="61"/>
      <c r="AT657" s="500"/>
      <c r="AU657" s="500"/>
      <c r="AV657" s="500"/>
      <c r="AW657" s="500"/>
      <c r="AX657" s="500"/>
      <c r="AY657" s="500"/>
      <c r="AZ657" s="500"/>
      <c r="BA657" s="500"/>
      <c r="BB657" s="500"/>
      <c r="BC657" s="500"/>
      <c r="BD657" s="500"/>
      <c r="BE657" s="500"/>
      <c r="BF657" s="500"/>
      <c r="BG657" s="500"/>
      <c r="BH657" s="500"/>
      <c r="BI657" s="500"/>
    </row>
    <row r="658" spans="2:61" x14ac:dyDescent="0.3">
      <c r="B658" s="1"/>
      <c r="D658" s="55"/>
      <c r="AT658" s="500"/>
      <c r="AU658" s="550"/>
      <c r="AV658" s="550"/>
      <c r="AW658" s="550"/>
      <c r="AX658" s="550"/>
      <c r="AY658" s="550"/>
      <c r="AZ658" s="550"/>
      <c r="BA658" s="550"/>
      <c r="BB658" s="550"/>
      <c r="BC658" s="550"/>
      <c r="BD658" s="550"/>
      <c r="BE658" s="550"/>
      <c r="BF658" s="550"/>
      <c r="BG658" s="550"/>
      <c r="BH658" s="550"/>
      <c r="BI658" s="500"/>
    </row>
    <row r="659" spans="2:61" ht="15" thickBot="1" x14ac:dyDescent="0.35">
      <c r="B659" s="1"/>
      <c r="D659" s="55"/>
      <c r="AT659" s="500"/>
      <c r="AU659" s="550"/>
      <c r="AV659" s="609" t="s">
        <v>160</v>
      </c>
      <c r="AW659" s="609"/>
      <c r="AX659" s="609"/>
      <c r="AY659" s="551"/>
      <c r="AZ659" s="551"/>
      <c r="BA659" s="552" t="s">
        <v>23</v>
      </c>
      <c r="BB659" s="553"/>
      <c r="BC659" s="552" t="s">
        <v>3</v>
      </c>
      <c r="BD659" s="553"/>
      <c r="BE659" s="552" t="s">
        <v>20</v>
      </c>
      <c r="BF659" s="553"/>
      <c r="BG659" s="552" t="s">
        <v>21</v>
      </c>
      <c r="BH659" s="550"/>
      <c r="BI659" s="500"/>
    </row>
    <row r="660" spans="2:61" x14ac:dyDescent="0.3">
      <c r="B660" s="1"/>
      <c r="AT660" s="500"/>
      <c r="AU660" s="550"/>
      <c r="AV660" s="551" t="s">
        <v>143</v>
      </c>
      <c r="AW660" s="551"/>
      <c r="AX660" s="551"/>
      <c r="AY660" s="551"/>
      <c r="AZ660" s="551"/>
      <c r="BA660" s="554">
        <f>+BK275</f>
        <v>13351981</v>
      </c>
      <c r="BB660" s="551"/>
      <c r="BC660" s="551"/>
      <c r="BD660" s="551"/>
      <c r="BE660" s="555">
        <f>+N143</f>
        <v>1970617</v>
      </c>
      <c r="BF660" s="551"/>
      <c r="BG660" s="556">
        <f>+BE660/BA660</f>
        <v>0.14758985951223269</v>
      </c>
      <c r="BH660" s="550"/>
      <c r="BI660" s="500"/>
    </row>
    <row r="661" spans="2:61" x14ac:dyDescent="0.3">
      <c r="B661" s="1"/>
      <c r="AT661" s="500"/>
      <c r="AU661" s="550"/>
      <c r="AV661" s="551"/>
      <c r="AW661" s="551"/>
      <c r="AX661" s="551"/>
      <c r="AY661" s="551"/>
      <c r="AZ661" s="551"/>
      <c r="BA661" s="554"/>
      <c r="BB661" s="551"/>
      <c r="BC661" s="551"/>
      <c r="BD661" s="551"/>
      <c r="BE661" s="551"/>
      <c r="BF661" s="551"/>
      <c r="BG661" s="556"/>
      <c r="BH661" s="550"/>
      <c r="BI661" s="500"/>
    </row>
    <row r="662" spans="2:61" x14ac:dyDescent="0.3">
      <c r="B662" s="1"/>
      <c r="AT662" s="500"/>
      <c r="AU662" s="550"/>
      <c r="AV662" s="551" t="s">
        <v>159</v>
      </c>
      <c r="AW662" s="551"/>
      <c r="AX662" s="551"/>
      <c r="AY662" s="551"/>
      <c r="AZ662" s="551"/>
      <c r="BA662" s="554">
        <v>52440389</v>
      </c>
      <c r="BB662" s="551"/>
      <c r="BC662" s="556">
        <f>+(BA662-BA660)/BA660</f>
        <v>2.9275362210296736</v>
      </c>
      <c r="BD662" s="551"/>
      <c r="BE662" s="555">
        <f>+N273</f>
        <v>1462688</v>
      </c>
      <c r="BF662" s="551"/>
      <c r="BG662" s="556">
        <f>+BE662/BA662</f>
        <v>2.7892394162064665E-2</v>
      </c>
      <c r="BH662" s="550"/>
      <c r="BI662" s="500"/>
    </row>
    <row r="663" spans="2:61" x14ac:dyDescent="0.3">
      <c r="B663" s="1"/>
      <c r="AT663" s="500"/>
      <c r="AU663" s="550"/>
      <c r="AV663" s="551"/>
      <c r="AW663" s="551"/>
      <c r="AX663" s="551"/>
      <c r="AY663" s="551"/>
      <c r="AZ663" s="551"/>
      <c r="BA663" s="554"/>
      <c r="BB663" s="551"/>
      <c r="BC663" s="551"/>
      <c r="BD663" s="551"/>
      <c r="BE663" s="551"/>
      <c r="BF663" s="551"/>
      <c r="BG663" s="551"/>
      <c r="BH663" s="550"/>
      <c r="BI663" s="500"/>
    </row>
    <row r="664" spans="2:61" x14ac:dyDescent="0.3">
      <c r="B664" s="1"/>
      <c r="AT664" s="500"/>
      <c r="AU664" s="550"/>
      <c r="AV664" s="630" t="s">
        <v>105</v>
      </c>
      <c r="AW664" s="630"/>
      <c r="AX664" s="630"/>
      <c r="AY664" s="630"/>
      <c r="AZ664" s="551"/>
      <c r="BA664" s="555">
        <f>+BA662-BA660</f>
        <v>39088408</v>
      </c>
      <c r="BB664" s="551"/>
      <c r="BC664" s="551"/>
      <c r="BD664" s="551"/>
      <c r="BE664" s="555">
        <f>+BE662-BE660</f>
        <v>-507929</v>
      </c>
      <c r="BF664" s="551"/>
      <c r="BG664" s="558"/>
      <c r="BH664" s="550"/>
      <c r="BI664" s="500"/>
    </row>
    <row r="665" spans="2:61" x14ac:dyDescent="0.3">
      <c r="B665" s="1"/>
      <c r="AT665" s="500"/>
      <c r="AU665" s="550"/>
      <c r="AV665" s="550"/>
      <c r="AW665" s="550"/>
      <c r="AX665" s="550"/>
      <c r="AY665" s="550"/>
      <c r="AZ665" s="550"/>
      <c r="BA665" s="550"/>
      <c r="BB665" s="550"/>
      <c r="BC665" s="550"/>
      <c r="BD665" s="550"/>
      <c r="BE665" s="550"/>
      <c r="BF665" s="550"/>
      <c r="BG665" s="550"/>
      <c r="BH665" s="550"/>
      <c r="BI665" s="500"/>
    </row>
    <row r="666" spans="2:61" x14ac:dyDescent="0.3">
      <c r="B666" s="1"/>
      <c r="AT666" s="500"/>
      <c r="AU666" s="500"/>
      <c r="AV666" s="500"/>
      <c r="AW666" s="500"/>
      <c r="AX666" s="500"/>
      <c r="AY666" s="500"/>
      <c r="AZ666" s="500"/>
      <c r="BA666" s="500"/>
      <c r="BB666" s="500"/>
      <c r="BC666" s="500"/>
      <c r="BD666" s="500"/>
      <c r="BE666" s="557"/>
      <c r="BF666" s="500"/>
      <c r="BG666" s="507"/>
      <c r="BH666" s="500"/>
      <c r="BI666" s="500"/>
    </row>
    <row r="667" spans="2:61" x14ac:dyDescent="0.3">
      <c r="B667" s="1"/>
    </row>
    <row r="668" spans="2:61" x14ac:dyDescent="0.3">
      <c r="B668" s="1"/>
    </row>
    <row r="669" spans="2:61" x14ac:dyDescent="0.3">
      <c r="B669" s="1"/>
      <c r="H669" s="1">
        <v>4000000</v>
      </c>
      <c r="AR669" s="500"/>
      <c r="AS669" s="500"/>
      <c r="AT669" s="500"/>
      <c r="AU669" s="500"/>
      <c r="AV669" s="500"/>
      <c r="AW669" s="500"/>
      <c r="AX669" s="500"/>
      <c r="AY669" s="500"/>
      <c r="AZ669" s="500"/>
      <c r="BA669" s="500"/>
      <c r="BB669" s="500"/>
      <c r="BC669" s="500"/>
      <c r="BD669" s="500"/>
      <c r="BE669" s="500"/>
      <c r="BF669" s="500"/>
      <c r="BG669" s="500"/>
      <c r="BH669" s="500"/>
      <c r="BI669" s="500"/>
    </row>
    <row r="670" spans="2:61" ht="15.6" x14ac:dyDescent="0.3">
      <c r="B670" s="1"/>
      <c r="H670" s="1"/>
      <c r="AR670" s="500"/>
      <c r="AS670" s="625" t="s">
        <v>170</v>
      </c>
      <c r="AT670" s="625"/>
      <c r="AU670" s="625"/>
      <c r="AV670" s="625"/>
      <c r="AW670" s="625"/>
      <c r="AX670" s="625"/>
      <c r="AY670" s="625"/>
      <c r="AZ670" s="625"/>
      <c r="BA670" s="625"/>
      <c r="BB670" s="625"/>
      <c r="BC670" s="625"/>
      <c r="BD670" s="625"/>
      <c r="BE670" s="625"/>
      <c r="BF670" s="625"/>
      <c r="BG670" s="625"/>
      <c r="BH670" s="625"/>
      <c r="BI670" s="500"/>
    </row>
    <row r="671" spans="2:61" x14ac:dyDescent="0.3">
      <c r="H671" s="1">
        <f>+H669/7</f>
        <v>571428.57142857148</v>
      </c>
      <c r="AR671" s="500"/>
      <c r="AS671" s="533"/>
      <c r="AT671" s="561"/>
      <c r="AU671" s="561"/>
      <c r="AV671" s="561"/>
      <c r="AW671" s="561"/>
      <c r="AX671" s="561"/>
      <c r="AY671" s="561"/>
      <c r="AZ671" s="561"/>
      <c r="BA671" s="561"/>
      <c r="BB671" s="561"/>
      <c r="BC671" s="561"/>
      <c r="BD671" s="561"/>
      <c r="BE671" s="631" t="s">
        <v>166</v>
      </c>
      <c r="BF671" s="561"/>
      <c r="BG671" s="637" t="s">
        <v>167</v>
      </c>
      <c r="BH671" s="533"/>
      <c r="BI671" s="500"/>
    </row>
    <row r="672" spans="2:61" x14ac:dyDescent="0.3">
      <c r="AR672" s="500"/>
      <c r="AS672" s="533"/>
      <c r="AT672" s="607" t="s">
        <v>19</v>
      </c>
      <c r="AU672" s="607"/>
      <c r="AV672" s="607"/>
      <c r="AW672" s="607"/>
      <c r="AX672" s="607"/>
      <c r="AY672" s="607"/>
      <c r="AZ672" s="561"/>
      <c r="BA672" s="560" t="s">
        <v>20</v>
      </c>
      <c r="BB672" s="561"/>
      <c r="BC672" s="560" t="s">
        <v>165</v>
      </c>
      <c r="BD672" s="561"/>
      <c r="BE672" s="632"/>
      <c r="BF672" s="561"/>
      <c r="BG672" s="635"/>
      <c r="BH672" s="533"/>
      <c r="BI672" s="500"/>
    </row>
    <row r="673" spans="4:72" x14ac:dyDescent="0.3">
      <c r="H673" t="s">
        <v>168</v>
      </c>
      <c r="J673">
        <v>28</v>
      </c>
      <c r="N673" s="1">
        <f>+H671*J673</f>
        <v>16000000.000000002</v>
      </c>
      <c r="AR673" s="500"/>
      <c r="AS673" s="533"/>
      <c r="AT673" s="627" t="s">
        <v>162</v>
      </c>
      <c r="AU673" s="627"/>
      <c r="AV673" s="627"/>
      <c r="AW673" s="627"/>
      <c r="AX673" s="627"/>
      <c r="AY673" s="561"/>
      <c r="AZ673" s="561"/>
      <c r="BA673" s="562">
        <f>+H174</f>
        <v>6826001</v>
      </c>
      <c r="BB673" s="561"/>
      <c r="BC673" s="561">
        <v>10</v>
      </c>
      <c r="BD673" s="561"/>
      <c r="BE673" s="563">
        <f>+BA673*BC673</f>
        <v>68260010</v>
      </c>
      <c r="BF673" s="561"/>
      <c r="BG673" s="561"/>
      <c r="BH673" s="533"/>
      <c r="BI673" s="500"/>
      <c r="BP673" s="56">
        <f>+BE673-BA673</f>
        <v>61434009</v>
      </c>
    </row>
    <row r="674" spans="4:72" x14ac:dyDescent="0.3">
      <c r="D674" s="56">
        <f>+N673+N674</f>
        <v>33714285.714285716</v>
      </c>
      <c r="H674" t="s">
        <v>169</v>
      </c>
      <c r="J674">
        <v>31</v>
      </c>
      <c r="N674" s="1">
        <f>+J674*H$671</f>
        <v>17714285.714285716</v>
      </c>
      <c r="AR674" s="500"/>
      <c r="AS674" s="533"/>
      <c r="AT674" s="627" t="s">
        <v>171</v>
      </c>
      <c r="AU674" s="627"/>
      <c r="AV674" s="627"/>
      <c r="AW674" s="627"/>
      <c r="AX674" s="627"/>
      <c r="AY674" s="561"/>
      <c r="AZ674" s="561"/>
      <c r="BA674" s="562">
        <f>+BA686-BA673</f>
        <v>3109228</v>
      </c>
      <c r="BB674" s="561"/>
      <c r="BC674" s="561">
        <v>5</v>
      </c>
      <c r="BD674" s="561"/>
      <c r="BE674" s="563">
        <f>+BA674*BC674</f>
        <v>15546140</v>
      </c>
      <c r="BF674" s="561"/>
      <c r="BG674" s="561"/>
      <c r="BH674" s="533"/>
      <c r="BI674" s="500"/>
      <c r="BP674" s="56">
        <f>+BE674-BA674</f>
        <v>12436912</v>
      </c>
    </row>
    <row r="675" spans="4:72" x14ac:dyDescent="0.3">
      <c r="D675" s="56">
        <f>+D674+N675</f>
        <v>50857142.857142866</v>
      </c>
      <c r="H675" t="s">
        <v>138</v>
      </c>
      <c r="J675">
        <v>30</v>
      </c>
      <c r="N675" s="1">
        <f>+J675*H$671</f>
        <v>17142857.142857146</v>
      </c>
      <c r="AR675" s="500"/>
      <c r="AS675" s="533"/>
      <c r="AT675" s="627" t="s">
        <v>163</v>
      </c>
      <c r="AU675" s="627"/>
      <c r="AV675" s="627"/>
      <c r="AW675" s="627"/>
      <c r="AX675" s="627"/>
      <c r="AY675" s="627"/>
      <c r="AZ675" s="627"/>
      <c r="BA675" s="562">
        <f>+BA688-BA686</f>
        <v>16784558</v>
      </c>
      <c r="BB675" s="561"/>
      <c r="BC675" s="561">
        <v>1</v>
      </c>
      <c r="BD675" s="561"/>
      <c r="BE675" s="563">
        <f>+BC675*BA675</f>
        <v>16784558</v>
      </c>
      <c r="BF675" s="561"/>
      <c r="BG675" s="561"/>
      <c r="BH675" s="533"/>
      <c r="BI675" s="500"/>
      <c r="BP675" s="56">
        <f>+BE675-BA675</f>
        <v>0</v>
      </c>
    </row>
    <row r="676" spans="4:72" x14ac:dyDescent="0.3">
      <c r="D676" s="56">
        <f>+D675+N676</f>
        <v>68571428.571428582</v>
      </c>
      <c r="H676" t="s">
        <v>139</v>
      </c>
      <c r="J676">
        <v>31</v>
      </c>
      <c r="N676" s="1">
        <f>+J676*H$671</f>
        <v>17714285.714285716</v>
      </c>
      <c r="AR676" s="500"/>
      <c r="AS676" s="533"/>
      <c r="AT676" s="569" t="s">
        <v>183</v>
      </c>
      <c r="AU676" s="561"/>
      <c r="AV676" s="561"/>
      <c r="AW676" s="561"/>
      <c r="AX676" s="561"/>
      <c r="AY676" s="561"/>
      <c r="AZ676" s="561"/>
      <c r="BA676" s="562">
        <f>SUM(D328:D386)</f>
        <v>4197929</v>
      </c>
      <c r="BB676" s="561"/>
      <c r="BC676" s="561">
        <v>1</v>
      </c>
      <c r="BD676" s="561"/>
      <c r="BE676" s="563">
        <f>+BC676*BA676</f>
        <v>4197929</v>
      </c>
      <c r="BF676" s="561"/>
      <c r="BG676" s="561"/>
      <c r="BH676" s="533"/>
      <c r="BI676" s="500"/>
      <c r="BP676" s="56">
        <f>+BE676-BA676</f>
        <v>0</v>
      </c>
    </row>
    <row r="677" spans="4:72" x14ac:dyDescent="0.3">
      <c r="D677" s="56"/>
      <c r="N677" s="1"/>
      <c r="AR677" s="500"/>
      <c r="AS677" s="533"/>
      <c r="AT677" s="569" t="s">
        <v>188</v>
      </c>
      <c r="AU677" s="561"/>
      <c r="AV677" s="561"/>
      <c r="AW677" s="561"/>
      <c r="AX677" s="561"/>
      <c r="AY677" s="561"/>
      <c r="AZ677" s="561"/>
      <c r="BA677" s="562">
        <f>SUM(D387:D509)</f>
        <v>4225210</v>
      </c>
      <c r="BB677" s="561"/>
      <c r="BC677" s="561">
        <v>1</v>
      </c>
      <c r="BD677" s="561"/>
      <c r="BE677" s="563">
        <f>+BC677*BA677</f>
        <v>4225210</v>
      </c>
      <c r="BF677" s="561"/>
      <c r="BG677" s="561"/>
      <c r="BH677" s="533"/>
      <c r="BI677" s="500"/>
      <c r="BP677" s="56"/>
    </row>
    <row r="678" spans="4:72" x14ac:dyDescent="0.3">
      <c r="AR678" s="500"/>
      <c r="AS678" s="533"/>
      <c r="AT678" s="627" t="s">
        <v>189</v>
      </c>
      <c r="AU678" s="627"/>
      <c r="AV678" s="627"/>
      <c r="AW678" s="627"/>
      <c r="AX678" s="627"/>
      <c r="AY678" s="627"/>
      <c r="AZ678" s="627"/>
      <c r="BA678" s="562">
        <f>SUM(D510:D572)</f>
        <v>7088809</v>
      </c>
      <c r="BB678" s="561"/>
      <c r="BC678" s="561"/>
      <c r="BD678" s="561"/>
      <c r="BE678" s="563"/>
      <c r="BF678" s="561"/>
      <c r="BG678" s="561"/>
      <c r="BH678" s="533"/>
      <c r="BI678" s="500"/>
      <c r="BP678" s="56">
        <f>+BA676-BA677</f>
        <v>-27281</v>
      </c>
    </row>
    <row r="679" spans="4:72" ht="15" thickBot="1" x14ac:dyDescent="0.35">
      <c r="D679" s="56">
        <f>+BE679+D676</f>
        <v>177585275.5714286</v>
      </c>
      <c r="H679" s="59">
        <f>+D679/320000000</f>
        <v>0.55495398616071434</v>
      </c>
      <c r="AR679" s="500"/>
      <c r="AS679" s="533"/>
      <c r="AT679" s="561"/>
      <c r="AU679" s="561"/>
      <c r="AV679" s="561"/>
      <c r="AW679" s="561"/>
      <c r="AX679" s="561"/>
      <c r="AY679" s="561"/>
      <c r="AZ679" s="561"/>
      <c r="BA679" s="564">
        <f>SUM(BA673:BA678)</f>
        <v>42231735</v>
      </c>
      <c r="BB679" s="561"/>
      <c r="BC679" s="561"/>
      <c r="BD679" s="561"/>
      <c r="BE679" s="564">
        <f>SUM(BE673:BE678)</f>
        <v>109013847</v>
      </c>
      <c r="BF679" s="561"/>
      <c r="BG679" s="565">
        <f>+BE679/320000000</f>
        <v>0.34066827187499998</v>
      </c>
      <c r="BH679" s="533"/>
      <c r="BI679" s="500"/>
      <c r="BP679" s="59">
        <f>+BP678/BA676</f>
        <v>-6.4986806589630271E-3</v>
      </c>
    </row>
    <row r="680" spans="4:72" ht="15" thickTop="1" x14ac:dyDescent="0.3">
      <c r="D680" s="56"/>
      <c r="H680" s="59"/>
      <c r="AR680" s="500"/>
      <c r="AS680" s="533"/>
      <c r="AT680" s="575" t="s">
        <v>185</v>
      </c>
      <c r="AU680" s="561"/>
      <c r="AV680" s="561"/>
      <c r="AW680" s="561"/>
      <c r="AX680" s="561"/>
      <c r="AY680" s="561"/>
      <c r="AZ680" s="561"/>
      <c r="BA680" s="484">
        <f>+BY700</f>
        <v>0.557027027027027</v>
      </c>
      <c r="BB680" s="561"/>
      <c r="BC680" s="561"/>
      <c r="BD680" s="561"/>
      <c r="BE680" s="574"/>
      <c r="BF680" s="561"/>
      <c r="BG680" s="484"/>
      <c r="BH680" s="533"/>
      <c r="BI680" s="500"/>
      <c r="BP680" s="59"/>
    </row>
    <row r="681" spans="4:72" x14ac:dyDescent="0.3">
      <c r="D681" s="56"/>
      <c r="H681" s="59"/>
      <c r="AR681" s="500"/>
      <c r="AS681" s="533"/>
      <c r="AT681" s="575" t="s">
        <v>187</v>
      </c>
      <c r="AU681" s="561"/>
      <c r="AV681" s="561"/>
      <c r="AW681" s="561"/>
      <c r="AX681" s="561"/>
      <c r="AY681" s="561"/>
      <c r="AZ681" s="561"/>
      <c r="BA681" s="576">
        <f>+BA679*BA680</f>
        <v>23524217.793243241</v>
      </c>
      <c r="BB681" s="561"/>
      <c r="BC681" s="561"/>
      <c r="BD681" s="561"/>
      <c r="BE681" s="574"/>
      <c r="BF681" s="561"/>
      <c r="BG681" s="484"/>
      <c r="BH681" s="533"/>
      <c r="BI681" s="500"/>
      <c r="BP681" s="59"/>
    </row>
    <row r="682" spans="4:72" ht="15" thickBot="1" x14ac:dyDescent="0.35">
      <c r="D682" s="56"/>
      <c r="H682" s="59"/>
      <c r="AR682" s="500"/>
      <c r="AS682" s="533"/>
      <c r="AT682" s="575" t="s">
        <v>186</v>
      </c>
      <c r="AU682" s="561"/>
      <c r="AV682" s="561"/>
      <c r="AW682" s="561"/>
      <c r="AX682" s="561"/>
      <c r="AY682" s="561"/>
      <c r="AZ682" s="561"/>
      <c r="BA682" s="564">
        <f>+BA679-BA681</f>
        <v>18707517.206756759</v>
      </c>
      <c r="BB682" s="561"/>
      <c r="BC682" s="561"/>
      <c r="BD682" s="561"/>
      <c r="BE682" s="574"/>
      <c r="BF682" s="561"/>
      <c r="BG682" s="484"/>
      <c r="BH682" s="533"/>
      <c r="BI682" s="500"/>
      <c r="BP682" s="59"/>
    </row>
    <row r="683" spans="4:72" ht="15" thickTop="1" x14ac:dyDescent="0.3">
      <c r="AR683" s="500"/>
      <c r="AS683" s="533"/>
      <c r="AT683" s="561"/>
      <c r="AU683" s="561"/>
      <c r="AV683" s="561"/>
      <c r="AW683" s="561"/>
      <c r="AX683" s="561"/>
      <c r="AY683" s="561"/>
      <c r="AZ683" s="561"/>
      <c r="BA683" s="561"/>
      <c r="BB683" s="561"/>
      <c r="BC683" s="561"/>
      <c r="BD683" s="561"/>
      <c r="BE683" s="561"/>
      <c r="BF683" s="561"/>
      <c r="BG683" s="561"/>
      <c r="BH683" s="533"/>
      <c r="BI683" s="500"/>
      <c r="BP683">
        <v>35761323</v>
      </c>
      <c r="BR683" s="56">
        <f>+BA679-BP683</f>
        <v>6470412</v>
      </c>
    </row>
    <row r="684" spans="4:72" x14ac:dyDescent="0.3">
      <c r="AR684" s="500"/>
      <c r="AS684" s="500"/>
      <c r="AT684" s="500"/>
      <c r="AU684" s="500"/>
      <c r="AV684" s="500"/>
      <c r="AW684" s="500"/>
      <c r="AX684" s="500"/>
      <c r="AY684" s="500"/>
      <c r="AZ684" s="500"/>
      <c r="BA684" s="500"/>
      <c r="BB684" s="500"/>
      <c r="BC684" s="500"/>
      <c r="BD684" s="500"/>
      <c r="BE684" s="500"/>
      <c r="BF684" s="500"/>
      <c r="BG684" s="500"/>
      <c r="BH684" s="500"/>
      <c r="BI684" s="500"/>
    </row>
    <row r="685" spans="4:72" x14ac:dyDescent="0.3">
      <c r="BP685" s="585">
        <v>221538504.58886749</v>
      </c>
      <c r="BQ685" s="586"/>
      <c r="BR685" s="586"/>
      <c r="BS685" s="586"/>
      <c r="BT685" s="586"/>
    </row>
    <row r="686" spans="4:72" x14ac:dyDescent="0.3">
      <c r="AV686" t="s">
        <v>153</v>
      </c>
      <c r="BA686" s="56">
        <f>+H235</f>
        <v>9935229</v>
      </c>
    </row>
    <row r="688" spans="4:72" x14ac:dyDescent="0.3">
      <c r="AV688" t="s">
        <v>164</v>
      </c>
      <c r="BA688" s="56">
        <f>+H327</f>
        <v>26719787</v>
      </c>
    </row>
    <row r="689" spans="44:90" x14ac:dyDescent="0.3">
      <c r="BA689" s="56"/>
    </row>
    <row r="690" spans="44:90" x14ac:dyDescent="0.3">
      <c r="AR690" s="500"/>
      <c r="AS690" s="500"/>
      <c r="AT690" s="500"/>
      <c r="AU690" s="500"/>
      <c r="AV690" s="500"/>
      <c r="AW690" s="500"/>
      <c r="AX690" s="500"/>
      <c r="AY690" s="500"/>
      <c r="AZ690" s="500"/>
      <c r="BA690" s="557"/>
      <c r="BB690" s="500"/>
      <c r="BC690" s="500"/>
      <c r="BD690" s="500"/>
      <c r="BE690" s="500"/>
      <c r="BF690" s="500"/>
      <c r="BG690" s="500"/>
      <c r="BH690" s="500"/>
      <c r="BI690" s="500"/>
      <c r="BJ690" s="500"/>
      <c r="BK690" s="500"/>
      <c r="BL690" s="500"/>
      <c r="BM690" s="500"/>
      <c r="BN690" s="500"/>
      <c r="BO690" s="500"/>
      <c r="BP690" s="500"/>
      <c r="BQ690" s="500"/>
      <c r="BR690" s="500"/>
      <c r="BS690" s="500"/>
      <c r="BT690" s="500"/>
      <c r="BU690" s="500"/>
      <c r="BV690" s="500"/>
      <c r="BW690" s="500"/>
    </row>
    <row r="691" spans="44:90" ht="14.4" customHeight="1" x14ac:dyDescent="0.3">
      <c r="AR691" s="500"/>
      <c r="AS691" s="533"/>
      <c r="AT691" s="607" t="s">
        <v>176</v>
      </c>
      <c r="AU691" s="607"/>
      <c r="AV691" s="607"/>
      <c r="AW691" s="607"/>
      <c r="AX691" s="607"/>
      <c r="AY691" s="607"/>
      <c r="AZ691" s="607"/>
      <c r="BA691" s="607"/>
      <c r="BB691" s="607"/>
      <c r="BC691" s="607"/>
      <c r="BD691" s="607"/>
      <c r="BE691" s="607"/>
      <c r="BF691" s="607"/>
      <c r="BG691" s="607"/>
      <c r="BH691" s="607"/>
      <c r="BI691" s="607"/>
      <c r="BJ691" s="607"/>
      <c r="BK691" s="607"/>
      <c r="BL691" s="607"/>
      <c r="BM691" s="607"/>
      <c r="BN691" s="607"/>
      <c r="BO691" s="607"/>
      <c r="BP691" s="607"/>
      <c r="BQ691" s="607"/>
      <c r="BR691" s="607"/>
      <c r="BS691" s="607"/>
      <c r="BT691" s="607"/>
      <c r="BU691" s="607"/>
      <c r="BV691" s="607"/>
      <c r="BW691" s="500"/>
    </row>
    <row r="692" spans="44:90" ht="14.4" customHeight="1" x14ac:dyDescent="0.3">
      <c r="AR692" s="500"/>
      <c r="AS692" s="533"/>
      <c r="AT692" s="533"/>
      <c r="AU692" s="533"/>
      <c r="AV692" s="533"/>
      <c r="AW692" s="533"/>
      <c r="AX692" s="533"/>
      <c r="AY692" s="533"/>
      <c r="AZ692" s="533"/>
      <c r="BA692" s="628" t="s">
        <v>172</v>
      </c>
      <c r="BB692" s="628"/>
      <c r="BC692" s="628"/>
      <c r="BD692" s="628"/>
      <c r="BE692" s="628"/>
      <c r="BF692" s="561"/>
      <c r="BG692" s="607" t="s">
        <v>180</v>
      </c>
      <c r="BH692" s="607"/>
      <c r="BI692" s="607"/>
      <c r="BJ692" s="607"/>
      <c r="BK692" s="607"/>
      <c r="BL692" s="607"/>
      <c r="BM692" s="607"/>
      <c r="BN692" s="607"/>
      <c r="BO692" s="607"/>
      <c r="BP692" s="607"/>
      <c r="BQ692" s="533"/>
      <c r="BR692" s="634" t="s">
        <v>176</v>
      </c>
      <c r="BS692" s="634"/>
      <c r="BT692" s="634"/>
      <c r="BU692" s="634"/>
      <c r="BV692" s="634"/>
      <c r="BW692" s="500"/>
    </row>
    <row r="693" spans="44:90" x14ac:dyDescent="0.3">
      <c r="AR693" s="500"/>
      <c r="AS693" s="533"/>
      <c r="AT693" s="533"/>
      <c r="AU693" s="533"/>
      <c r="AV693" s="533"/>
      <c r="AW693" s="533"/>
      <c r="AX693" s="533"/>
      <c r="AY693" s="533"/>
      <c r="AZ693" s="533"/>
      <c r="BA693" s="570" t="s">
        <v>177</v>
      </c>
      <c r="BB693" s="571"/>
      <c r="BC693" s="572" t="s">
        <v>182</v>
      </c>
      <c r="BD693" s="571"/>
      <c r="BE693" s="572" t="s">
        <v>178</v>
      </c>
      <c r="BF693" s="561"/>
      <c r="BG693" s="570"/>
      <c r="BH693" s="571"/>
      <c r="BI693" s="629"/>
      <c r="BJ693" s="629"/>
      <c r="BK693" s="629"/>
      <c r="BL693" s="629"/>
      <c r="BM693" s="629"/>
      <c r="BN693" s="629"/>
      <c r="BO693" s="473"/>
      <c r="BP693" s="572"/>
      <c r="BQ693" s="533"/>
      <c r="BR693" s="635"/>
      <c r="BS693" s="635"/>
      <c r="BT693" s="635"/>
      <c r="BU693" s="635"/>
      <c r="BV693" s="635"/>
      <c r="BW693" s="500"/>
    </row>
    <row r="694" spans="44:90" x14ac:dyDescent="0.3">
      <c r="AR694" s="500"/>
      <c r="AS694" s="533"/>
      <c r="AT694" s="533"/>
      <c r="AU694" s="533"/>
      <c r="AV694" s="533"/>
      <c r="AW694" s="533"/>
      <c r="AX694" s="533"/>
      <c r="AY694" s="533"/>
      <c r="AZ694" s="533"/>
      <c r="BA694" s="568" t="s">
        <v>173</v>
      </c>
      <c r="BB694" s="566"/>
      <c r="BC694" s="568" t="s">
        <v>175</v>
      </c>
      <c r="BD694" s="566"/>
      <c r="BE694" s="568" t="s">
        <v>174</v>
      </c>
      <c r="BF694" s="561"/>
      <c r="BG694" s="567" t="s">
        <v>180</v>
      </c>
      <c r="BH694" s="561"/>
      <c r="BI694" s="594" t="s">
        <v>184</v>
      </c>
      <c r="BJ694" s="594"/>
      <c r="BK694" s="594"/>
      <c r="BL694" s="594"/>
      <c r="BM694" s="594"/>
      <c r="BN694" s="594"/>
      <c r="BO694" s="561"/>
      <c r="BP694" s="568" t="s">
        <v>181</v>
      </c>
      <c r="BQ694" s="533"/>
      <c r="BR694" s="636" t="s">
        <v>179</v>
      </c>
      <c r="BS694" s="636"/>
      <c r="BT694" s="636"/>
      <c r="BU694" s="636"/>
      <c r="BV694" s="636"/>
      <c r="BW694" s="500"/>
    </row>
    <row r="695" spans="44:90" x14ac:dyDescent="0.3">
      <c r="AR695" s="500"/>
      <c r="AS695" s="533"/>
      <c r="AT695" s="627" t="s">
        <v>162</v>
      </c>
      <c r="AU695" s="627"/>
      <c r="AV695" s="627"/>
      <c r="AW695" s="627"/>
      <c r="AX695" s="627"/>
      <c r="AY695" s="561"/>
      <c r="AZ695" s="561"/>
      <c r="BA695" s="562">
        <f>+BA673</f>
        <v>6826001</v>
      </c>
      <c r="BB695" s="561"/>
      <c r="BC695" s="562">
        <f>+BE695-BA695</f>
        <v>61434009</v>
      </c>
      <c r="BD695" s="561"/>
      <c r="BE695" s="562">
        <f>+BE673</f>
        <v>68260010</v>
      </c>
      <c r="BF695" s="533"/>
      <c r="BG695" s="563">
        <v>0</v>
      </c>
      <c r="BH695" s="563"/>
      <c r="BI695" s="563"/>
      <c r="BJ695" s="563"/>
      <c r="BK695" s="563"/>
      <c r="BL695" s="563"/>
      <c r="BM695" s="563"/>
      <c r="BN695" s="563">
        <f>+BG695</f>
        <v>0</v>
      </c>
      <c r="BO695" s="563"/>
      <c r="BP695" s="563">
        <f>+BN695*0.5</f>
        <v>0</v>
      </c>
      <c r="BQ695" s="561"/>
      <c r="BR695" s="585">
        <f t="shared" ref="BR695:BR700" si="1176">+BE695+BP695</f>
        <v>68260010</v>
      </c>
      <c r="BS695" s="586"/>
      <c r="BT695" s="586"/>
      <c r="BU695" s="586"/>
      <c r="BV695" s="586"/>
      <c r="BW695" s="500"/>
      <c r="CA695" s="56">
        <f>+BR695</f>
        <v>68260010</v>
      </c>
    </row>
    <row r="696" spans="44:90" x14ac:dyDescent="0.3">
      <c r="AR696" s="500"/>
      <c r="AS696" s="533"/>
      <c r="AT696" s="627" t="s">
        <v>171</v>
      </c>
      <c r="AU696" s="627"/>
      <c r="AV696" s="627"/>
      <c r="AW696" s="627"/>
      <c r="AX696" s="627"/>
      <c r="AY696" s="561"/>
      <c r="AZ696" s="561"/>
      <c r="BA696" s="562">
        <f>+BA695+BA674</f>
        <v>9935229</v>
      </c>
      <c r="BB696" s="561"/>
      <c r="BC696" s="562">
        <f>+BE696-BA696</f>
        <v>73870921</v>
      </c>
      <c r="BD696" s="561"/>
      <c r="BE696" s="562">
        <f>+BE695+BE674</f>
        <v>83806150</v>
      </c>
      <c r="BF696" s="533"/>
      <c r="BG696" s="563">
        <v>0</v>
      </c>
      <c r="BH696" s="563"/>
      <c r="BI696" s="563"/>
      <c r="BJ696" s="563"/>
      <c r="BK696" s="563"/>
      <c r="BL696" s="563"/>
      <c r="BM696" s="563"/>
      <c r="BN696" s="563">
        <f>+BN695+BG696</f>
        <v>0</v>
      </c>
      <c r="BO696" s="563"/>
      <c r="BP696" s="563">
        <f>+BN696*0.5</f>
        <v>0</v>
      </c>
      <c r="BQ696" s="561"/>
      <c r="BR696" s="585">
        <f t="shared" si="1176"/>
        <v>83806150</v>
      </c>
      <c r="BS696" s="586"/>
      <c r="BT696" s="586"/>
      <c r="BU696" s="586"/>
      <c r="BV696" s="586"/>
      <c r="BW696" s="500"/>
    </row>
    <row r="697" spans="44:90" x14ac:dyDescent="0.3">
      <c r="AR697" s="500"/>
      <c r="AS697" s="533"/>
      <c r="AT697" s="627" t="s">
        <v>163</v>
      </c>
      <c r="AU697" s="627"/>
      <c r="AV697" s="627"/>
      <c r="AW697" s="627"/>
      <c r="AX697" s="627"/>
      <c r="AY697" s="627"/>
      <c r="AZ697" s="627"/>
      <c r="BA697" s="562">
        <f>+BA696+BA675</f>
        <v>26719787</v>
      </c>
      <c r="BB697" s="561"/>
      <c r="BC697" s="562">
        <f>(+BE697-BA697)*(1-0.2)</f>
        <v>59096736.800000004</v>
      </c>
      <c r="BD697" s="561"/>
      <c r="BE697" s="562">
        <f>+BE696+BE675</f>
        <v>100590708</v>
      </c>
      <c r="BF697" s="533"/>
      <c r="BG697" s="563">
        <f>13400000+5660000</f>
        <v>19060000</v>
      </c>
      <c r="BH697" s="563"/>
      <c r="BI697" s="587"/>
      <c r="BJ697" s="587"/>
      <c r="BK697" s="587"/>
      <c r="BL697" s="587"/>
      <c r="BM697" s="587"/>
      <c r="BN697" s="587"/>
      <c r="BO697" s="563"/>
      <c r="BP697" s="563">
        <f>+BG697</f>
        <v>19060000</v>
      </c>
      <c r="BQ697" s="561"/>
      <c r="BR697" s="585">
        <f t="shared" si="1176"/>
        <v>119650708</v>
      </c>
      <c r="BS697" s="586"/>
      <c r="BT697" s="586"/>
      <c r="BU697" s="586"/>
      <c r="BV697" s="586"/>
      <c r="BW697" s="500"/>
    </row>
    <row r="698" spans="44:90" x14ac:dyDescent="0.3">
      <c r="AR698" s="500"/>
      <c r="AS698" s="533"/>
      <c r="AT698" s="569" t="s">
        <v>183</v>
      </c>
      <c r="AU698" s="561"/>
      <c r="AV698" s="561"/>
      <c r="AW698" s="561"/>
      <c r="AX698" s="561"/>
      <c r="AY698" s="561"/>
      <c r="AZ698" s="561"/>
      <c r="BA698" s="562">
        <f>+BA697+BA676</f>
        <v>30917716</v>
      </c>
      <c r="BB698" s="561"/>
      <c r="BC698" s="562">
        <f>(+BE698-BA698)*(1-0.34)</f>
        <v>48754807.859999992</v>
      </c>
      <c r="BD698" s="561"/>
      <c r="BE698" s="562">
        <f>+BE697+BE676</f>
        <v>104788637</v>
      </c>
      <c r="BF698" s="533"/>
      <c r="BG698" s="563">
        <f>53420000-BG697</f>
        <v>34360000</v>
      </c>
      <c r="BH698" s="563"/>
      <c r="BI698" s="587"/>
      <c r="BJ698" s="587"/>
      <c r="BK698" s="587"/>
      <c r="BL698" s="587"/>
      <c r="BM698" s="587"/>
      <c r="BN698" s="587"/>
      <c r="BO698" s="563"/>
      <c r="BP698" s="563">
        <f>+BP697+BG698</f>
        <v>53420000</v>
      </c>
      <c r="BQ698" s="561"/>
      <c r="BR698" s="585">
        <f t="shared" si="1176"/>
        <v>158208637</v>
      </c>
      <c r="BS698" s="586"/>
      <c r="BT698" s="586"/>
      <c r="BU698" s="586"/>
      <c r="BV698" s="586"/>
      <c r="BW698" s="500"/>
    </row>
    <row r="699" spans="44:90" x14ac:dyDescent="0.3">
      <c r="AR699" s="500"/>
      <c r="AS699" s="533"/>
      <c r="AT699" s="569" t="s">
        <v>188</v>
      </c>
      <c r="AU699" s="561"/>
      <c r="AV699" s="561"/>
      <c r="AW699" s="561"/>
      <c r="AX699" s="561"/>
      <c r="AY699" s="561"/>
      <c r="AZ699" s="561"/>
      <c r="BA699" s="562">
        <v>17702720</v>
      </c>
      <c r="BB699" s="561"/>
      <c r="BC699" s="562">
        <v>36659557</v>
      </c>
      <c r="BD699" s="561"/>
      <c r="BE699" s="562">
        <f>+BA699+BC699</f>
        <v>54362277</v>
      </c>
      <c r="BF699" s="533"/>
      <c r="BG699" s="563">
        <f>164760000-BP698</f>
        <v>111340000</v>
      </c>
      <c r="BH699" s="563"/>
      <c r="BI699" s="587"/>
      <c r="BJ699" s="587"/>
      <c r="BK699" s="587"/>
      <c r="BL699" s="587"/>
      <c r="BM699" s="587"/>
      <c r="BN699" s="587"/>
      <c r="BO699" s="563"/>
      <c r="BP699" s="563">
        <f>+BP698+BG699</f>
        <v>164760000</v>
      </c>
      <c r="BQ699" s="561"/>
      <c r="BR699" s="585">
        <f t="shared" si="1176"/>
        <v>219122277</v>
      </c>
      <c r="BS699" s="586"/>
      <c r="BT699" s="586"/>
      <c r="BU699" s="586"/>
      <c r="BV699" s="586"/>
      <c r="BW699" s="500"/>
      <c r="CL699" s="1">
        <v>333000000</v>
      </c>
    </row>
    <row r="700" spans="44:90" x14ac:dyDescent="0.3">
      <c r="AR700" s="500"/>
      <c r="AS700" s="533"/>
      <c r="AT700" s="569" t="s">
        <v>189</v>
      </c>
      <c r="AU700" s="561"/>
      <c r="AV700" s="561"/>
      <c r="AW700" s="561"/>
      <c r="AX700" s="561"/>
      <c r="AY700" s="561"/>
      <c r="AZ700" s="561"/>
      <c r="BA700" s="562">
        <f>+BA682</f>
        <v>18707517.206756759</v>
      </c>
      <c r="BB700" s="561"/>
      <c r="BC700" s="562">
        <f>+BC696*BY700</f>
        <v>41148099.508378379</v>
      </c>
      <c r="BD700" s="561"/>
      <c r="BE700" s="562">
        <f>+BA700+BC700</f>
        <v>59855616.715135142</v>
      </c>
      <c r="BF700" s="533"/>
      <c r="BG700" s="563">
        <f>185490000-BP699</f>
        <v>20730000</v>
      </c>
      <c r="BH700" s="563"/>
      <c r="BI700" s="587"/>
      <c r="BJ700" s="587"/>
      <c r="BK700" s="587"/>
      <c r="BL700" s="587"/>
      <c r="BM700" s="587"/>
      <c r="BN700" s="587"/>
      <c r="BO700" s="563"/>
      <c r="BP700" s="563">
        <f>+BP699+BG700</f>
        <v>185490000</v>
      </c>
      <c r="BQ700" s="561"/>
      <c r="BR700" s="585">
        <f t="shared" si="1176"/>
        <v>245345616.71513516</v>
      </c>
      <c r="BS700" s="585"/>
      <c r="BT700" s="585"/>
      <c r="BU700" s="585"/>
      <c r="BV700" s="585"/>
      <c r="BW700" s="500"/>
      <c r="BY700" s="59">
        <f>+BP700/CL699</f>
        <v>0.557027027027027</v>
      </c>
      <c r="CL700" s="1"/>
    </row>
    <row r="701" spans="44:90" x14ac:dyDescent="0.3">
      <c r="AR701" s="500"/>
      <c r="AS701" s="500"/>
      <c r="AT701" s="500"/>
      <c r="AU701" s="500"/>
      <c r="AV701" s="500"/>
      <c r="AW701" s="500"/>
      <c r="AX701" s="500"/>
      <c r="AY701" s="500"/>
      <c r="AZ701" s="500"/>
      <c r="BA701" s="500"/>
      <c r="BB701" s="500"/>
      <c r="BC701" s="500"/>
      <c r="BD701" s="500"/>
      <c r="BE701" s="500"/>
      <c r="BF701" s="500"/>
      <c r="BG701" s="500"/>
      <c r="BH701" s="500"/>
      <c r="BI701" s="500"/>
      <c r="BJ701" s="500"/>
      <c r="BK701" s="500"/>
      <c r="BL701" s="500"/>
      <c r="BM701" s="500"/>
      <c r="BN701" s="500"/>
      <c r="BO701" s="500"/>
      <c r="BP701" s="500"/>
      <c r="BQ701" s="500"/>
      <c r="BR701" s="500"/>
      <c r="BS701" s="500"/>
      <c r="BT701" s="500"/>
      <c r="BU701" s="500"/>
      <c r="BV701" s="500"/>
      <c r="BW701" s="500"/>
      <c r="CL701" s="59">
        <f>+BR700/CL699</f>
        <v>0.73677362376917466</v>
      </c>
    </row>
    <row r="703" spans="44:90" x14ac:dyDescent="0.3">
      <c r="BA703" s="56">
        <f>+BR699+BA681</f>
        <v>242646494.79324323</v>
      </c>
      <c r="BC703" s="59">
        <f>+BA703/CL699</f>
        <v>0.72866815253226191</v>
      </c>
      <c r="BE703" s="56"/>
      <c r="BG703" s="1">
        <v>183670000</v>
      </c>
      <c r="BP703" s="1">
        <f>+(BP700-BP699)/2</f>
        <v>10365000</v>
      </c>
      <c r="CL703" s="56">
        <f>+CL699-BR699</f>
        <v>113877723</v>
      </c>
    </row>
    <row r="704" spans="44:90" x14ac:dyDescent="0.3">
      <c r="BG704" s="56">
        <f>+BP700-BG703</f>
        <v>1820000</v>
      </c>
      <c r="BP704" s="56">
        <v>1800000</v>
      </c>
    </row>
    <row r="705" spans="42:90" ht="15" thickBot="1" x14ac:dyDescent="0.35">
      <c r="BP705" s="578">
        <f>+BP703-BP704</f>
        <v>8565000</v>
      </c>
    </row>
    <row r="706" spans="42:90" ht="15" thickTop="1" x14ac:dyDescent="0.3">
      <c r="CL706" s="59">
        <f>+BP699/CL699</f>
        <v>0.49477477477477477</v>
      </c>
    </row>
    <row r="708" spans="42:90" x14ac:dyDescent="0.3">
      <c r="BE708" s="500"/>
      <c r="BF708" s="500"/>
      <c r="BG708" s="500"/>
      <c r="BH708" s="500"/>
      <c r="BI708" s="500"/>
      <c r="BJ708" s="500"/>
      <c r="BK708" s="500"/>
      <c r="BL708" s="500"/>
      <c r="BM708" s="500"/>
      <c r="BN708" s="500"/>
      <c r="BO708" s="500"/>
      <c r="BP708" s="500"/>
      <c r="BQ708" s="500"/>
      <c r="BR708" s="500"/>
      <c r="BS708" s="500"/>
      <c r="BT708" s="500"/>
      <c r="BU708" s="500"/>
      <c r="BV708" s="500"/>
      <c r="BW708" s="500"/>
      <c r="BX708" s="500"/>
      <c r="BY708" s="500"/>
    </row>
    <row r="709" spans="42:90" x14ac:dyDescent="0.3">
      <c r="BE709" s="500"/>
      <c r="BF709" s="500"/>
      <c r="BG709" s="500"/>
      <c r="BH709" s="500"/>
      <c r="BI709" s="500"/>
      <c r="BJ709" s="500"/>
      <c r="BK709" s="500"/>
      <c r="BL709" s="500"/>
      <c r="BM709" s="500"/>
      <c r="BN709" s="500"/>
      <c r="BO709" s="500"/>
      <c r="BP709" s="500"/>
      <c r="BQ709" s="500"/>
      <c r="BR709" s="500"/>
      <c r="BS709" s="500"/>
      <c r="BT709" s="500"/>
      <c r="BU709" s="500"/>
      <c r="BV709" s="500"/>
      <c r="BW709" s="500"/>
      <c r="BX709" s="500"/>
      <c r="BY709" s="500"/>
    </row>
    <row r="710" spans="42:90" x14ac:dyDescent="0.3">
      <c r="AP710" s="1">
        <v>1500000</v>
      </c>
      <c r="BE710" s="500"/>
      <c r="BF710" s="500"/>
      <c r="BG710" s="500"/>
      <c r="BH710" s="500"/>
      <c r="BI710" s="500"/>
      <c r="BJ710" s="500"/>
      <c r="BK710" s="500"/>
      <c r="BL710" s="500"/>
      <c r="BM710" s="500"/>
      <c r="BN710" s="500"/>
      <c r="BO710" s="500"/>
      <c r="BP710" s="500"/>
      <c r="BQ710" s="500"/>
      <c r="BR710" s="500"/>
      <c r="BS710" s="500"/>
      <c r="BT710" s="500"/>
      <c r="BU710" s="500"/>
      <c r="BV710" s="500"/>
      <c r="BW710" s="500"/>
      <c r="BX710" s="500"/>
      <c r="BY710" s="500"/>
    </row>
    <row r="711" spans="42:90" x14ac:dyDescent="0.3">
      <c r="AP711">
        <v>7</v>
      </c>
      <c r="BE711" s="500"/>
      <c r="BY711" s="500"/>
      <c r="CL711">
        <v>177090000</v>
      </c>
    </row>
    <row r="712" spans="42:90" x14ac:dyDescent="0.3">
      <c r="AP712" s="1">
        <f>+AP710*AP711</f>
        <v>10500000</v>
      </c>
      <c r="BE712" s="500"/>
      <c r="BY712" s="500"/>
      <c r="CL712" s="231">
        <f>+CL711/CL699</f>
        <v>0.53180180180180181</v>
      </c>
    </row>
    <row r="713" spans="42:90" x14ac:dyDescent="0.3">
      <c r="BE713" s="500"/>
      <c r="BY713" s="500"/>
    </row>
    <row r="714" spans="42:90" x14ac:dyDescent="0.3">
      <c r="BE714" s="500"/>
      <c r="BY714" s="500"/>
    </row>
    <row r="715" spans="42:90" x14ac:dyDescent="0.3">
      <c r="BE715" s="500"/>
      <c r="BY715" s="500"/>
      <c r="CL715" s="56">
        <f>+BR699+27420000</f>
        <v>246542277</v>
      </c>
    </row>
    <row r="716" spans="42:90" x14ac:dyDescent="0.3">
      <c r="BE716" s="500"/>
      <c r="BY716" s="500"/>
    </row>
    <row r="717" spans="42:90" x14ac:dyDescent="0.3">
      <c r="BE717" s="500"/>
      <c r="BY717" s="500"/>
      <c r="CL717" s="59">
        <f>+CL715/CL699</f>
        <v>0.74036719819819818</v>
      </c>
    </row>
    <row r="718" spans="42:90" x14ac:dyDescent="0.3">
      <c r="BE718" s="500"/>
      <c r="BY718" s="500"/>
    </row>
    <row r="719" spans="42:90" x14ac:dyDescent="0.3">
      <c r="BE719" s="500"/>
      <c r="BY719" s="500"/>
    </row>
    <row r="720" spans="42:90" x14ac:dyDescent="0.3">
      <c r="BE720" s="500"/>
      <c r="BY720" s="500"/>
    </row>
    <row r="721" spans="57:77" x14ac:dyDescent="0.3">
      <c r="BE721" s="500"/>
      <c r="BY721" s="500"/>
    </row>
    <row r="722" spans="57:77" x14ac:dyDescent="0.3">
      <c r="BE722" s="500"/>
      <c r="BY722" s="500"/>
    </row>
    <row r="723" spans="57:77" x14ac:dyDescent="0.3">
      <c r="BE723" s="500"/>
      <c r="BY723" s="500"/>
    </row>
    <row r="724" spans="57:77" x14ac:dyDescent="0.3">
      <c r="BE724" s="500"/>
      <c r="BF724" s="500"/>
      <c r="BG724" s="500"/>
      <c r="BH724" s="500"/>
      <c r="BI724" s="500"/>
      <c r="BJ724" s="500"/>
      <c r="BK724" s="500"/>
      <c r="BL724" s="500"/>
      <c r="BM724" s="500"/>
      <c r="BN724" s="500"/>
      <c r="BO724" s="500"/>
      <c r="BP724" s="500"/>
      <c r="BQ724" s="500"/>
      <c r="BR724" s="500"/>
      <c r="BS724" s="500"/>
      <c r="BT724" s="500"/>
      <c r="BU724" s="500"/>
      <c r="BV724" s="500"/>
      <c r="BW724" s="500"/>
      <c r="BX724" s="500"/>
      <c r="BY724" s="500"/>
    </row>
    <row r="725" spans="57:77" x14ac:dyDescent="0.3">
      <c r="BE725" s="500"/>
      <c r="BF725" s="500"/>
      <c r="BG725" s="500"/>
      <c r="BH725" s="500"/>
      <c r="BI725" s="500"/>
      <c r="BJ725" s="500"/>
      <c r="BK725" s="500"/>
      <c r="BL725" s="500"/>
      <c r="BM725" s="500"/>
      <c r="BN725" s="500"/>
      <c r="BO725" s="500"/>
      <c r="BP725" s="500"/>
      <c r="BQ725" s="500"/>
      <c r="BR725" s="500"/>
      <c r="BS725" s="500"/>
      <c r="BT725" s="500"/>
      <c r="BU725" s="500"/>
      <c r="BV725" s="500"/>
      <c r="BW725" s="500"/>
      <c r="BX725" s="500"/>
      <c r="BY725" s="500"/>
    </row>
    <row r="726" spans="57:77" x14ac:dyDescent="0.3">
      <c r="BE726" s="500"/>
      <c r="BF726" s="500"/>
      <c r="BG726" s="500"/>
      <c r="BH726" s="500"/>
      <c r="BI726" s="500"/>
      <c r="BJ726" s="500"/>
      <c r="BK726" s="500"/>
      <c r="BL726" s="500"/>
      <c r="BM726" s="500"/>
      <c r="BN726" s="500"/>
      <c r="BO726" s="500"/>
      <c r="BP726" s="500"/>
      <c r="BQ726" s="500"/>
      <c r="BR726" s="500"/>
      <c r="BS726" s="500"/>
      <c r="BT726" s="500"/>
      <c r="BU726" s="500"/>
      <c r="BV726" s="500"/>
      <c r="BW726" s="500"/>
      <c r="BX726" s="500"/>
      <c r="BY726" s="500"/>
    </row>
    <row r="727" spans="57:77" x14ac:dyDescent="0.3">
      <c r="BE727" s="500"/>
      <c r="BF727" s="500"/>
      <c r="BG727" s="500"/>
      <c r="BH727" s="500"/>
      <c r="BI727" s="500"/>
      <c r="BJ727" s="500"/>
      <c r="BK727" s="500"/>
      <c r="BL727" s="500"/>
      <c r="BM727" s="500"/>
      <c r="BN727" s="500"/>
      <c r="BO727" s="500"/>
      <c r="BP727" s="500"/>
      <c r="BQ727" s="500"/>
      <c r="BR727" s="500"/>
      <c r="BS727" s="500"/>
      <c r="BT727" s="500"/>
      <c r="BU727" s="500"/>
      <c r="BV727" s="500"/>
      <c r="BW727" s="500"/>
      <c r="BX727" s="500"/>
      <c r="BY727" s="500"/>
    </row>
    <row r="728" spans="57:77" x14ac:dyDescent="0.3">
      <c r="BE728" s="500"/>
      <c r="BF728" s="500"/>
      <c r="BG728" s="500"/>
      <c r="BH728" s="500"/>
      <c r="BI728" s="500"/>
      <c r="BJ728" s="500"/>
      <c r="BK728" s="500"/>
      <c r="BL728" s="500"/>
      <c r="BM728" s="500"/>
      <c r="BN728" s="500"/>
      <c r="BO728" s="500"/>
      <c r="BP728" s="500"/>
      <c r="BQ728" s="500"/>
      <c r="BR728" s="500"/>
      <c r="BS728" s="500"/>
      <c r="BT728" s="500"/>
      <c r="BU728" s="500"/>
      <c r="BV728" s="500"/>
      <c r="BW728" s="500"/>
      <c r="BX728" s="500"/>
      <c r="BY728" s="500"/>
    </row>
    <row r="729" spans="57:77" x14ac:dyDescent="0.3">
      <c r="BE729" s="500"/>
      <c r="BF729" s="500"/>
      <c r="BG729" s="500"/>
      <c r="BH729" s="500"/>
      <c r="BI729" s="500"/>
      <c r="BJ729" s="500"/>
      <c r="BK729" s="500"/>
      <c r="BL729" s="500"/>
      <c r="BM729" s="500"/>
      <c r="BN729" s="500"/>
      <c r="BO729" s="500"/>
      <c r="BP729" s="500"/>
      <c r="BQ729" s="500"/>
      <c r="BR729" s="500"/>
      <c r="BS729" s="500"/>
      <c r="BT729" s="500"/>
      <c r="BU729" s="500"/>
      <c r="BV729" s="500"/>
      <c r="BW729" s="500"/>
      <c r="BX729" s="500"/>
      <c r="BY729" s="500"/>
    </row>
    <row r="730" spans="57:77" x14ac:dyDescent="0.3">
      <c r="BE730" s="500"/>
      <c r="BF730" s="500"/>
      <c r="BG730" s="500"/>
      <c r="BH730" s="500"/>
      <c r="BI730" s="500"/>
      <c r="BJ730" s="500"/>
      <c r="BK730" s="500"/>
      <c r="BL730" s="500"/>
      <c r="BM730" s="500"/>
      <c r="BN730" s="500"/>
      <c r="BO730" s="500"/>
      <c r="BP730" s="500"/>
      <c r="BQ730" s="500"/>
      <c r="BR730" s="500"/>
      <c r="BS730" s="500"/>
      <c r="BT730" s="500"/>
      <c r="BU730" s="500"/>
      <c r="BV730" s="500"/>
      <c r="BW730" s="500"/>
      <c r="BX730" s="500"/>
      <c r="BY730" s="500"/>
    </row>
    <row r="731" spans="57:77" x14ac:dyDescent="0.3">
      <c r="BE731" s="500"/>
      <c r="BF731" s="500"/>
      <c r="BG731" s="500"/>
      <c r="BH731" s="500"/>
      <c r="BI731" s="500"/>
      <c r="BJ731" s="500"/>
      <c r="BK731" s="500"/>
      <c r="BL731" s="500"/>
      <c r="BM731" s="500"/>
      <c r="BN731" s="500"/>
      <c r="BO731" s="500"/>
      <c r="BP731" s="500"/>
      <c r="BQ731" s="500"/>
      <c r="BR731" s="500"/>
      <c r="BS731" s="500"/>
      <c r="BT731" s="500"/>
      <c r="BU731" s="500"/>
      <c r="BV731" s="500"/>
      <c r="BW731" s="500"/>
      <c r="BX731" s="500"/>
      <c r="BY731" s="500"/>
    </row>
  </sheetData>
  <mergeCells count="60">
    <mergeCell ref="BR700:BV700"/>
    <mergeCell ref="AV664:AY664"/>
    <mergeCell ref="BE671:BE672"/>
    <mergeCell ref="AV647:AX647"/>
    <mergeCell ref="BR692:BV693"/>
    <mergeCell ref="BR694:BV694"/>
    <mergeCell ref="AT674:AX674"/>
    <mergeCell ref="AT678:AZ678"/>
    <mergeCell ref="AT672:AY672"/>
    <mergeCell ref="AT675:AZ675"/>
    <mergeCell ref="AT691:BV691"/>
    <mergeCell ref="BG671:BG672"/>
    <mergeCell ref="AT673:AX673"/>
    <mergeCell ref="BP685:BT685"/>
    <mergeCell ref="BI699:BN699"/>
    <mergeCell ref="BR695:BV695"/>
    <mergeCell ref="AK604:AN604"/>
    <mergeCell ref="AS670:BH670"/>
    <mergeCell ref="H632:J632"/>
    <mergeCell ref="AK609:AN609"/>
    <mergeCell ref="BI700:BN700"/>
    <mergeCell ref="AT695:AX695"/>
    <mergeCell ref="AT696:AX696"/>
    <mergeCell ref="AT697:AZ697"/>
    <mergeCell ref="BA692:BE692"/>
    <mergeCell ref="BG692:BP692"/>
    <mergeCell ref="BI694:BN694"/>
    <mergeCell ref="BI693:BN693"/>
    <mergeCell ref="AK600:AN600"/>
    <mergeCell ref="AK610:AN610"/>
    <mergeCell ref="AV659:AX659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599:AV599"/>
    <mergeCell ref="AK601:AN601"/>
    <mergeCell ref="AK602:AN602"/>
    <mergeCell ref="AK603:AN603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R696:BV696"/>
    <mergeCell ref="BR697:BV697"/>
    <mergeCell ref="BR699:BV699"/>
    <mergeCell ref="BI698:BN698"/>
    <mergeCell ref="BR698:BV698"/>
    <mergeCell ref="BI697:BN697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605:AP607 AR605:AR60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597"/>
  <sheetViews>
    <sheetView topLeftCell="A555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8" t="s">
        <v>7</v>
      </c>
      <c r="F7" s="639"/>
      <c r="G7" s="643">
        <v>0.7</v>
      </c>
      <c r="H7" s="643"/>
      <c r="I7" s="643"/>
      <c r="J7" s="643"/>
      <c r="K7" s="643"/>
      <c r="L7" s="643"/>
      <c r="M7" s="643"/>
      <c r="N7" s="643"/>
      <c r="O7" s="643"/>
      <c r="P7" s="643"/>
      <c r="Q7" s="643"/>
      <c r="R7" s="643"/>
      <c r="S7" s="643"/>
      <c r="T7" s="643"/>
      <c r="U7" s="644"/>
    </row>
    <row r="8" spans="3:40" x14ac:dyDescent="0.3">
      <c r="E8" s="640" t="s">
        <v>110</v>
      </c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2"/>
    </row>
    <row r="9" spans="3:40" x14ac:dyDescent="0.3">
      <c r="E9" s="658" t="s">
        <v>35</v>
      </c>
      <c r="F9" s="659"/>
      <c r="G9" s="659"/>
      <c r="H9" s="659"/>
      <c r="I9" s="659"/>
      <c r="J9" s="659"/>
      <c r="K9" s="659"/>
      <c r="L9" s="659"/>
      <c r="M9" s="659"/>
      <c r="N9" s="659"/>
      <c r="O9" s="659"/>
      <c r="P9" s="660"/>
      <c r="Q9" s="656" t="s">
        <v>103</v>
      </c>
      <c r="R9" s="5"/>
      <c r="S9" s="653" t="s">
        <v>4</v>
      </c>
      <c r="T9" s="654"/>
      <c r="U9" s="655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7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50" t="s">
        <v>46</v>
      </c>
      <c r="AE14" s="651"/>
      <c r="AF14" s="652"/>
      <c r="AG14" s="193"/>
      <c r="AH14" s="648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49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+K585</f>
        <v>4038338</v>
      </c>
      <c r="AG16" s="187"/>
      <c r="AH16" s="201">
        <f>+AJ31</f>
        <v>12562.662870491173</v>
      </c>
      <c r="AI16" s="201"/>
      <c r="AJ16" s="202">
        <f>+S585</f>
        <v>91962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823485</v>
      </c>
      <c r="AG17" s="188"/>
      <c r="AH17" s="149">
        <v>11948</v>
      </c>
      <c r="AI17" s="201"/>
      <c r="AJ17" s="148">
        <v>18746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1478421</v>
      </c>
      <c r="AG18" s="188"/>
      <c r="AH18" s="149">
        <v>11548</v>
      </c>
      <c r="AI18" s="201"/>
      <c r="AJ18" s="148">
        <v>29907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6340244</v>
      </c>
      <c r="AG19" s="188"/>
      <c r="AH19" s="188"/>
      <c r="AI19" s="188"/>
      <c r="AJ19" s="206">
        <f>SUM(AJ16:AJ18)</f>
        <v>140615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Table'!H586</f>
        <v>0.1481699980107658</v>
      </c>
      <c r="AG21" s="188"/>
      <c r="AH21" s="188"/>
      <c r="AI21" s="188"/>
      <c r="AJ21" s="208">
        <f>+AJ19/'Main Table'!AA586</f>
        <v>0.20501280099841956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50" t="s">
        <v>120</v>
      </c>
      <c r="AB25" s="651"/>
      <c r="AC25" s="651"/>
      <c r="AD25" s="651"/>
      <c r="AE25" s="651"/>
      <c r="AF25" s="651"/>
      <c r="AG25" s="651"/>
      <c r="AH25" s="651"/>
      <c r="AI25" s="651"/>
      <c r="AJ25" s="651"/>
      <c r="AK25" s="652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+E585</f>
        <v>2472757</v>
      </c>
      <c r="AE27" s="155"/>
      <c r="AF27" s="186">
        <v>12711</v>
      </c>
      <c r="AG27" s="155"/>
      <c r="AH27" s="177">
        <f>+AD27/AD$31</f>
        <v>0.5086069566909367</v>
      </c>
      <c r="AI27" s="177"/>
      <c r="AJ27" s="155">
        <f>+AF27*AH27</f>
        <v>6464.9030264984967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+G585</f>
        <v>1171573</v>
      </c>
      <c r="AE28" s="155"/>
      <c r="AF28" s="186">
        <v>13190</v>
      </c>
      <c r="AG28" s="155"/>
      <c r="AH28" s="177">
        <f>+AD28/AD$31</f>
        <v>0.24097401324564879</v>
      </c>
      <c r="AI28" s="177"/>
      <c r="AJ28" s="155">
        <f>+AF28*AH28</f>
        <v>3178.4472347101078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+I585</f>
        <v>394008</v>
      </c>
      <c r="AE29" s="155"/>
      <c r="AF29" s="186">
        <v>11051</v>
      </c>
      <c r="AG29" s="155"/>
      <c r="AH29" s="177">
        <f>+AD29/AD$31</f>
        <v>8.1041206148393302E-2</v>
      </c>
      <c r="AI29" s="177"/>
      <c r="AJ29" s="155">
        <f>+AF29*AH29</f>
        <v>895.58636914589442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823485</v>
      </c>
      <c r="AE30" s="237"/>
      <c r="AF30" s="155">
        <f>+AH17</f>
        <v>11948</v>
      </c>
      <c r="AG30" s="237"/>
      <c r="AH30" s="177">
        <f>+AD30/AD$31</f>
        <v>0.16937782391502118</v>
      </c>
      <c r="AI30" s="237"/>
      <c r="AJ30" s="155">
        <f>+AF30*AH30</f>
        <v>2023.7262401366731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4861823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12562.662870491173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45" t="s">
        <v>29</v>
      </c>
      <c r="AB36" s="646"/>
      <c r="AC36" s="646"/>
      <c r="AD36" s="646"/>
      <c r="AE36" s="646"/>
      <c r="AF36" s="646"/>
      <c r="AG36" s="646"/>
      <c r="AH36" s="646"/>
      <c r="AI36" s="647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Table'!AA586</f>
        <v>685884</v>
      </c>
      <c r="AJ49" s="56">
        <f>+AJ19</f>
        <v>140615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140615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545269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229012.97999999998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316256.02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0.46109257542091669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:K472" si="80">SUM(E441:I441)</f>
        <v>3457181</v>
      </c>
      <c r="L441" s="6"/>
      <c r="M441" s="438">
        <f t="shared" ref="M441:M472" si="81">+(K441-K440)/K440</f>
        <v>4.1930334875505391E-4</v>
      </c>
      <c r="N441" s="29"/>
      <c r="O441" s="29"/>
      <c r="P441" s="29"/>
      <c r="Q441" s="332">
        <f t="shared" ref="Q441:Q472" si="82">+K441-K440</f>
        <v>1449</v>
      </c>
      <c r="R441" s="6"/>
      <c r="S441" s="7">
        <f>53164+26100+8219</f>
        <v>87483</v>
      </c>
      <c r="T441" s="6"/>
      <c r="U441" s="243">
        <f t="shared" ref="U441:U472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si="80"/>
        <v>3458671</v>
      </c>
      <c r="L442" s="6"/>
      <c r="M442" s="438">
        <f t="shared" si="81"/>
        <v>4.3098698043290181E-4</v>
      </c>
      <c r="N442" s="29"/>
      <c r="O442" s="29"/>
      <c r="P442" s="29"/>
      <c r="Q442" s="332">
        <f t="shared" si="82"/>
        <v>1490</v>
      </c>
      <c r="R442" s="6"/>
      <c r="S442" s="7">
        <f>53181+26124+8221</f>
        <v>87526</v>
      </c>
      <c r="T442" s="6"/>
      <c r="U442" s="243">
        <f t="shared" si="83"/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si="80"/>
        <v>3460052</v>
      </c>
      <c r="L443" s="6"/>
      <c r="M443" s="438">
        <f t="shared" si="81"/>
        <v>3.9928631546625858E-4</v>
      </c>
      <c r="N443" s="29"/>
      <c r="O443" s="29"/>
      <c r="P443" s="29"/>
      <c r="Q443" s="332">
        <f t="shared" si="82"/>
        <v>1381</v>
      </c>
      <c r="R443" s="6"/>
      <c r="S443" s="7">
        <f>53208+26159+8227</f>
        <v>87594</v>
      </c>
      <c r="T443" s="6"/>
      <c r="U443" s="243">
        <f t="shared" si="83"/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si="80"/>
        <v>3461751</v>
      </c>
      <c r="L444" s="6"/>
      <c r="M444" s="438">
        <f t="shared" si="81"/>
        <v>4.9103308273979699E-4</v>
      </c>
      <c r="N444" s="29"/>
      <c r="O444" s="29"/>
      <c r="P444" s="29"/>
      <c r="Q444" s="332">
        <f t="shared" si="82"/>
        <v>1699</v>
      </c>
      <c r="R444" s="6"/>
      <c r="S444" s="7">
        <f>53229+26173+8230</f>
        <v>87632</v>
      </c>
      <c r="T444" s="6"/>
      <c r="U444" s="243">
        <f t="shared" si="83"/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si="80"/>
        <v>3463158</v>
      </c>
      <c r="L445" s="6"/>
      <c r="M445" s="438">
        <f t="shared" si="81"/>
        <v>4.0644171114560232E-4</v>
      </c>
      <c r="N445" s="29"/>
      <c r="O445" s="29"/>
      <c r="P445" s="29"/>
      <c r="Q445" s="332">
        <f t="shared" si="82"/>
        <v>1407</v>
      </c>
      <c r="R445" s="6"/>
      <c r="S445" s="7">
        <f>53255+26185+8238</f>
        <v>87678</v>
      </c>
      <c r="T445" s="6"/>
      <c r="U445" s="243">
        <f t="shared" si="83"/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si="80"/>
        <v>3464285</v>
      </c>
      <c r="L446" s="6"/>
      <c r="M446" s="438">
        <f t="shared" si="81"/>
        <v>3.2542552202354034E-4</v>
      </c>
      <c r="N446" s="29"/>
      <c r="O446" s="29"/>
      <c r="P446" s="29"/>
      <c r="Q446" s="332">
        <f t="shared" si="82"/>
        <v>1127</v>
      </c>
      <c r="R446" s="6"/>
      <c r="S446" s="7">
        <f>53269+26201+8238</f>
        <v>87708</v>
      </c>
      <c r="T446" s="6"/>
      <c r="U446" s="243">
        <f t="shared" si="83"/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si="80"/>
        <v>3465351</v>
      </c>
      <c r="L447" s="6"/>
      <c r="M447" s="438">
        <f t="shared" si="81"/>
        <v>3.0771140365183582E-4</v>
      </c>
      <c r="N447" s="29"/>
      <c r="O447" s="29"/>
      <c r="P447" s="29"/>
      <c r="Q447" s="332">
        <f t="shared" si="82"/>
        <v>1066</v>
      </c>
      <c r="R447" s="6"/>
      <c r="S447" s="7">
        <f>53285+26207+8238</f>
        <v>87730</v>
      </c>
      <c r="T447" s="6"/>
      <c r="U447" s="243">
        <f t="shared" si="83"/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si="80"/>
        <v>3466077</v>
      </c>
      <c r="L448" s="6"/>
      <c r="M448" s="438">
        <f t="shared" si="81"/>
        <v>2.0950258718380909E-4</v>
      </c>
      <c r="N448" s="29"/>
      <c r="O448" s="29"/>
      <c r="P448" s="29"/>
      <c r="Q448" s="332">
        <f t="shared" si="82"/>
        <v>726</v>
      </c>
      <c r="R448" s="6"/>
      <c r="S448" s="7">
        <f>53303+26212+8238</f>
        <v>87753</v>
      </c>
      <c r="T448" s="6"/>
      <c r="U448" s="243">
        <f t="shared" si="83"/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si="80"/>
        <v>3466922</v>
      </c>
      <c r="L449" s="6"/>
      <c r="M449" s="438">
        <f t="shared" si="81"/>
        <v>2.4379146799104578E-4</v>
      </c>
      <c r="N449" s="29"/>
      <c r="O449" s="29"/>
      <c r="P449" s="29"/>
      <c r="Q449" s="332">
        <f t="shared" si="82"/>
        <v>845</v>
      </c>
      <c r="R449" s="6"/>
      <c r="S449" s="7">
        <f>53329+26219+8244</f>
        <v>87792</v>
      </c>
      <c r="T449" s="6"/>
      <c r="U449" s="243">
        <f t="shared" si="83"/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si="80"/>
        <v>3467710</v>
      </c>
      <c r="L450" s="6"/>
      <c r="M450" s="438">
        <f t="shared" si="81"/>
        <v>2.2729095145492169E-4</v>
      </c>
      <c r="N450" s="29"/>
      <c r="O450" s="29"/>
      <c r="P450" s="29"/>
      <c r="Q450" s="332">
        <f t="shared" si="82"/>
        <v>788</v>
      </c>
      <c r="R450" s="6"/>
      <c r="S450" s="7">
        <f>53338+26247+8247</f>
        <v>87832</v>
      </c>
      <c r="T450" s="6"/>
      <c r="U450" s="243">
        <f t="shared" si="83"/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si="80"/>
        <v>3468560</v>
      </c>
      <c r="L451" s="6"/>
      <c r="M451" s="438">
        <f t="shared" si="81"/>
        <v>2.4511853644047511E-4</v>
      </c>
      <c r="N451" s="29"/>
      <c r="O451" s="29"/>
      <c r="P451" s="29"/>
      <c r="Q451" s="332">
        <f t="shared" si="82"/>
        <v>850</v>
      </c>
      <c r="R451" s="6"/>
      <c r="S451" s="7">
        <f>53357+26253+8245</f>
        <v>87855</v>
      </c>
      <c r="T451" s="6"/>
      <c r="U451" s="243">
        <f t="shared" si="83"/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si="80"/>
        <v>3469548</v>
      </c>
      <c r="L452" s="6"/>
      <c r="M452" s="438">
        <f t="shared" si="81"/>
        <v>2.8484443111838917E-4</v>
      </c>
      <c r="N452" s="29"/>
      <c r="O452" s="29"/>
      <c r="P452" s="29"/>
      <c r="Q452" s="332">
        <f t="shared" si="82"/>
        <v>988</v>
      </c>
      <c r="R452" s="6"/>
      <c r="S452" s="7">
        <f>53416+26265+8246</f>
        <v>87927</v>
      </c>
      <c r="T452" s="6"/>
      <c r="U452" s="243">
        <f t="shared" si="83"/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si="80"/>
        <v>3470961</v>
      </c>
      <c r="L453" s="6"/>
      <c r="M453" s="438">
        <f t="shared" si="81"/>
        <v>4.0725766007560638E-4</v>
      </c>
      <c r="N453" s="29"/>
      <c r="O453" s="29"/>
      <c r="P453" s="29"/>
      <c r="Q453" s="332">
        <f t="shared" si="82"/>
        <v>1413</v>
      </c>
      <c r="R453" s="6"/>
      <c r="S453" s="7">
        <f>53429+26273+8246</f>
        <v>87948</v>
      </c>
      <c r="T453" s="6"/>
      <c r="U453" s="243">
        <f t="shared" si="83"/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si="80"/>
        <v>3471677</v>
      </c>
      <c r="L454" s="6"/>
      <c r="M454" s="438">
        <f t="shared" si="81"/>
        <v>2.0628292856070696E-4</v>
      </c>
      <c r="N454" s="29"/>
      <c r="O454" s="29"/>
      <c r="P454" s="29"/>
      <c r="Q454" s="332">
        <f t="shared" si="82"/>
        <v>716</v>
      </c>
      <c r="R454" s="6"/>
      <c r="S454" s="7">
        <f>53462+26279+8246</f>
        <v>87987</v>
      </c>
      <c r="T454" s="6"/>
      <c r="U454" s="243">
        <f t="shared" si="83"/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si="80"/>
        <v>3472461</v>
      </c>
      <c r="L455" s="6"/>
      <c r="M455" s="438">
        <f t="shared" si="81"/>
        <v>2.2582746033113105E-4</v>
      </c>
      <c r="N455" s="29"/>
      <c r="O455" s="29"/>
      <c r="P455" s="29"/>
      <c r="Q455" s="332">
        <f t="shared" si="82"/>
        <v>784</v>
      </c>
      <c r="R455" s="6"/>
      <c r="S455" s="7">
        <f>53462+26279+8246</f>
        <v>87987</v>
      </c>
      <c r="T455" s="6"/>
      <c r="U455" s="243">
        <f t="shared" si="83"/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si="80"/>
        <v>3473313</v>
      </c>
      <c r="L456" s="6"/>
      <c r="M456" s="438">
        <f t="shared" si="81"/>
        <v>2.4535912714354461E-4</v>
      </c>
      <c r="N456" s="29"/>
      <c r="O456" s="29"/>
      <c r="P456" s="29"/>
      <c r="Q456" s="332">
        <f t="shared" si="82"/>
        <v>852</v>
      </c>
      <c r="R456" s="6"/>
      <c r="S456" s="7">
        <f>53483+26285+8255</f>
        <v>88023</v>
      </c>
      <c r="T456" s="6"/>
      <c r="U456" s="243">
        <f t="shared" si="83"/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si="80"/>
        <v>3474042</v>
      </c>
      <c r="L457" s="6"/>
      <c r="M457" s="438">
        <f t="shared" si="81"/>
        <v>2.0988606555182328E-4</v>
      </c>
      <c r="N457" s="29"/>
      <c r="O457" s="29"/>
      <c r="P457" s="29"/>
      <c r="Q457" s="332">
        <f t="shared" si="82"/>
        <v>729</v>
      </c>
      <c r="R457" s="6"/>
      <c r="S457" s="7">
        <f>53492+26316+8257</f>
        <v>88065</v>
      </c>
      <c r="T457" s="6"/>
      <c r="U457" s="243">
        <f t="shared" si="83"/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si="80"/>
        <v>3475000</v>
      </c>
      <c r="L458" s="6"/>
      <c r="M458" s="438">
        <f t="shared" si="81"/>
        <v>2.7575947556189589E-4</v>
      </c>
      <c r="N458" s="29"/>
      <c r="O458" s="29"/>
      <c r="P458" s="29"/>
      <c r="Q458" s="332">
        <f t="shared" si="82"/>
        <v>958</v>
      </c>
      <c r="R458" s="6"/>
      <c r="S458" s="7">
        <f>53492+26316+8257</f>
        <v>88065</v>
      </c>
      <c r="T458" s="6"/>
      <c r="U458" s="243">
        <f t="shared" si="83"/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si="80"/>
        <v>3475967</v>
      </c>
      <c r="L459" s="6"/>
      <c r="M459" s="438">
        <f t="shared" si="81"/>
        <v>2.7827338129496402E-4</v>
      </c>
      <c r="N459" s="29"/>
      <c r="O459" s="29"/>
      <c r="P459" s="29"/>
      <c r="Q459" s="332">
        <f t="shared" si="82"/>
        <v>967</v>
      </c>
      <c r="R459" s="6"/>
      <c r="S459" s="7">
        <f>53522+26324+8261</f>
        <v>88107</v>
      </c>
      <c r="T459" s="6"/>
      <c r="U459" s="243">
        <f t="shared" si="83"/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si="80"/>
        <v>3476407</v>
      </c>
      <c r="L460" s="6"/>
      <c r="M460" s="438">
        <f t="shared" si="81"/>
        <v>1.2658348022291351E-4</v>
      </c>
      <c r="N460" s="29"/>
      <c r="O460" s="29"/>
      <c r="P460" s="29"/>
      <c r="Q460" s="332">
        <f t="shared" si="82"/>
        <v>440</v>
      </c>
      <c r="R460" s="6"/>
      <c r="S460" s="7">
        <f>53539+26324+8261</f>
        <v>88124</v>
      </c>
      <c r="T460" s="6"/>
      <c r="U460" s="243">
        <f t="shared" si="83"/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si="80"/>
        <v>3477226</v>
      </c>
      <c r="L461" s="6"/>
      <c r="M461" s="438">
        <f t="shared" si="81"/>
        <v>2.3558806549405751E-4</v>
      </c>
      <c r="N461" s="29"/>
      <c r="O461" s="29"/>
      <c r="P461" s="29"/>
      <c r="Q461" s="332">
        <f t="shared" si="82"/>
        <v>819</v>
      </c>
      <c r="R461" s="6"/>
      <c r="S461" s="7">
        <f>53549+26330+8261</f>
        <v>88140</v>
      </c>
      <c r="T461" s="6"/>
      <c r="U461" s="243">
        <f t="shared" si="83"/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si="80"/>
        <v>3477900</v>
      </c>
      <c r="L462" s="6"/>
      <c r="M462" s="438">
        <f t="shared" si="81"/>
        <v>1.9383267006516114E-4</v>
      </c>
      <c r="N462" s="29"/>
      <c r="O462" s="29"/>
      <c r="P462" s="29"/>
      <c r="Q462" s="332">
        <f t="shared" si="82"/>
        <v>674</v>
      </c>
      <c r="R462" s="6"/>
      <c r="S462" s="7">
        <f>53549+26330+8261</f>
        <v>88140</v>
      </c>
      <c r="T462" s="6"/>
      <c r="U462" s="243">
        <f t="shared" si="83"/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si="80"/>
        <v>3478645</v>
      </c>
      <c r="L463" s="6"/>
      <c r="M463" s="438">
        <f t="shared" si="81"/>
        <v>2.1420972425889186E-4</v>
      </c>
      <c r="N463" s="29"/>
      <c r="O463" s="29"/>
      <c r="P463" s="29"/>
      <c r="Q463" s="332">
        <f t="shared" si="82"/>
        <v>745</v>
      </c>
      <c r="R463" s="6"/>
      <c r="S463" s="7">
        <f>53574+26344+8263</f>
        <v>88181</v>
      </c>
      <c r="T463" s="6"/>
      <c r="U463" s="243">
        <f t="shared" si="83"/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si="80"/>
        <v>3479196</v>
      </c>
      <c r="L464" s="6"/>
      <c r="M464" s="438">
        <f t="shared" si="81"/>
        <v>1.5839500725138667E-4</v>
      </c>
      <c r="N464" s="29"/>
      <c r="O464" s="29"/>
      <c r="P464" s="29"/>
      <c r="Q464" s="332">
        <f t="shared" si="82"/>
        <v>551</v>
      </c>
      <c r="R464" s="6"/>
      <c r="S464" s="7">
        <f>53576+26357+8265</f>
        <v>88198</v>
      </c>
      <c r="T464" s="6"/>
      <c r="U464" s="243">
        <f t="shared" si="83"/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si="80"/>
        <v>3479800</v>
      </c>
      <c r="L465" s="6"/>
      <c r="M465" s="438">
        <f t="shared" si="81"/>
        <v>1.7360332674560443E-4</v>
      </c>
      <c r="N465" s="29"/>
      <c r="O465" s="29"/>
      <c r="P465" s="29"/>
      <c r="Q465" s="332">
        <f t="shared" si="82"/>
        <v>604</v>
      </c>
      <c r="R465" s="6"/>
      <c r="S465" s="7">
        <f>53576+26357+8265</f>
        <v>88198</v>
      </c>
      <c r="T465" s="6"/>
      <c r="U465" s="243">
        <f t="shared" si="83"/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80"/>
        <v>3480657</v>
      </c>
      <c r="L466" s="6"/>
      <c r="M466" s="438">
        <f t="shared" si="81"/>
        <v>2.4627852175412379E-4</v>
      </c>
      <c r="N466" s="29"/>
      <c r="O466" s="29"/>
      <c r="P466" s="29"/>
      <c r="Q466" s="332">
        <f t="shared" si="82"/>
        <v>857</v>
      </c>
      <c r="R466" s="6"/>
      <c r="S466" s="7">
        <f>53597+26368+8270</f>
        <v>88235</v>
      </c>
      <c r="T466" s="6"/>
      <c r="U466" s="243">
        <f t="shared" si="83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si="80"/>
        <v>3481265</v>
      </c>
      <c r="L467" s="6"/>
      <c r="M467" s="438">
        <f t="shared" si="81"/>
        <v>1.7467966536202791E-4</v>
      </c>
      <c r="N467" s="29"/>
      <c r="O467" s="29"/>
      <c r="P467" s="29"/>
      <c r="Q467" s="332">
        <f t="shared" si="82"/>
        <v>608</v>
      </c>
      <c r="R467" s="6"/>
      <c r="S467" s="7">
        <f>53606+26374+8270</f>
        <v>88250</v>
      </c>
      <c r="T467" s="6"/>
      <c r="U467" s="243">
        <f t="shared" si="83"/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si="80"/>
        <v>3481692</v>
      </c>
      <c r="L468" s="6"/>
      <c r="M468" s="438">
        <f t="shared" si="81"/>
        <v>1.2265656305969239E-4</v>
      </c>
      <c r="N468" s="29"/>
      <c r="O468" s="29"/>
      <c r="P468" s="29"/>
      <c r="Q468" s="332">
        <f t="shared" si="82"/>
        <v>427</v>
      </c>
      <c r="R468" s="6"/>
      <c r="S468" s="7">
        <f>53606+26374+8270</f>
        <v>88250</v>
      </c>
      <c r="T468" s="6"/>
      <c r="U468" s="243">
        <f t="shared" si="83"/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si="80"/>
        <v>3482000</v>
      </c>
      <c r="L469" s="6"/>
      <c r="M469" s="438">
        <f t="shared" si="81"/>
        <v>8.8462735934137775E-5</v>
      </c>
      <c r="N469" s="29"/>
      <c r="O469" s="29"/>
      <c r="P469" s="29"/>
      <c r="Q469" s="332">
        <f t="shared" si="82"/>
        <v>308</v>
      </c>
      <c r="R469" s="6"/>
      <c r="S469" s="7">
        <f>53632+26392+8271</f>
        <v>88295</v>
      </c>
      <c r="T469" s="6"/>
      <c r="U469" s="243">
        <f t="shared" si="83"/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si="80"/>
        <v>3482350</v>
      </c>
      <c r="L470" s="6"/>
      <c r="M470" s="438">
        <f t="shared" si="81"/>
        <v>1.0051694428489374E-4</v>
      </c>
      <c r="N470" s="29"/>
      <c r="O470" s="29"/>
      <c r="P470" s="29"/>
      <c r="Q470" s="332">
        <f t="shared" si="82"/>
        <v>350</v>
      </c>
      <c r="R470" s="6"/>
      <c r="S470" s="7">
        <f>53632+26392+8271</f>
        <v>88295</v>
      </c>
      <c r="T470" s="6"/>
      <c r="U470" s="243">
        <f t="shared" si="83"/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80"/>
        <v>3482744</v>
      </c>
      <c r="L471" s="6"/>
      <c r="M471" s="438">
        <f t="shared" si="81"/>
        <v>1.1314198745100292E-4</v>
      </c>
      <c r="N471" s="29"/>
      <c r="O471" s="29"/>
      <c r="P471" s="29"/>
      <c r="Q471" s="332">
        <f t="shared" si="82"/>
        <v>394</v>
      </c>
      <c r="R471" s="6"/>
      <c r="S471" s="7">
        <f>53632+26392+8271</f>
        <v>88295</v>
      </c>
      <c r="T471" s="6"/>
      <c r="U471" s="243">
        <f t="shared" si="83"/>
        <v>2.53521361317398E-2</v>
      </c>
      <c r="W471">
        <f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80"/>
        <v>3484133</v>
      </c>
      <c r="L472" s="6"/>
      <c r="M472" s="438">
        <f t="shared" si="81"/>
        <v>3.9882345644698549E-4</v>
      </c>
      <c r="N472" s="29"/>
      <c r="O472" s="29"/>
      <c r="P472" s="29"/>
      <c r="Q472" s="332">
        <f t="shared" si="82"/>
        <v>1389</v>
      </c>
      <c r="R472" s="6"/>
      <c r="S472" s="7">
        <f>53635+26416+8274</f>
        <v>88325</v>
      </c>
      <c r="T472" s="6"/>
      <c r="U472" s="243">
        <f t="shared" si="83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:K504" si="84">SUM(E473:I473)</f>
        <v>3485198</v>
      </c>
      <c r="L473" s="6"/>
      <c r="M473" s="438">
        <f t="shared" ref="M473:M504" si="85">+(K473-K472)/K472</f>
        <v>3.0567145398869677E-4</v>
      </c>
      <c r="N473" s="29"/>
      <c r="O473" s="29"/>
      <c r="P473" s="29"/>
      <c r="Q473" s="332">
        <f t="shared" ref="Q473:Q504" si="86">+K473-K472</f>
        <v>1065</v>
      </c>
      <c r="R473" s="6"/>
      <c r="S473" s="7">
        <f>53646+26434+8275</f>
        <v>88355</v>
      </c>
      <c r="T473" s="6"/>
      <c r="U473" s="243">
        <f t="shared" ref="U473:U504" si="87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si="84"/>
        <v>3485670</v>
      </c>
      <c r="L474" s="6"/>
      <c r="M474" s="438">
        <f t="shared" si="85"/>
        <v>1.3542989523120352E-4</v>
      </c>
      <c r="N474" s="29"/>
      <c r="O474" s="29"/>
      <c r="P474" s="29"/>
      <c r="Q474" s="332">
        <f t="shared" si="86"/>
        <v>472</v>
      </c>
      <c r="R474" s="6"/>
      <c r="S474" s="7">
        <f>53664+26437+8275</f>
        <v>88376</v>
      </c>
      <c r="T474" s="6"/>
      <c r="U474" s="243">
        <f t="shared" si="87"/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si="84"/>
        <v>3486073</v>
      </c>
      <c r="L475" s="6"/>
      <c r="M475" s="438">
        <f t="shared" si="85"/>
        <v>1.1561622299299705E-4</v>
      </c>
      <c r="N475" s="29"/>
      <c r="O475" s="29"/>
      <c r="P475" s="29"/>
      <c r="Q475" s="332">
        <f t="shared" si="86"/>
        <v>403</v>
      </c>
      <c r="R475" s="6"/>
      <c r="S475" s="7">
        <f>53664+26437+8275</f>
        <v>88376</v>
      </c>
      <c r="T475" s="6"/>
      <c r="U475" s="243">
        <f t="shared" si="87"/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si="84"/>
        <v>3486523</v>
      </c>
      <c r="L476" s="6"/>
      <c r="M476" s="438">
        <f t="shared" si="85"/>
        <v>1.2908507653167331E-4</v>
      </c>
      <c r="N476" s="29"/>
      <c r="O476" s="29"/>
      <c r="P476" s="29"/>
      <c r="Q476" s="332">
        <f t="shared" si="86"/>
        <v>450</v>
      </c>
      <c r="R476" s="6"/>
      <c r="S476" s="7">
        <f>53664+26437+8275</f>
        <v>88376</v>
      </c>
      <c r="T476" s="6"/>
      <c r="U476" s="243">
        <f t="shared" si="87"/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84"/>
        <v>3487187</v>
      </c>
      <c r="L477" s="6"/>
      <c r="M477" s="438">
        <f t="shared" si="85"/>
        <v>1.9044761787029657E-4</v>
      </c>
      <c r="N477" s="29"/>
      <c r="O477" s="29"/>
      <c r="P477" s="29"/>
      <c r="Q477" s="332">
        <f t="shared" si="86"/>
        <v>664</v>
      </c>
      <c r="R477" s="6"/>
      <c r="S477" s="7">
        <f>53676+26444+8276</f>
        <v>88396</v>
      </c>
      <c r="T477" s="6"/>
      <c r="U477" s="243">
        <f t="shared" si="87"/>
        <v>2.534879832942713E-2</v>
      </c>
      <c r="W477">
        <f t="shared" ref="W477:W540" si="88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si="84"/>
        <v>3487733</v>
      </c>
      <c r="L478" s="6"/>
      <c r="M478" s="438">
        <f t="shared" si="85"/>
        <v>1.5657319208863763E-4</v>
      </c>
      <c r="N478" s="29"/>
      <c r="O478" s="29"/>
      <c r="P478" s="29"/>
      <c r="Q478" s="332">
        <f t="shared" si="86"/>
        <v>546</v>
      </c>
      <c r="R478" s="6"/>
      <c r="S478" s="7">
        <f>53679+26457+8278</f>
        <v>88414</v>
      </c>
      <c r="T478" s="6"/>
      <c r="U478" s="243">
        <f t="shared" si="87"/>
        <v>2.5349990954009381E-2</v>
      </c>
      <c r="W478">
        <f t="shared" si="88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si="84"/>
        <v>3488377</v>
      </c>
      <c r="L479" s="6"/>
      <c r="M479" s="438">
        <f t="shared" si="85"/>
        <v>1.8464716192437896E-4</v>
      </c>
      <c r="N479" s="29"/>
      <c r="O479" s="29"/>
      <c r="P479" s="29"/>
      <c r="Q479" s="332">
        <f t="shared" si="86"/>
        <v>644</v>
      </c>
      <c r="R479" s="6"/>
      <c r="S479" s="7">
        <f>53690+26462+8279</f>
        <v>88431</v>
      </c>
      <c r="T479" s="6"/>
      <c r="U479" s="243">
        <f t="shared" si="87"/>
        <v>2.5350184340740694E-2</v>
      </c>
      <c r="W479">
        <f t="shared" si="88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si="84"/>
        <v>3489279</v>
      </c>
      <c r="L480" s="6"/>
      <c r="M480" s="438">
        <f t="shared" si="85"/>
        <v>2.5857296960735609E-4</v>
      </c>
      <c r="N480" s="29"/>
      <c r="O480" s="29"/>
      <c r="P480" s="29"/>
      <c r="Q480" s="332">
        <f t="shared" si="86"/>
        <v>902</v>
      </c>
      <c r="R480" s="6"/>
      <c r="S480" s="7">
        <f>53692+26467+8279</f>
        <v>88438</v>
      </c>
      <c r="T480" s="6"/>
      <c r="U480" s="243">
        <f t="shared" si="87"/>
        <v>2.5345637307879365E-2</v>
      </c>
      <c r="W480">
        <f t="shared" si="88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si="84"/>
        <v>3489755</v>
      </c>
      <c r="L481" s="6"/>
      <c r="M481" s="438">
        <f t="shared" si="85"/>
        <v>1.3641786741616248E-4</v>
      </c>
      <c r="N481" s="29"/>
      <c r="O481" s="29"/>
      <c r="P481" s="29"/>
      <c r="Q481" s="332">
        <f t="shared" si="86"/>
        <v>476</v>
      </c>
      <c r="R481" s="6"/>
      <c r="S481" s="7">
        <f>53692+26472+8279</f>
        <v>88443</v>
      </c>
      <c r="T481" s="6"/>
      <c r="U481" s="243">
        <f t="shared" si="87"/>
        <v>2.5343612947040694E-2</v>
      </c>
      <c r="W481">
        <f t="shared" si="88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si="84"/>
        <v>3490217</v>
      </c>
      <c r="L482" s="6"/>
      <c r="M482" s="438">
        <f t="shared" si="85"/>
        <v>1.3238751717527448E-4</v>
      </c>
      <c r="N482" s="29"/>
      <c r="O482" s="29"/>
      <c r="P482" s="29"/>
      <c r="Q482" s="332">
        <f t="shared" si="86"/>
        <v>462</v>
      </c>
      <c r="R482" s="6"/>
      <c r="S482" s="7">
        <f>53701+26473+8279</f>
        <v>88453</v>
      </c>
      <c r="T482" s="6"/>
      <c r="U482" s="243">
        <f t="shared" si="87"/>
        <v>2.5343123364535786E-2</v>
      </c>
      <c r="W482">
        <f t="shared" si="88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si="84"/>
        <v>3490675</v>
      </c>
      <c r="L483" s="6"/>
      <c r="M483" s="438">
        <f t="shared" si="85"/>
        <v>1.3122393249474174E-4</v>
      </c>
      <c r="N483" s="29"/>
      <c r="O483" s="29"/>
      <c r="P483" s="29"/>
      <c r="Q483" s="332">
        <f t="shared" si="86"/>
        <v>458</v>
      </c>
      <c r="R483" s="6"/>
      <c r="S483" s="7">
        <f>53705+26477+8279</f>
        <v>88461</v>
      </c>
      <c r="T483" s="6"/>
      <c r="U483" s="243">
        <f t="shared" si="87"/>
        <v>2.5342089996920367E-2</v>
      </c>
      <c r="W483">
        <f t="shared" si="88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si="84"/>
        <v>3491302</v>
      </c>
      <c r="L484" s="6"/>
      <c r="M484" s="438">
        <f t="shared" si="85"/>
        <v>1.7962141992594556E-4</v>
      </c>
      <c r="N484" s="29"/>
      <c r="O484" s="29"/>
      <c r="P484" s="29"/>
      <c r="Q484" s="332">
        <f t="shared" si="86"/>
        <v>627</v>
      </c>
      <c r="R484" s="6"/>
      <c r="S484" s="7">
        <f>53711+26477+8279</f>
        <v>88467</v>
      </c>
      <c r="T484" s="6"/>
      <c r="U484" s="243">
        <f t="shared" si="87"/>
        <v>2.5339257388790771E-2</v>
      </c>
      <c r="W484">
        <f t="shared" si="88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si="84"/>
        <v>3492040</v>
      </c>
      <c r="L485" s="6"/>
      <c r="M485" s="438">
        <f t="shared" si="85"/>
        <v>2.1138245846391977E-4</v>
      </c>
      <c r="N485" s="29"/>
      <c r="O485" s="29"/>
      <c r="P485" s="29"/>
      <c r="Q485" s="332">
        <f t="shared" si="86"/>
        <v>738</v>
      </c>
      <c r="R485" s="6"/>
      <c r="S485" s="7">
        <f>53717+26490+8278</f>
        <v>88485</v>
      </c>
      <c r="T485" s="6"/>
      <c r="U485" s="243">
        <f t="shared" si="87"/>
        <v>2.5339056826382288E-2</v>
      </c>
      <c r="W485">
        <f t="shared" si="88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si="84"/>
        <v>3493093</v>
      </c>
      <c r="L486" s="6"/>
      <c r="M486" s="438">
        <f t="shared" si="85"/>
        <v>3.0154293765248964E-4</v>
      </c>
      <c r="N486" s="29"/>
      <c r="O486" s="29"/>
      <c r="P486" s="29"/>
      <c r="Q486" s="332">
        <f t="shared" si="86"/>
        <v>1053</v>
      </c>
      <c r="R486" s="6"/>
      <c r="S486" s="7">
        <f>53721+26493+8279</f>
        <v>88493</v>
      </c>
      <c r="T486" s="6"/>
      <c r="U486" s="243">
        <f t="shared" si="87"/>
        <v>2.5333708549987073E-2</v>
      </c>
      <c r="W486">
        <f t="shared" si="88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si="84"/>
        <v>3494406</v>
      </c>
      <c r="L487" s="6"/>
      <c r="M487" s="438">
        <f t="shared" si="85"/>
        <v>3.7588463862828729E-4</v>
      </c>
      <c r="N487" s="29"/>
      <c r="O487" s="29"/>
      <c r="P487" s="29"/>
      <c r="Q487" s="332">
        <f t="shared" si="86"/>
        <v>1313</v>
      </c>
      <c r="R487" s="6"/>
      <c r="S487" s="7">
        <f>53726+26496+8279</f>
        <v>88501</v>
      </c>
      <c r="T487" s="6"/>
      <c r="U487" s="243">
        <f t="shared" si="87"/>
        <v>2.5326478949498139E-2</v>
      </c>
      <c r="W487">
        <f t="shared" si="88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si="84"/>
        <v>3495549</v>
      </c>
      <c r="L488" s="6"/>
      <c r="M488" s="438">
        <f t="shared" si="85"/>
        <v>3.2709421858822358E-4</v>
      </c>
      <c r="N488" s="29"/>
      <c r="O488" s="29"/>
      <c r="P488" s="29"/>
      <c r="Q488" s="332">
        <f t="shared" si="86"/>
        <v>1143</v>
      </c>
      <c r="R488" s="6"/>
      <c r="S488" s="7">
        <f>53733+26501+8279</f>
        <v>88513</v>
      </c>
      <c r="T488" s="6"/>
      <c r="U488" s="243">
        <f t="shared" si="87"/>
        <v>2.5321630450610189E-2</v>
      </c>
      <c r="W488">
        <f t="shared" si="88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si="84"/>
        <v>3496526</v>
      </c>
      <c r="L489" s="6"/>
      <c r="M489" s="438">
        <f t="shared" si="85"/>
        <v>2.7949829912268429E-4</v>
      </c>
      <c r="N489" s="29"/>
      <c r="O489" s="29"/>
      <c r="P489" s="29"/>
      <c r="Q489" s="332">
        <f t="shared" si="86"/>
        <v>977</v>
      </c>
      <c r="R489" s="6"/>
      <c r="S489" s="7">
        <f>53735+26505+8279</f>
        <v>88519</v>
      </c>
      <c r="T489" s="6"/>
      <c r="U489" s="243">
        <f t="shared" si="87"/>
        <v>2.531627106447943E-2</v>
      </c>
      <c r="W489">
        <f t="shared" si="88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si="84"/>
        <v>3497444</v>
      </c>
      <c r="L490" s="6"/>
      <c r="M490" s="438">
        <f t="shared" si="85"/>
        <v>2.6254631025194724E-4</v>
      </c>
      <c r="N490" s="29"/>
      <c r="O490" s="29"/>
      <c r="P490" s="29"/>
      <c r="Q490" s="332">
        <f t="shared" si="86"/>
        <v>918</v>
      </c>
      <c r="R490" s="6"/>
      <c r="S490" s="7">
        <f>53737+26509+8279</f>
        <v>88525</v>
      </c>
      <c r="T490" s="6"/>
      <c r="U490" s="243">
        <f t="shared" si="87"/>
        <v>2.531134165407652E-2</v>
      </c>
      <c r="W490">
        <f t="shared" si="88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si="84"/>
        <v>3498655</v>
      </c>
      <c r="L491" s="6"/>
      <c r="M491" s="438">
        <f t="shared" si="85"/>
        <v>3.4625286351975903E-4</v>
      </c>
      <c r="N491" s="29"/>
      <c r="O491" s="29"/>
      <c r="P491" s="29"/>
      <c r="Q491" s="332">
        <f t="shared" si="86"/>
        <v>1211</v>
      </c>
      <c r="R491" s="6"/>
      <c r="S491" s="7">
        <f>53743+26516+8279</f>
        <v>88538</v>
      </c>
      <c r="T491" s="6"/>
      <c r="U491" s="243">
        <f t="shared" si="87"/>
        <v>2.5306296276712052E-2</v>
      </c>
      <c r="W491">
        <f t="shared" si="88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si="84"/>
        <v>3499902</v>
      </c>
      <c r="L492" s="6"/>
      <c r="M492" s="438">
        <f t="shared" si="85"/>
        <v>3.5642268243081982E-4</v>
      </c>
      <c r="N492" s="29"/>
      <c r="O492" s="29"/>
      <c r="P492" s="29"/>
      <c r="Q492" s="332">
        <f t="shared" si="86"/>
        <v>1247</v>
      </c>
      <c r="R492" s="6"/>
      <c r="S492" s="7">
        <f>53754+26527+8279</f>
        <v>88560</v>
      </c>
      <c r="T492" s="6"/>
      <c r="U492" s="243">
        <f t="shared" si="87"/>
        <v>2.5303565642695137E-2</v>
      </c>
      <c r="W492">
        <f t="shared" si="88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si="84"/>
        <v>3501448</v>
      </c>
      <c r="L493" s="6"/>
      <c r="M493" s="438">
        <f t="shared" si="85"/>
        <v>4.4172665406059939E-4</v>
      </c>
      <c r="N493" s="29"/>
      <c r="O493" s="29"/>
      <c r="P493" s="29"/>
      <c r="Q493" s="332">
        <f t="shared" si="86"/>
        <v>1546</v>
      </c>
      <c r="R493" s="6"/>
      <c r="S493" s="7">
        <f>53759+26529+8282</f>
        <v>88570</v>
      </c>
      <c r="T493" s="6"/>
      <c r="U493" s="243">
        <f t="shared" si="87"/>
        <v>2.529524927972656E-2</v>
      </c>
      <c r="W493">
        <f t="shared" si="88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si="84"/>
        <v>3502797</v>
      </c>
      <c r="L494" s="6"/>
      <c r="M494" s="438">
        <f t="shared" si="85"/>
        <v>3.8526918006493311E-4</v>
      </c>
      <c r="N494" s="29"/>
      <c r="O494" s="29"/>
      <c r="P494" s="29"/>
      <c r="Q494" s="332">
        <f t="shared" si="86"/>
        <v>1349</v>
      </c>
      <c r="R494" s="6"/>
      <c r="S494" s="7">
        <f>53760+26531+8282</f>
        <v>88573</v>
      </c>
      <c r="T494" s="6"/>
      <c r="U494" s="243">
        <f t="shared" si="87"/>
        <v>2.5286364011388614E-2</v>
      </c>
      <c r="W494">
        <f t="shared" si="88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si="84"/>
        <v>3504713</v>
      </c>
      <c r="L495" s="6"/>
      <c r="M495" s="438">
        <f t="shared" si="85"/>
        <v>5.4699144712068665E-4</v>
      </c>
      <c r="N495" s="29"/>
      <c r="O495" s="29"/>
      <c r="P495" s="29"/>
      <c r="Q495" s="332">
        <f t="shared" si="86"/>
        <v>1916</v>
      </c>
      <c r="R495" s="6"/>
      <c r="S495" s="7">
        <f>53765+26536+8282</f>
        <v>88583</v>
      </c>
      <c r="T495" s="6"/>
      <c r="U495" s="243">
        <f t="shared" si="87"/>
        <v>2.5275393448764564E-2</v>
      </c>
      <c r="W495">
        <f t="shared" si="88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si="84"/>
        <v>3506286</v>
      </c>
      <c r="L496" s="6"/>
      <c r="M496" s="438">
        <f t="shared" si="85"/>
        <v>4.488241975876484E-4</v>
      </c>
      <c r="N496" s="29"/>
      <c r="O496" s="29"/>
      <c r="P496" s="29"/>
      <c r="Q496" s="332">
        <f t="shared" si="86"/>
        <v>1573</v>
      </c>
      <c r="R496" s="6"/>
      <c r="S496" s="7">
        <f>53775+8282+26539</f>
        <v>88596</v>
      </c>
      <c r="T496" s="6"/>
      <c r="U496" s="243">
        <f t="shared" si="87"/>
        <v>2.5267761956668681E-2</v>
      </c>
      <c r="W496">
        <f t="shared" si="88"/>
        <v>486</v>
      </c>
      <c r="Y496" s="56"/>
    </row>
    <row r="497" spans="3:25" x14ac:dyDescent="0.3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si="84"/>
        <v>3507919</v>
      </c>
      <c r="L497" s="6"/>
      <c r="M497" s="438">
        <f t="shared" si="85"/>
        <v>4.6573496856788067E-4</v>
      </c>
      <c r="N497" s="29"/>
      <c r="O497" s="29"/>
      <c r="P497" s="29"/>
      <c r="Q497" s="332">
        <f t="shared" si="86"/>
        <v>1633</v>
      </c>
      <c r="R497" s="6"/>
      <c r="S497" s="7">
        <f>53780+26545+8282</f>
        <v>88607</v>
      </c>
      <c r="T497" s="6"/>
      <c r="U497" s="243">
        <f t="shared" si="87"/>
        <v>2.5259135116859881E-2</v>
      </c>
      <c r="W497">
        <f t="shared" si="88"/>
        <v>487</v>
      </c>
      <c r="Y497" s="56"/>
    </row>
    <row r="498" spans="3:25" x14ac:dyDescent="0.3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si="84"/>
        <v>3509913</v>
      </c>
      <c r="L498" s="6"/>
      <c r="M498" s="438">
        <f t="shared" si="85"/>
        <v>5.6842817636325131E-4</v>
      </c>
      <c r="N498" s="29"/>
      <c r="O498" s="29"/>
      <c r="P498" s="29"/>
      <c r="Q498" s="332">
        <f t="shared" si="86"/>
        <v>1994</v>
      </c>
      <c r="R498" s="6"/>
      <c r="S498" s="7">
        <f>53784+26557+8282</f>
        <v>88623</v>
      </c>
      <c r="T498" s="6"/>
      <c r="U498" s="243">
        <f t="shared" si="87"/>
        <v>2.52493437871537E-2</v>
      </c>
      <c r="W498">
        <f t="shared" si="88"/>
        <v>488</v>
      </c>
      <c r="Y498" s="56"/>
    </row>
    <row r="499" spans="3:25" x14ac:dyDescent="0.3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si="84"/>
        <v>3512027</v>
      </c>
      <c r="L499" s="6"/>
      <c r="M499" s="438">
        <f t="shared" si="85"/>
        <v>6.0229413093714856E-4</v>
      </c>
      <c r="N499" s="29"/>
      <c r="O499" s="29"/>
      <c r="P499" s="29"/>
      <c r="Q499" s="332">
        <f t="shared" si="86"/>
        <v>2114</v>
      </c>
      <c r="R499" s="6"/>
      <c r="S499" s="7">
        <f>53791+26562+8282</f>
        <v>88635</v>
      </c>
      <c r="T499" s="6"/>
      <c r="U499" s="243">
        <f t="shared" si="87"/>
        <v>2.5237562239698044E-2</v>
      </c>
      <c r="W499">
        <f t="shared" si="88"/>
        <v>489</v>
      </c>
      <c r="Y499" s="56"/>
    </row>
    <row r="500" spans="3:25" x14ac:dyDescent="0.3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si="84"/>
        <v>3514706</v>
      </c>
      <c r="L500" s="6"/>
      <c r="M500" s="438">
        <f t="shared" si="85"/>
        <v>7.6280734743781864E-4</v>
      </c>
      <c r="N500" s="29"/>
      <c r="O500" s="29"/>
      <c r="P500" s="29"/>
      <c r="Q500" s="332">
        <f t="shared" si="86"/>
        <v>2679</v>
      </c>
      <c r="R500" s="6"/>
      <c r="S500" s="7">
        <f>53798+26564+8286</f>
        <v>88648</v>
      </c>
      <c r="T500" s="6"/>
      <c r="U500" s="243">
        <f t="shared" si="87"/>
        <v>2.5222024260350653E-2</v>
      </c>
      <c r="W500">
        <f t="shared" si="88"/>
        <v>490</v>
      </c>
      <c r="Y500" s="56"/>
    </row>
    <row r="501" spans="3:25" x14ac:dyDescent="0.3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si="84"/>
        <v>3517557</v>
      </c>
      <c r="L501" s="6"/>
      <c r="M501" s="438">
        <f t="shared" si="85"/>
        <v>8.1116315276441326E-4</v>
      </c>
      <c r="N501" s="29"/>
      <c r="O501" s="29"/>
      <c r="P501" s="29"/>
      <c r="Q501" s="332">
        <f t="shared" si="86"/>
        <v>2851</v>
      </c>
      <c r="R501" s="6"/>
      <c r="S501" s="7">
        <f>53801+26568+8286</f>
        <v>88655</v>
      </c>
      <c r="T501" s="6"/>
      <c r="U501" s="243">
        <f t="shared" si="87"/>
        <v>2.5203571683415506E-2</v>
      </c>
      <c r="W501">
        <f t="shared" si="88"/>
        <v>491</v>
      </c>
      <c r="Y501" s="56"/>
    </row>
    <row r="502" spans="3:25" x14ac:dyDescent="0.3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si="84"/>
        <v>3520314</v>
      </c>
      <c r="L502" s="6"/>
      <c r="M502" s="438">
        <f t="shared" si="85"/>
        <v>7.837826082135982E-4</v>
      </c>
      <c r="N502" s="29"/>
      <c r="O502" s="29"/>
      <c r="P502" s="29"/>
      <c r="Q502" s="332">
        <f t="shared" si="86"/>
        <v>2757</v>
      </c>
      <c r="R502" s="6"/>
      <c r="S502" s="7">
        <f>53804+26573+8286</f>
        <v>88663</v>
      </c>
      <c r="T502" s="6"/>
      <c r="U502" s="243">
        <f t="shared" si="87"/>
        <v>2.5186105557629235E-2</v>
      </c>
      <c r="W502">
        <f t="shared" si="88"/>
        <v>492</v>
      </c>
      <c r="Y502" s="56"/>
    </row>
    <row r="503" spans="3:25" x14ac:dyDescent="0.3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si="84"/>
        <v>3521781</v>
      </c>
      <c r="L503" s="6"/>
      <c r="M503" s="438">
        <f t="shared" si="85"/>
        <v>4.1672418994441972E-4</v>
      </c>
      <c r="N503" s="29"/>
      <c r="O503" s="29"/>
      <c r="P503" s="29"/>
      <c r="Q503" s="332">
        <f t="shared" si="86"/>
        <v>1467</v>
      </c>
      <c r="R503" s="6"/>
      <c r="S503" s="7">
        <f>53813+26575+8286</f>
        <v>88674</v>
      </c>
      <c r="T503" s="6"/>
      <c r="U503" s="243">
        <f t="shared" si="87"/>
        <v>2.5178737689822279E-2</v>
      </c>
      <c r="W503">
        <f t="shared" si="88"/>
        <v>493</v>
      </c>
      <c r="Y503" s="56"/>
    </row>
    <row r="504" spans="3:25" x14ac:dyDescent="0.3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si="84"/>
        <v>3525502</v>
      </c>
      <c r="L504" s="6"/>
      <c r="M504" s="438">
        <f t="shared" si="85"/>
        <v>1.0565676854977638E-3</v>
      </c>
      <c r="N504" s="29"/>
      <c r="O504" s="29"/>
      <c r="P504" s="29"/>
      <c r="Q504" s="332">
        <f t="shared" si="86"/>
        <v>3721</v>
      </c>
      <c r="R504" s="6"/>
      <c r="S504" s="7">
        <f>53610+26579+8288</f>
        <v>88477</v>
      </c>
      <c r="T504" s="6"/>
      <c r="U504" s="243">
        <f t="shared" si="87"/>
        <v>2.5096284160383401E-2</v>
      </c>
      <c r="W504">
        <f t="shared" si="88"/>
        <v>494</v>
      </c>
      <c r="Y504" s="56"/>
    </row>
    <row r="505" spans="3:25" x14ac:dyDescent="0.3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:K536" si="89">SUM(E505:I505)</f>
        <v>3528399</v>
      </c>
      <c r="L505" s="6"/>
      <c r="M505" s="438">
        <f t="shared" ref="M505:M536" si="90">+(K505-K504)/K504</f>
        <v>8.2172694838919395E-4</v>
      </c>
      <c r="N505" s="29"/>
      <c r="O505" s="29"/>
      <c r="P505" s="29"/>
      <c r="Q505" s="332">
        <f t="shared" ref="Q505:Q535" si="91">+K505-K504</f>
        <v>2897</v>
      </c>
      <c r="R505" s="6"/>
      <c r="S505" s="7">
        <f>53611+26586+8288</f>
        <v>88485</v>
      </c>
      <c r="T505" s="6"/>
      <c r="U505" s="243">
        <f t="shared" ref="U505:U537" si="92">+S505/K505</f>
        <v>2.5077946116638168E-2</v>
      </c>
      <c r="W505">
        <f t="shared" si="88"/>
        <v>495</v>
      </c>
      <c r="Y505" s="56"/>
    </row>
    <row r="506" spans="3:25" x14ac:dyDescent="0.3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si="89"/>
        <v>3531612</v>
      </c>
      <c r="L506" s="6"/>
      <c r="M506" s="438">
        <f t="shared" si="90"/>
        <v>9.1061129991250995E-4</v>
      </c>
      <c r="N506" s="29"/>
      <c r="O506" s="29"/>
      <c r="P506" s="29"/>
      <c r="Q506" s="332">
        <f t="shared" si="91"/>
        <v>3213</v>
      </c>
      <c r="R506" s="6"/>
      <c r="S506" s="7">
        <f>53623+26589+8288</f>
        <v>88500</v>
      </c>
      <c r="T506" s="6"/>
      <c r="U506" s="243">
        <f t="shared" si="92"/>
        <v>2.5059377983764921E-2</v>
      </c>
      <c r="W506">
        <f t="shared" si="88"/>
        <v>496</v>
      </c>
      <c r="Y506" s="56"/>
    </row>
    <row r="507" spans="3:25" x14ac:dyDescent="0.3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si="89"/>
        <v>3535637</v>
      </c>
      <c r="L507" s="6"/>
      <c r="M507" s="438">
        <f t="shared" si="90"/>
        <v>1.1397061738378962E-3</v>
      </c>
      <c r="N507" s="29"/>
      <c r="O507" s="29"/>
      <c r="P507" s="29"/>
      <c r="Q507" s="332">
        <f t="shared" si="91"/>
        <v>4025</v>
      </c>
      <c r="R507" s="6"/>
      <c r="S507" s="7">
        <f>53625+26590+8293</f>
        <v>88508</v>
      </c>
      <c r="T507" s="6"/>
      <c r="U507" s="243">
        <f t="shared" si="92"/>
        <v>2.5033112845012088E-2</v>
      </c>
      <c r="W507">
        <f t="shared" si="88"/>
        <v>497</v>
      </c>
      <c r="Y507" s="56"/>
    </row>
    <row r="508" spans="3:25" x14ac:dyDescent="0.3">
      <c r="C508" s="157">
        <f t="shared" ref="C508:C583" si="93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si="89"/>
        <v>3539824</v>
      </c>
      <c r="L508" s="6"/>
      <c r="M508" s="438">
        <f t="shared" si="90"/>
        <v>1.1842279057493741E-3</v>
      </c>
      <c r="N508" s="29"/>
      <c r="O508" s="29"/>
      <c r="P508" s="29"/>
      <c r="Q508" s="332">
        <f t="shared" si="91"/>
        <v>4187</v>
      </c>
      <c r="R508" s="6"/>
      <c r="S508" s="7">
        <f>53632+26595+8293</f>
        <v>88520</v>
      </c>
      <c r="T508" s="6"/>
      <c r="U508" s="243">
        <f t="shared" si="92"/>
        <v>2.5006892998069959E-2</v>
      </c>
      <c r="W508">
        <f t="shared" si="88"/>
        <v>498</v>
      </c>
      <c r="Y508" s="56"/>
    </row>
    <row r="509" spans="3:25" x14ac:dyDescent="0.3">
      <c r="C509" s="157">
        <f t="shared" si="93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si="89"/>
        <v>3544078</v>
      </c>
      <c r="L509" s="6"/>
      <c r="M509" s="438">
        <f t="shared" si="90"/>
        <v>1.2017546635086941E-3</v>
      </c>
      <c r="N509" s="29"/>
      <c r="O509" s="29"/>
      <c r="P509" s="29"/>
      <c r="Q509" s="332">
        <f t="shared" si="91"/>
        <v>4254</v>
      </c>
      <c r="R509" s="6"/>
      <c r="S509" s="7">
        <f>53641+26602+8293</f>
        <v>88536</v>
      </c>
      <c r="T509" s="6"/>
      <c r="U509" s="243">
        <f t="shared" si="92"/>
        <v>2.498139149307662E-2</v>
      </c>
      <c r="W509">
        <f t="shared" si="88"/>
        <v>499</v>
      </c>
      <c r="Y509" s="56"/>
    </row>
    <row r="510" spans="3:25" x14ac:dyDescent="0.3">
      <c r="C510" s="157">
        <f t="shared" si="93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si="89"/>
        <v>3547580</v>
      </c>
      <c r="L510" s="6"/>
      <c r="M510" s="438">
        <f t="shared" si="90"/>
        <v>9.8812723647730095E-4</v>
      </c>
      <c r="N510" s="29"/>
      <c r="O510" s="29"/>
      <c r="P510" s="29"/>
      <c r="Q510" s="332">
        <f t="shared" si="91"/>
        <v>3502</v>
      </c>
      <c r="R510" s="6"/>
      <c r="S510" s="7">
        <f>53650+26607+8293</f>
        <v>88550</v>
      </c>
      <c r="T510" s="6"/>
      <c r="U510" s="243">
        <f t="shared" si="92"/>
        <v>2.4960677419536698E-2</v>
      </c>
      <c r="W510">
        <f t="shared" si="88"/>
        <v>500</v>
      </c>
      <c r="Y510" s="56"/>
    </row>
    <row r="511" spans="3:25" x14ac:dyDescent="0.3">
      <c r="C511" s="157">
        <f t="shared" si="93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si="89"/>
        <v>3552095</v>
      </c>
      <c r="L511" s="6"/>
      <c r="M511" s="438">
        <f t="shared" si="90"/>
        <v>1.2726985719842823E-3</v>
      </c>
      <c r="N511" s="29"/>
      <c r="O511" s="29"/>
      <c r="P511" s="29"/>
      <c r="Q511" s="332">
        <f t="shared" si="91"/>
        <v>4515</v>
      </c>
      <c r="R511" s="6"/>
      <c r="S511" s="7">
        <f>53657+26606+8293</f>
        <v>88556</v>
      </c>
      <c r="T511" s="6"/>
      <c r="U511" s="243">
        <f t="shared" si="92"/>
        <v>2.4930639523999217E-2</v>
      </c>
      <c r="W511">
        <f t="shared" si="88"/>
        <v>501</v>
      </c>
      <c r="Y511" s="56"/>
    </row>
    <row r="512" spans="3:25" x14ac:dyDescent="0.3">
      <c r="C512" s="157">
        <f t="shared" si="93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si="89"/>
        <v>3557024</v>
      </c>
      <c r="L512" s="6"/>
      <c r="M512" s="438">
        <f t="shared" si="90"/>
        <v>1.3876318060187017E-3</v>
      </c>
      <c r="N512" s="29"/>
      <c r="O512" s="29"/>
      <c r="P512" s="29"/>
      <c r="Q512" s="332">
        <f t="shared" si="91"/>
        <v>4929</v>
      </c>
      <c r="R512" s="6"/>
      <c r="S512" s="7">
        <f>53670+26614+8292</f>
        <v>88576</v>
      </c>
      <c r="T512" s="6"/>
      <c r="U512" s="243">
        <f t="shared" si="92"/>
        <v>2.4901715591460725E-2</v>
      </c>
      <c r="W512">
        <f t="shared" si="88"/>
        <v>502</v>
      </c>
      <c r="Y512" s="56"/>
    </row>
    <row r="513" spans="3:25" x14ac:dyDescent="0.3">
      <c r="C513" s="157">
        <f t="shared" si="93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si="89"/>
        <v>3561717</v>
      </c>
      <c r="L513" s="6"/>
      <c r="M513" s="438">
        <f t="shared" si="90"/>
        <v>1.3193613537608967E-3</v>
      </c>
      <c r="N513" s="29"/>
      <c r="O513" s="29"/>
      <c r="P513" s="29"/>
      <c r="Q513" s="332">
        <f t="shared" si="91"/>
        <v>4693</v>
      </c>
      <c r="R513" s="6"/>
      <c r="S513" s="7">
        <f>53676+26625+8292</f>
        <v>88593</v>
      </c>
      <c r="T513" s="6"/>
      <c r="U513" s="243">
        <f t="shared" si="92"/>
        <v>2.487367749880184E-2</v>
      </c>
      <c r="W513">
        <f t="shared" si="88"/>
        <v>503</v>
      </c>
      <c r="Y513" s="56"/>
    </row>
    <row r="514" spans="3:25" x14ac:dyDescent="0.3">
      <c r="C514" s="157">
        <f t="shared" si="93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si="89"/>
        <v>3567363</v>
      </c>
      <c r="L514" s="6"/>
      <c r="M514" s="438">
        <f t="shared" si="90"/>
        <v>1.5851905134517986E-3</v>
      </c>
      <c r="N514" s="29"/>
      <c r="O514" s="29"/>
      <c r="P514" s="29"/>
      <c r="Q514" s="332">
        <f t="shared" si="91"/>
        <v>5646</v>
      </c>
      <c r="R514" s="6"/>
      <c r="S514" s="7">
        <f>53691+26629+8296</f>
        <v>88616</v>
      </c>
      <c r="T514" s="6"/>
      <c r="U514" s="243">
        <f t="shared" si="92"/>
        <v>2.4840757724963788E-2</v>
      </c>
      <c r="W514">
        <f t="shared" si="88"/>
        <v>504</v>
      </c>
      <c r="Y514" s="56"/>
    </row>
    <row r="515" spans="3:25" x14ac:dyDescent="0.3">
      <c r="C515" s="157">
        <f t="shared" si="93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si="89"/>
        <v>3573179</v>
      </c>
      <c r="L515" s="6"/>
      <c r="M515" s="438">
        <f t="shared" si="90"/>
        <v>1.6303359091855805E-3</v>
      </c>
      <c r="N515" s="29"/>
      <c r="O515" s="29"/>
      <c r="P515" s="29"/>
      <c r="Q515" s="332">
        <f t="shared" si="91"/>
        <v>5816</v>
      </c>
      <c r="R515" s="6"/>
      <c r="S515" s="7">
        <f>53694+26636+8296</f>
        <v>88626</v>
      </c>
      <c r="T515" s="6"/>
      <c r="U515" s="243">
        <f t="shared" si="92"/>
        <v>2.4803123493113557E-2</v>
      </c>
      <c r="W515">
        <f t="shared" si="88"/>
        <v>505</v>
      </c>
      <c r="Y515" s="56"/>
    </row>
    <row r="516" spans="3:25" x14ac:dyDescent="0.3">
      <c r="C516" s="157">
        <f t="shared" si="93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si="89"/>
        <v>3579209</v>
      </c>
      <c r="L516" s="6"/>
      <c r="M516" s="438">
        <f t="shared" si="90"/>
        <v>1.687572886776733E-3</v>
      </c>
      <c r="N516" s="29"/>
      <c r="O516" s="29"/>
      <c r="P516" s="29"/>
      <c r="Q516" s="332">
        <f t="shared" si="91"/>
        <v>6030</v>
      </c>
      <c r="R516" s="6"/>
      <c r="S516" s="7">
        <f>53729+26645+8296</f>
        <v>88670</v>
      </c>
      <c r="T516" s="6"/>
      <c r="U516" s="243">
        <f t="shared" si="92"/>
        <v>2.4773630151242915E-2</v>
      </c>
      <c r="W516">
        <f t="shared" si="88"/>
        <v>506</v>
      </c>
      <c r="Y516" s="56"/>
    </row>
    <row r="517" spans="3:25" x14ac:dyDescent="0.3">
      <c r="C517" s="157">
        <f t="shared" si="93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si="89"/>
        <v>3583956</v>
      </c>
      <c r="L517" s="6"/>
      <c r="M517" s="438">
        <f t="shared" si="90"/>
        <v>1.3262706927703858E-3</v>
      </c>
      <c r="N517" s="29"/>
      <c r="O517" s="29"/>
      <c r="P517" s="29"/>
      <c r="Q517" s="332">
        <f t="shared" si="91"/>
        <v>4747</v>
      </c>
      <c r="R517" s="6"/>
      <c r="S517" s="7">
        <f>53744+26650+8296</f>
        <v>88690</v>
      </c>
      <c r="T517" s="6"/>
      <c r="U517" s="243">
        <f t="shared" si="92"/>
        <v>2.4746397556219997E-2</v>
      </c>
      <c r="W517">
        <f t="shared" si="88"/>
        <v>507</v>
      </c>
      <c r="Y517" s="56"/>
    </row>
    <row r="518" spans="3:25" x14ac:dyDescent="0.3">
      <c r="C518" s="157">
        <f t="shared" si="93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si="89"/>
        <v>3588170</v>
      </c>
      <c r="L518" s="6"/>
      <c r="M518" s="438">
        <f t="shared" si="90"/>
        <v>1.1757956849916685E-3</v>
      </c>
      <c r="N518" s="29"/>
      <c r="O518" s="29"/>
      <c r="P518" s="29"/>
      <c r="Q518" s="332">
        <f t="shared" si="91"/>
        <v>4214</v>
      </c>
      <c r="R518" s="6"/>
      <c r="S518" s="7">
        <f>53750+26650+8296</f>
        <v>88696</v>
      </c>
      <c r="T518" s="6"/>
      <c r="U518" s="243">
        <f t="shared" si="92"/>
        <v>2.4719007181933966E-2</v>
      </c>
      <c r="W518">
        <f t="shared" si="88"/>
        <v>508</v>
      </c>
      <c r="Y518" s="56"/>
    </row>
    <row r="519" spans="3:25" x14ac:dyDescent="0.3">
      <c r="C519" s="157">
        <f t="shared" si="93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si="89"/>
        <v>3592046</v>
      </c>
      <c r="L519" s="6"/>
      <c r="M519" s="438">
        <f t="shared" si="90"/>
        <v>1.0802163777078567E-3</v>
      </c>
      <c r="N519" s="29"/>
      <c r="O519" s="29"/>
      <c r="P519" s="29"/>
      <c r="Q519" s="332">
        <f t="shared" si="91"/>
        <v>3876</v>
      </c>
      <c r="R519" s="6"/>
      <c r="S519" s="7">
        <f>53758+26659+8297</f>
        <v>88714</v>
      </c>
      <c r="T519" s="6"/>
      <c r="U519" s="243">
        <f t="shared" si="92"/>
        <v>2.4697345189900129E-2</v>
      </c>
      <c r="W519">
        <f t="shared" si="88"/>
        <v>509</v>
      </c>
      <c r="Y519" s="56"/>
    </row>
    <row r="520" spans="3:25" x14ac:dyDescent="0.3">
      <c r="C520" s="157">
        <f t="shared" si="93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89"/>
        <v>3601299</v>
      </c>
      <c r="L520" s="6"/>
      <c r="M520" s="438">
        <f t="shared" si="90"/>
        <v>2.5759692387012862E-3</v>
      </c>
      <c r="N520" s="29"/>
      <c r="O520" s="29"/>
      <c r="P520" s="29"/>
      <c r="Q520" s="332">
        <f t="shared" si="91"/>
        <v>9253</v>
      </c>
      <c r="R520" s="6"/>
      <c r="S520" s="7">
        <f>53797+26665+8297</f>
        <v>88759</v>
      </c>
      <c r="T520" s="6"/>
      <c r="U520" s="243">
        <f t="shared" si="92"/>
        <v>2.4646384540689344E-2</v>
      </c>
      <c r="W520">
        <f t="shared" si="88"/>
        <v>510</v>
      </c>
      <c r="Y520" s="56"/>
    </row>
    <row r="521" spans="3:25" x14ac:dyDescent="0.3">
      <c r="C521" s="157">
        <f t="shared" si="93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si="89"/>
        <v>3608770</v>
      </c>
      <c r="L521" s="6"/>
      <c r="M521" s="438">
        <f t="shared" si="90"/>
        <v>2.0745292184847744E-3</v>
      </c>
      <c r="N521" s="29"/>
      <c r="O521" s="29"/>
      <c r="P521" s="29"/>
      <c r="Q521" s="332">
        <f t="shared" si="91"/>
        <v>7471</v>
      </c>
      <c r="R521" s="6"/>
      <c r="S521" s="7">
        <f>53828+26672+8307</f>
        <v>88807</v>
      </c>
      <c r="T521" s="6"/>
      <c r="U521" s="243">
        <f t="shared" si="92"/>
        <v>2.4608661676970268E-2</v>
      </c>
      <c r="W521">
        <f t="shared" si="88"/>
        <v>511</v>
      </c>
      <c r="Y521" s="56"/>
    </row>
    <row r="522" spans="3:25" x14ac:dyDescent="0.3">
      <c r="C522" s="157">
        <f t="shared" si="93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si="89"/>
        <v>3615798</v>
      </c>
      <c r="L522" s="6"/>
      <c r="M522" s="438">
        <f t="shared" si="90"/>
        <v>1.9474779495506779E-3</v>
      </c>
      <c r="N522" s="29"/>
      <c r="O522" s="29"/>
      <c r="P522" s="29"/>
      <c r="Q522" s="332">
        <f t="shared" si="91"/>
        <v>7028</v>
      </c>
      <c r="R522" s="6"/>
      <c r="S522" s="7">
        <f>53840+26681+8307</f>
        <v>88828</v>
      </c>
      <c r="T522" s="6"/>
      <c r="U522" s="243">
        <f t="shared" si="92"/>
        <v>2.4566637848685131E-2</v>
      </c>
      <c r="W522">
        <f t="shared" si="88"/>
        <v>512</v>
      </c>
      <c r="Y522" s="56"/>
    </row>
    <row r="523" spans="3:25" x14ac:dyDescent="0.3">
      <c r="C523" s="157">
        <f t="shared" si="93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si="89"/>
        <v>3622964</v>
      </c>
      <c r="L523" s="6"/>
      <c r="M523" s="438">
        <f t="shared" si="90"/>
        <v>1.9818584998387632E-3</v>
      </c>
      <c r="N523" s="29"/>
      <c r="O523" s="29"/>
      <c r="P523" s="29"/>
      <c r="Q523" s="332">
        <f t="shared" si="91"/>
        <v>7166</v>
      </c>
      <c r="R523" s="6"/>
      <c r="S523" s="7">
        <f>53855+26692+8307</f>
        <v>88854</v>
      </c>
      <c r="T523" s="6"/>
      <c r="U523" s="243">
        <f t="shared" si="92"/>
        <v>2.4525222994211369E-2</v>
      </c>
      <c r="W523">
        <f t="shared" si="88"/>
        <v>513</v>
      </c>
      <c r="Y523" s="56"/>
    </row>
    <row r="524" spans="3:25" x14ac:dyDescent="0.3">
      <c r="C524" s="157">
        <f t="shared" si="93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si="89"/>
        <v>3624293</v>
      </c>
      <c r="L524" s="6"/>
      <c r="M524" s="438">
        <f t="shared" si="90"/>
        <v>3.668267197797163E-4</v>
      </c>
      <c r="N524" s="29"/>
      <c r="O524" s="29"/>
      <c r="P524" s="29"/>
      <c r="Q524" s="332">
        <f t="shared" si="91"/>
        <v>1329</v>
      </c>
      <c r="R524" s="6"/>
      <c r="S524" s="7">
        <f>54067+26695+8307</f>
        <v>89069</v>
      </c>
      <c r="T524" s="6"/>
      <c r="U524" s="243">
        <f t="shared" si="92"/>
        <v>2.457555170070411E-2</v>
      </c>
      <c r="W524">
        <f t="shared" si="88"/>
        <v>514</v>
      </c>
      <c r="Y524" s="56"/>
    </row>
    <row r="525" spans="3:25" x14ac:dyDescent="0.3">
      <c r="C525" s="157">
        <f t="shared" si="93"/>
        <v>44424</v>
      </c>
      <c r="E525" s="241">
        <v>2208000</v>
      </c>
      <c r="F525" s="7"/>
      <c r="G525" s="7">
        <v>1062500</v>
      </c>
      <c r="H525" s="7"/>
      <c r="I525" s="7">
        <v>362500</v>
      </c>
      <c r="J525" s="244"/>
      <c r="K525" s="7">
        <f t="shared" si="89"/>
        <v>3633000</v>
      </c>
      <c r="L525" s="6"/>
      <c r="M525" s="438">
        <f t="shared" si="90"/>
        <v>2.4023995852432462E-3</v>
      </c>
      <c r="N525" s="29"/>
      <c r="O525" s="29"/>
      <c r="P525" s="29"/>
      <c r="Q525" s="332">
        <f t="shared" si="91"/>
        <v>8707</v>
      </c>
      <c r="R525" s="6"/>
      <c r="S525" s="7">
        <f>54067+26695+8307</f>
        <v>89069</v>
      </c>
      <c r="T525" s="6"/>
      <c r="U525" s="243">
        <f t="shared" si="92"/>
        <v>2.4516652903936141E-2</v>
      </c>
      <c r="W525">
        <f t="shared" si="88"/>
        <v>515</v>
      </c>
      <c r="Y525" s="56"/>
    </row>
    <row r="526" spans="3:25" x14ac:dyDescent="0.3">
      <c r="C526" s="157">
        <f t="shared" si="93"/>
        <v>44425</v>
      </c>
      <c r="E526" s="241">
        <v>2213176</v>
      </c>
      <c r="F526" s="7"/>
      <c r="G526" s="7">
        <v>1064059</v>
      </c>
      <c r="H526" s="7"/>
      <c r="I526" s="7">
        <v>363417</v>
      </c>
      <c r="J526" s="244"/>
      <c r="K526" s="7">
        <f t="shared" si="89"/>
        <v>3640652</v>
      </c>
      <c r="L526" s="6"/>
      <c r="M526" s="438">
        <f t="shared" si="90"/>
        <v>2.1062482796586845E-3</v>
      </c>
      <c r="N526" s="29"/>
      <c r="O526" s="29"/>
      <c r="P526" s="29"/>
      <c r="Q526" s="332">
        <f t="shared" si="91"/>
        <v>7652</v>
      </c>
      <c r="R526" s="6"/>
      <c r="S526" s="7">
        <f>54136+26716+8304</f>
        <v>89156</v>
      </c>
      <c r="T526" s="6"/>
      <c r="U526" s="243">
        <f t="shared" si="92"/>
        <v>2.4489020098597724E-2</v>
      </c>
      <c r="W526">
        <f t="shared" si="88"/>
        <v>516</v>
      </c>
      <c r="Y526" s="56"/>
    </row>
    <row r="527" spans="3:25" x14ac:dyDescent="0.3">
      <c r="C527" s="157">
        <f t="shared" si="93"/>
        <v>44426</v>
      </c>
      <c r="E527" s="241">
        <v>2217969</v>
      </c>
      <c r="F527" s="7"/>
      <c r="G527" s="7">
        <v>1065736</v>
      </c>
      <c r="H527" s="7"/>
      <c r="I527" s="7">
        <v>364891</v>
      </c>
      <c r="J527" s="244"/>
      <c r="K527" s="7">
        <f t="shared" si="89"/>
        <v>3648596</v>
      </c>
      <c r="L527" s="6"/>
      <c r="M527" s="438">
        <f t="shared" si="90"/>
        <v>2.1820267358703882E-3</v>
      </c>
      <c r="N527" s="29"/>
      <c r="O527" s="29"/>
      <c r="P527" s="29"/>
      <c r="Q527" s="332">
        <f t="shared" si="91"/>
        <v>7944</v>
      </c>
      <c r="R527" s="6"/>
      <c r="S527" s="7">
        <f>53939+26721+8307</f>
        <v>88967</v>
      </c>
      <c r="T527" s="6"/>
      <c r="U527" s="243">
        <f t="shared" si="92"/>
        <v>2.4383899998794055E-2</v>
      </c>
      <c r="W527">
        <f t="shared" si="88"/>
        <v>517</v>
      </c>
      <c r="Y527" s="56"/>
    </row>
    <row r="528" spans="3:25" x14ac:dyDescent="0.3">
      <c r="C528" s="157">
        <f t="shared" si="93"/>
        <v>44427</v>
      </c>
      <c r="E528" s="241">
        <v>2223052</v>
      </c>
      <c r="F528" s="7"/>
      <c r="G528" s="7">
        <v>1067758</v>
      </c>
      <c r="H528" s="7"/>
      <c r="I528" s="7">
        <v>365425</v>
      </c>
      <c r="J528" s="244"/>
      <c r="K528" s="7">
        <f t="shared" si="89"/>
        <v>3656235</v>
      </c>
      <c r="L528" s="6"/>
      <c r="M528" s="438">
        <f t="shared" si="90"/>
        <v>2.0936820629085819E-3</v>
      </c>
      <c r="N528" s="29"/>
      <c r="O528" s="29"/>
      <c r="P528" s="29"/>
      <c r="Q528" s="332">
        <f t="shared" si="91"/>
        <v>7639</v>
      </c>
      <c r="R528" s="6"/>
      <c r="S528" s="7">
        <f>53959+26731+8330</f>
        <v>89020</v>
      </c>
      <c r="T528" s="6"/>
      <c r="U528" s="243">
        <f t="shared" si="92"/>
        <v>2.4347450314326075E-2</v>
      </c>
      <c r="W528">
        <f t="shared" si="88"/>
        <v>518</v>
      </c>
      <c r="Y528" s="56"/>
    </row>
    <row r="529" spans="3:25" x14ac:dyDescent="0.3">
      <c r="C529" s="157">
        <f t="shared" si="93"/>
        <v>44428</v>
      </c>
      <c r="E529" s="241">
        <v>2227140</v>
      </c>
      <c r="F529" s="7"/>
      <c r="G529" s="7">
        <v>1070698</v>
      </c>
      <c r="H529" s="7"/>
      <c r="I529" s="7">
        <v>365856</v>
      </c>
      <c r="J529" s="244"/>
      <c r="K529" s="7">
        <f t="shared" si="89"/>
        <v>3663694</v>
      </c>
      <c r="L529" s="6"/>
      <c r="M529" s="438">
        <f t="shared" si="90"/>
        <v>2.040076745613999E-3</v>
      </c>
      <c r="N529" s="29"/>
      <c r="O529" s="29"/>
      <c r="P529" s="29"/>
      <c r="Q529" s="332">
        <f t="shared" si="91"/>
        <v>7459</v>
      </c>
      <c r="R529" s="6"/>
      <c r="S529" s="7">
        <f>53974+26739+8337</f>
        <v>89050</v>
      </c>
      <c r="T529" s="6"/>
      <c r="U529" s="243">
        <f t="shared" si="92"/>
        <v>2.4306069229580854E-2</v>
      </c>
      <c r="W529">
        <f t="shared" si="88"/>
        <v>519</v>
      </c>
      <c r="Y529" s="56"/>
    </row>
    <row r="530" spans="3:25" x14ac:dyDescent="0.3">
      <c r="C530" s="157">
        <f t="shared" si="93"/>
        <v>44429</v>
      </c>
      <c r="E530" s="241">
        <v>2233083</v>
      </c>
      <c r="F530" s="7"/>
      <c r="G530" s="7">
        <v>1072856</v>
      </c>
      <c r="H530" s="7"/>
      <c r="I530" s="7">
        <v>365856</v>
      </c>
      <c r="J530" s="244"/>
      <c r="K530" s="7">
        <f t="shared" si="89"/>
        <v>3671795</v>
      </c>
      <c r="L530" s="6"/>
      <c r="M530" s="438">
        <f t="shared" si="90"/>
        <v>2.2111562810649579E-3</v>
      </c>
      <c r="N530" s="29"/>
      <c r="O530" s="29"/>
      <c r="P530" s="29"/>
      <c r="Q530" s="332">
        <f t="shared" si="91"/>
        <v>8101</v>
      </c>
      <c r="R530" s="6"/>
      <c r="S530" s="7">
        <f>54012+26750+8337</f>
        <v>89099</v>
      </c>
      <c r="T530" s="6"/>
      <c r="U530" s="243">
        <f t="shared" si="92"/>
        <v>2.4265788258876108E-2</v>
      </c>
      <c r="W530">
        <f t="shared" si="88"/>
        <v>520</v>
      </c>
      <c r="Y530" s="56"/>
    </row>
    <row r="531" spans="3:25" x14ac:dyDescent="0.3">
      <c r="C531" s="157">
        <f t="shared" si="93"/>
        <v>44430</v>
      </c>
      <c r="E531" s="241">
        <v>2237639</v>
      </c>
      <c r="F531" s="7"/>
      <c r="G531" s="7">
        <v>1074306</v>
      </c>
      <c r="H531" s="7"/>
      <c r="I531" s="7">
        <v>365856</v>
      </c>
      <c r="J531" s="244"/>
      <c r="K531" s="7">
        <f t="shared" si="89"/>
        <v>3677801</v>
      </c>
      <c r="L531" s="6"/>
      <c r="M531" s="438">
        <f t="shared" si="90"/>
        <v>1.635712233389936E-3</v>
      </c>
      <c r="N531" s="29"/>
      <c r="O531" s="29"/>
      <c r="P531" s="29"/>
      <c r="Q531" s="332">
        <f t="shared" si="91"/>
        <v>6006</v>
      </c>
      <c r="R531" s="6"/>
      <c r="S531" s="7">
        <f>54029+26752+8337</f>
        <v>89118</v>
      </c>
      <c r="T531" s="6"/>
      <c r="U531" s="243">
        <f t="shared" si="92"/>
        <v>2.4231327361105181E-2</v>
      </c>
      <c r="W531">
        <f t="shared" si="88"/>
        <v>521</v>
      </c>
      <c r="Y531" s="56"/>
    </row>
    <row r="532" spans="3:25" x14ac:dyDescent="0.3">
      <c r="C532" s="157">
        <f t="shared" si="93"/>
        <v>44431</v>
      </c>
      <c r="E532" s="241">
        <v>2241468</v>
      </c>
      <c r="F532" s="7"/>
      <c r="G532" s="7">
        <v>1075930</v>
      </c>
      <c r="H532" s="7"/>
      <c r="I532" s="7">
        <v>367410</v>
      </c>
      <c r="J532" s="244"/>
      <c r="K532" s="7">
        <f t="shared" si="89"/>
        <v>3684808</v>
      </c>
      <c r="L532" s="6"/>
      <c r="M532" s="438">
        <f t="shared" si="90"/>
        <v>1.9052145561981194E-3</v>
      </c>
      <c r="N532" s="29"/>
      <c r="O532" s="29"/>
      <c r="P532" s="29"/>
      <c r="Q532" s="332">
        <f t="shared" si="91"/>
        <v>7007</v>
      </c>
      <c r="R532" s="6"/>
      <c r="S532" s="7">
        <f>54054+26755+8335</f>
        <v>89144</v>
      </c>
      <c r="T532" s="6"/>
      <c r="U532" s="243">
        <f t="shared" si="92"/>
        <v>2.4192305270722383E-2</v>
      </c>
      <c r="W532">
        <f t="shared" si="88"/>
        <v>522</v>
      </c>
      <c r="Y532" s="56"/>
    </row>
    <row r="533" spans="3:25" x14ac:dyDescent="0.3">
      <c r="C533" s="157">
        <f t="shared" si="93"/>
        <v>44432</v>
      </c>
      <c r="E533" s="241">
        <v>2241468</v>
      </c>
      <c r="F533" s="7"/>
      <c r="G533" s="7">
        <v>1077787</v>
      </c>
      <c r="H533" s="7"/>
      <c r="I533" s="7">
        <v>367410</v>
      </c>
      <c r="J533" s="244"/>
      <c r="K533" s="7">
        <f t="shared" si="89"/>
        <v>3686665</v>
      </c>
      <c r="L533" s="6"/>
      <c r="M533" s="438">
        <f t="shared" si="90"/>
        <v>5.0396112904661523E-4</v>
      </c>
      <c r="N533" s="29"/>
      <c r="O533" s="29"/>
      <c r="P533" s="29"/>
      <c r="Q533" s="332">
        <f t="shared" si="91"/>
        <v>1857</v>
      </c>
      <c r="R533" s="6"/>
      <c r="S533" s="7">
        <f>54054+26775+8335</f>
        <v>89164</v>
      </c>
      <c r="T533" s="6"/>
      <c r="U533" s="243">
        <f t="shared" si="92"/>
        <v>2.4185544387678296E-2</v>
      </c>
      <c r="W533">
        <f t="shared" si="88"/>
        <v>523</v>
      </c>
      <c r="Y533" s="56"/>
    </row>
    <row r="534" spans="3:25" x14ac:dyDescent="0.3">
      <c r="C534" s="157">
        <f t="shared" si="93"/>
        <v>44433</v>
      </c>
      <c r="E534" s="241">
        <v>2248791</v>
      </c>
      <c r="F534" s="7"/>
      <c r="G534" s="7">
        <v>1079900</v>
      </c>
      <c r="H534" s="7"/>
      <c r="I534" s="7">
        <v>369132</v>
      </c>
      <c r="J534" s="244"/>
      <c r="K534" s="7">
        <f t="shared" si="89"/>
        <v>3697823</v>
      </c>
      <c r="L534" s="6"/>
      <c r="M534" s="438">
        <f t="shared" si="90"/>
        <v>3.0265836467376342E-3</v>
      </c>
      <c r="N534" s="29"/>
      <c r="O534" s="29"/>
      <c r="P534" s="29"/>
      <c r="Q534" s="332">
        <f t="shared" si="91"/>
        <v>11158</v>
      </c>
      <c r="R534" s="6"/>
      <c r="S534" s="7">
        <f>54100+26796+8335</f>
        <v>89231</v>
      </c>
      <c r="T534" s="6"/>
      <c r="U534" s="243">
        <f t="shared" si="92"/>
        <v>2.4130684459477914E-2</v>
      </c>
      <c r="W534">
        <f t="shared" si="88"/>
        <v>524</v>
      </c>
      <c r="Y534" s="56"/>
    </row>
    <row r="535" spans="3:25" x14ac:dyDescent="0.3">
      <c r="C535" s="157">
        <f t="shared" si="93"/>
        <v>44434</v>
      </c>
      <c r="E535" s="241">
        <v>2254155</v>
      </c>
      <c r="F535" s="7"/>
      <c r="G535" s="7">
        <v>1081954</v>
      </c>
      <c r="H535" s="7"/>
      <c r="I535" s="7">
        <v>369920</v>
      </c>
      <c r="J535" s="244"/>
      <c r="K535" s="7">
        <f t="shared" si="89"/>
        <v>3706029</v>
      </c>
      <c r="L535" s="6"/>
      <c r="M535" s="438">
        <f t="shared" si="90"/>
        <v>2.2191435339117098E-3</v>
      </c>
      <c r="N535" s="29"/>
      <c r="O535" s="29"/>
      <c r="P535" s="29"/>
      <c r="Q535" s="332">
        <f t="shared" si="91"/>
        <v>8206</v>
      </c>
      <c r="R535" s="6"/>
      <c r="S535" s="7">
        <f>54130+26807+8355</f>
        <v>89292</v>
      </c>
      <c r="T535" s="6"/>
      <c r="U535" s="243">
        <f t="shared" si="92"/>
        <v>2.409371324401401E-2</v>
      </c>
      <c r="W535">
        <f t="shared" si="88"/>
        <v>525</v>
      </c>
      <c r="Y535" s="56"/>
    </row>
    <row r="536" spans="3:25" x14ac:dyDescent="0.3">
      <c r="C536" s="157">
        <f t="shared" si="93"/>
        <v>44435</v>
      </c>
      <c r="E536" s="241">
        <v>2260536</v>
      </c>
      <c r="F536" s="7"/>
      <c r="G536" s="7">
        <v>1084546</v>
      </c>
      <c r="H536" s="7"/>
      <c r="I536" s="7">
        <v>370708</v>
      </c>
      <c r="J536" s="244"/>
      <c r="K536" s="7">
        <f t="shared" si="89"/>
        <v>3715790</v>
      </c>
      <c r="L536" s="6"/>
      <c r="M536" s="438">
        <f t="shared" si="90"/>
        <v>2.633816411042655E-3</v>
      </c>
      <c r="N536" s="29"/>
      <c r="O536" s="29"/>
      <c r="P536" s="29"/>
      <c r="Q536" s="332">
        <f t="shared" ref="Q536:Q542" si="94">+K536-K535</f>
        <v>9761</v>
      </c>
      <c r="R536" s="6"/>
      <c r="S536" s="7">
        <f>54152+26826+8358</f>
        <v>89336</v>
      </c>
      <c r="T536" s="6"/>
      <c r="U536" s="243">
        <f t="shared" si="92"/>
        <v>2.4042262883532169E-2</v>
      </c>
      <c r="W536">
        <f t="shared" si="88"/>
        <v>526</v>
      </c>
      <c r="Y536" s="56"/>
    </row>
    <row r="537" spans="3:25" x14ac:dyDescent="0.3">
      <c r="C537" s="157">
        <f t="shared" si="93"/>
        <v>44436</v>
      </c>
      <c r="E537" s="241">
        <v>2262893</v>
      </c>
      <c r="F537" s="7"/>
      <c r="G537" s="7">
        <v>1086480</v>
      </c>
      <c r="H537" s="7"/>
      <c r="I537" s="7">
        <v>370708</v>
      </c>
      <c r="J537" s="244"/>
      <c r="K537" s="7">
        <f t="shared" ref="K537:K552" si="95">SUM(E537:I537)</f>
        <v>3720081</v>
      </c>
      <c r="L537" s="6"/>
      <c r="M537" s="438">
        <f t="shared" ref="M537:M552" si="96">+(K537-K536)/K536</f>
        <v>1.1548015361470911E-3</v>
      </c>
      <c r="N537" s="29"/>
      <c r="O537" s="29"/>
      <c r="P537" s="29"/>
      <c r="Q537" s="332">
        <f t="shared" si="94"/>
        <v>4291</v>
      </c>
      <c r="R537" s="6"/>
      <c r="S537" s="7">
        <f>54159+26844+8358</f>
        <v>89361</v>
      </c>
      <c r="T537" s="6"/>
      <c r="U537" s="243">
        <f t="shared" si="92"/>
        <v>2.402125115017657E-2</v>
      </c>
      <c r="W537">
        <f t="shared" si="88"/>
        <v>527</v>
      </c>
      <c r="Y537" s="56"/>
    </row>
    <row r="538" spans="3:25" x14ac:dyDescent="0.3">
      <c r="C538" s="157">
        <f t="shared" si="93"/>
        <v>44437</v>
      </c>
      <c r="E538" s="241">
        <v>2269038</v>
      </c>
      <c r="F538" s="7"/>
      <c r="G538" s="7">
        <v>1088330</v>
      </c>
      <c r="H538" s="7"/>
      <c r="I538" s="7">
        <v>370708</v>
      </c>
      <c r="J538" s="244"/>
      <c r="K538" s="7">
        <f t="shared" si="95"/>
        <v>3728076</v>
      </c>
      <c r="L538" s="6"/>
      <c r="M538" s="438">
        <f t="shared" si="96"/>
        <v>2.1491467524497451E-3</v>
      </c>
      <c r="N538" s="29"/>
      <c r="O538" s="29"/>
      <c r="P538" s="29"/>
      <c r="Q538" s="332">
        <f t="shared" si="94"/>
        <v>7995</v>
      </c>
      <c r="R538" s="6"/>
      <c r="S538" s="7">
        <f>54199+26849+8358</f>
        <v>89406</v>
      </c>
      <c r="T538" s="6"/>
      <c r="U538" s="243">
        <v>2.402125115017657E-2</v>
      </c>
      <c r="W538">
        <f t="shared" si="88"/>
        <v>528</v>
      </c>
      <c r="Y538" s="56"/>
    </row>
    <row r="539" spans="3:25" x14ac:dyDescent="0.3">
      <c r="C539" s="157">
        <f t="shared" si="93"/>
        <v>44438</v>
      </c>
      <c r="E539" s="241">
        <v>2274680</v>
      </c>
      <c r="F539" s="7"/>
      <c r="G539" s="7">
        <v>1089838</v>
      </c>
      <c r="H539" s="7"/>
      <c r="I539" s="7">
        <v>372069</v>
      </c>
      <c r="J539" s="244"/>
      <c r="K539" s="7">
        <f t="shared" si="95"/>
        <v>3736587</v>
      </c>
      <c r="L539" s="6"/>
      <c r="M539" s="438">
        <f t="shared" si="96"/>
        <v>2.2829470214663005E-3</v>
      </c>
      <c r="N539" s="29"/>
      <c r="O539" s="29"/>
      <c r="P539" s="29"/>
      <c r="Q539" s="332">
        <f t="shared" si="94"/>
        <v>8511</v>
      </c>
      <c r="R539" s="6"/>
      <c r="S539" s="7">
        <f>54230+26864+8358</f>
        <v>89452</v>
      </c>
      <c r="T539" s="6"/>
      <c r="U539" s="243">
        <v>2.402125115017657E-2</v>
      </c>
      <c r="W539">
        <f t="shared" si="88"/>
        <v>529</v>
      </c>
      <c r="Y539" s="56"/>
    </row>
    <row r="540" spans="3:25" x14ac:dyDescent="0.3">
      <c r="C540" s="157">
        <f t="shared" si="93"/>
        <v>44439</v>
      </c>
      <c r="E540" s="241">
        <v>2278590</v>
      </c>
      <c r="F540" s="7"/>
      <c r="G540" s="7">
        <v>1091966</v>
      </c>
      <c r="H540" s="7"/>
      <c r="I540" s="7">
        <v>373072</v>
      </c>
      <c r="J540" s="244"/>
      <c r="K540" s="7">
        <f t="shared" si="95"/>
        <v>3743628</v>
      </c>
      <c r="L540" s="6"/>
      <c r="M540" s="438">
        <f t="shared" si="96"/>
        <v>1.8843399069792834E-3</v>
      </c>
      <c r="N540" s="29"/>
      <c r="O540" s="29"/>
      <c r="P540" s="29"/>
      <c r="Q540" s="332">
        <f t="shared" si="94"/>
        <v>7041</v>
      </c>
      <c r="R540" s="6"/>
      <c r="S540" s="7">
        <f>54264+26882+8358</f>
        <v>89504</v>
      </c>
      <c r="T540" s="6"/>
      <c r="U540" s="243">
        <v>2.402125115017657E-2</v>
      </c>
      <c r="W540">
        <f t="shared" si="88"/>
        <v>530</v>
      </c>
      <c r="Y540" s="56"/>
    </row>
    <row r="541" spans="3:25" x14ac:dyDescent="0.3">
      <c r="C541" s="157">
        <f t="shared" si="93"/>
        <v>44440</v>
      </c>
      <c r="E541" s="241">
        <v>2282836</v>
      </c>
      <c r="F541" s="7"/>
      <c r="G541" s="7">
        <v>1094249</v>
      </c>
      <c r="H541" s="7"/>
      <c r="I541" s="7">
        <v>373784</v>
      </c>
      <c r="J541" s="244"/>
      <c r="K541" s="7">
        <f t="shared" si="95"/>
        <v>3750869</v>
      </c>
      <c r="L541" s="6"/>
      <c r="M541" s="438">
        <f t="shared" si="96"/>
        <v>1.9342199598891771E-3</v>
      </c>
      <c r="N541" s="29"/>
      <c r="O541" s="29"/>
      <c r="P541" s="29"/>
      <c r="Q541" s="332">
        <f t="shared" si="94"/>
        <v>7241</v>
      </c>
      <c r="R541" s="6"/>
      <c r="S541" s="7">
        <f>54282+26902+8358</f>
        <v>89542</v>
      </c>
      <c r="T541" s="6"/>
      <c r="U541" s="243">
        <v>2.402125115017657E-2</v>
      </c>
      <c r="W541">
        <f t="shared" ref="W541:W580" si="97">+W540+1</f>
        <v>531</v>
      </c>
      <c r="Y541" s="56"/>
    </row>
    <row r="542" spans="3:25" x14ac:dyDescent="0.3">
      <c r="C542" s="157">
        <f t="shared" si="93"/>
        <v>44441</v>
      </c>
      <c r="E542" s="241">
        <v>2288001</v>
      </c>
      <c r="F542" s="7"/>
      <c r="G542" s="7">
        <v>1096791</v>
      </c>
      <c r="H542" s="7"/>
      <c r="I542" s="7">
        <v>374470</v>
      </c>
      <c r="J542" s="244"/>
      <c r="K542" s="7">
        <f t="shared" si="95"/>
        <v>3759262</v>
      </c>
      <c r="L542" s="6"/>
      <c r="M542" s="438">
        <f t="shared" si="96"/>
        <v>2.2376148033962265E-3</v>
      </c>
      <c r="N542" s="29"/>
      <c r="O542" s="29"/>
      <c r="P542" s="29"/>
      <c r="Q542" s="332">
        <f t="shared" si="94"/>
        <v>8393</v>
      </c>
      <c r="R542" s="6"/>
      <c r="S542" s="7">
        <f>54333+26939+8394</f>
        <v>89666</v>
      </c>
      <c r="T542" s="6"/>
      <c r="U542" s="243">
        <v>2.402125115017657E-2</v>
      </c>
      <c r="W542">
        <f t="shared" si="97"/>
        <v>532</v>
      </c>
      <c r="Y542" s="56"/>
    </row>
    <row r="543" spans="3:25" x14ac:dyDescent="0.3">
      <c r="C543" s="157">
        <f t="shared" si="93"/>
        <v>44442</v>
      </c>
      <c r="E543" s="241">
        <v>2293966</v>
      </c>
      <c r="F543" s="7"/>
      <c r="G543" s="7">
        <v>1098626</v>
      </c>
      <c r="H543" s="7"/>
      <c r="I543" s="7">
        <v>375135</v>
      </c>
      <c r="J543" s="244"/>
      <c r="K543" s="7">
        <f t="shared" si="95"/>
        <v>3767727</v>
      </c>
      <c r="L543" s="6"/>
      <c r="M543" s="438">
        <f t="shared" si="96"/>
        <v>2.2517717573289652E-3</v>
      </c>
      <c r="N543" s="29"/>
      <c r="O543" s="29"/>
      <c r="P543" s="29"/>
      <c r="Q543" s="332">
        <f t="shared" ref="Q543:Q552" si="98">+K543-K542</f>
        <v>8465</v>
      </c>
      <c r="R543" s="6"/>
      <c r="S543" s="7">
        <f>54361+26929+8394</f>
        <v>89684</v>
      </c>
      <c r="T543" s="6"/>
      <c r="U543" s="243">
        <v>2.402125115017657E-2</v>
      </c>
      <c r="W543">
        <f t="shared" si="97"/>
        <v>533</v>
      </c>
      <c r="Y543" s="56"/>
    </row>
    <row r="544" spans="3:25" x14ac:dyDescent="0.3">
      <c r="C544" s="157">
        <f t="shared" si="93"/>
        <v>44443</v>
      </c>
      <c r="E544" s="241">
        <v>2297542</v>
      </c>
      <c r="F544" s="7"/>
      <c r="G544" s="7">
        <v>1100774</v>
      </c>
      <c r="H544" s="7"/>
      <c r="I544" s="7">
        <v>375135</v>
      </c>
      <c r="J544" s="244"/>
      <c r="K544" s="7">
        <f t="shared" si="95"/>
        <v>3773451</v>
      </c>
      <c r="L544" s="6"/>
      <c r="M544" s="438">
        <f t="shared" si="96"/>
        <v>1.5192183510111003E-3</v>
      </c>
      <c r="N544" s="29"/>
      <c r="O544" s="29"/>
      <c r="P544" s="29"/>
      <c r="Q544" s="332">
        <f t="shared" si="98"/>
        <v>5724</v>
      </c>
      <c r="R544" s="6"/>
      <c r="S544" s="7">
        <f>54361+26929+8394</f>
        <v>89684</v>
      </c>
      <c r="T544" s="6"/>
      <c r="U544" s="243">
        <v>2.402125115017657E-2</v>
      </c>
      <c r="W544">
        <f t="shared" si="97"/>
        <v>534</v>
      </c>
      <c r="Y544" s="56"/>
    </row>
    <row r="545" spans="3:25" x14ac:dyDescent="0.3">
      <c r="C545" s="157">
        <f t="shared" si="93"/>
        <v>44444</v>
      </c>
      <c r="E545" s="241">
        <v>2303739</v>
      </c>
      <c r="F545" s="7"/>
      <c r="G545" s="7">
        <v>1102488</v>
      </c>
      <c r="H545" s="7"/>
      <c r="I545" s="7">
        <v>375135</v>
      </c>
      <c r="J545" s="244"/>
      <c r="K545" s="7">
        <f t="shared" si="95"/>
        <v>3781362</v>
      </c>
      <c r="L545" s="6"/>
      <c r="M545" s="438">
        <f t="shared" si="96"/>
        <v>2.0964893939261434E-3</v>
      </c>
      <c r="N545" s="29"/>
      <c r="O545" s="29"/>
      <c r="P545" s="29"/>
      <c r="Q545" s="332">
        <f t="shared" si="98"/>
        <v>7911</v>
      </c>
      <c r="R545" s="6"/>
      <c r="S545" s="7">
        <f>54420+26948+8394</f>
        <v>89762</v>
      </c>
      <c r="T545" s="6"/>
      <c r="U545" s="243">
        <v>2.402125115017657E-2</v>
      </c>
      <c r="W545">
        <f t="shared" si="97"/>
        <v>535</v>
      </c>
      <c r="Y545" s="56"/>
    </row>
    <row r="546" spans="3:25" x14ac:dyDescent="0.3">
      <c r="C546" s="157">
        <f t="shared" si="93"/>
        <v>44445</v>
      </c>
      <c r="E546" s="241">
        <v>2307414</v>
      </c>
      <c r="F546" s="7"/>
      <c r="G546" s="7">
        <v>1104139</v>
      </c>
      <c r="H546" s="7"/>
      <c r="I546" s="7">
        <v>375135</v>
      </c>
      <c r="J546" s="244"/>
      <c r="K546" s="7">
        <f t="shared" si="95"/>
        <v>3786688</v>
      </c>
      <c r="L546" s="6"/>
      <c r="M546" s="438">
        <f t="shared" si="96"/>
        <v>1.4084872064615871E-3</v>
      </c>
      <c r="N546" s="29"/>
      <c r="O546" s="29"/>
      <c r="P546" s="29"/>
      <c r="Q546" s="332">
        <f t="shared" si="98"/>
        <v>5326</v>
      </c>
      <c r="R546" s="6"/>
      <c r="S546" s="7">
        <f>54449+26952+8394</f>
        <v>89795</v>
      </c>
      <c r="T546" s="6"/>
      <c r="U546" s="243">
        <v>2.402125115017657E-2</v>
      </c>
      <c r="W546">
        <f t="shared" si="97"/>
        <v>536</v>
      </c>
      <c r="Y546" s="56"/>
    </row>
    <row r="547" spans="3:25" x14ac:dyDescent="0.3">
      <c r="C547" s="157">
        <f t="shared" si="93"/>
        <v>44446</v>
      </c>
      <c r="E547" s="241">
        <v>2310000</v>
      </c>
      <c r="F547" s="7"/>
      <c r="G547" s="7">
        <v>1106000</v>
      </c>
      <c r="H547" s="7"/>
      <c r="I547" s="7">
        <v>377682</v>
      </c>
      <c r="J547" s="579" t="s">
        <v>26</v>
      </c>
      <c r="K547" s="7">
        <f t="shared" si="95"/>
        <v>3793682</v>
      </c>
      <c r="L547" s="6"/>
      <c r="M547" s="438">
        <f t="shared" si="96"/>
        <v>1.8469966366386668E-3</v>
      </c>
      <c r="N547" s="29"/>
      <c r="O547" s="29"/>
      <c r="P547" s="29"/>
      <c r="Q547" s="332">
        <f t="shared" si="98"/>
        <v>6994</v>
      </c>
      <c r="R547" s="6"/>
      <c r="S547" s="7">
        <f>54500+27007+8415</f>
        <v>89922</v>
      </c>
      <c r="T547" s="6"/>
      <c r="U547" s="243">
        <v>2.402125115017657E-2</v>
      </c>
      <c r="W547">
        <f t="shared" si="97"/>
        <v>537</v>
      </c>
      <c r="Y547" s="56"/>
    </row>
    <row r="548" spans="3:25" x14ac:dyDescent="0.3">
      <c r="C548" s="157">
        <f t="shared" si="93"/>
        <v>44447</v>
      </c>
      <c r="E548" s="241">
        <v>2313361</v>
      </c>
      <c r="F548" s="7"/>
      <c r="G548" s="7">
        <v>1108291</v>
      </c>
      <c r="H548" s="7"/>
      <c r="I548" s="7">
        <v>377682</v>
      </c>
      <c r="J548" s="244"/>
      <c r="K548" s="7">
        <f t="shared" si="95"/>
        <v>3799334</v>
      </c>
      <c r="L548" s="6"/>
      <c r="M548" s="438">
        <f t="shared" si="96"/>
        <v>1.489845485204084E-3</v>
      </c>
      <c r="N548" s="29"/>
      <c r="O548" s="29"/>
      <c r="P548" s="29"/>
      <c r="Q548" s="332">
        <f t="shared" si="98"/>
        <v>5652</v>
      </c>
      <c r="R548" s="6"/>
      <c r="S548" s="7">
        <f>54500+27007+8415</f>
        <v>89922</v>
      </c>
      <c r="T548" s="6"/>
      <c r="U548" s="243">
        <v>2.402125115017657E-2</v>
      </c>
      <c r="W548">
        <f t="shared" si="97"/>
        <v>538</v>
      </c>
      <c r="Y548" s="56"/>
    </row>
    <row r="549" spans="3:25" x14ac:dyDescent="0.3">
      <c r="C549" s="157">
        <f t="shared" si="93"/>
        <v>44448</v>
      </c>
      <c r="E549" s="241">
        <v>2319680</v>
      </c>
      <c r="F549" s="7"/>
      <c r="G549" s="7">
        <v>1110501</v>
      </c>
      <c r="H549" s="7"/>
      <c r="I549" s="7">
        <v>378308</v>
      </c>
      <c r="J549" s="244"/>
      <c r="K549" s="7">
        <f t="shared" si="95"/>
        <v>3808489</v>
      </c>
      <c r="L549" s="6"/>
      <c r="M549" s="438">
        <f t="shared" si="96"/>
        <v>2.4096328461777777E-3</v>
      </c>
      <c r="N549" s="29"/>
      <c r="O549" s="29"/>
      <c r="P549" s="29"/>
      <c r="Q549" s="332">
        <f t="shared" si="98"/>
        <v>9155</v>
      </c>
      <c r="R549" s="6"/>
      <c r="S549" s="7">
        <f>54569+27024+8416</f>
        <v>90009</v>
      </c>
      <c r="T549" s="6"/>
      <c r="U549" s="243">
        <v>2.402125115017657E-2</v>
      </c>
      <c r="W549">
        <f t="shared" si="97"/>
        <v>539</v>
      </c>
      <c r="Y549" s="56"/>
    </row>
    <row r="550" spans="3:25" x14ac:dyDescent="0.3">
      <c r="C550" s="157">
        <f t="shared" si="93"/>
        <v>44449</v>
      </c>
      <c r="E550" s="241">
        <v>2325332</v>
      </c>
      <c r="F550" s="7"/>
      <c r="G550" s="7">
        <v>1113165</v>
      </c>
      <c r="H550" s="7"/>
      <c r="I550" s="7">
        <v>378933</v>
      </c>
      <c r="J550" s="244"/>
      <c r="K550" s="7">
        <f t="shared" si="95"/>
        <v>3817430</v>
      </c>
      <c r="L550" s="6"/>
      <c r="M550" s="438">
        <f t="shared" si="96"/>
        <v>2.3476502098338735E-3</v>
      </c>
      <c r="N550" s="29"/>
      <c r="O550" s="29"/>
      <c r="P550" s="29"/>
      <c r="Q550" s="332">
        <f t="shared" si="98"/>
        <v>8941</v>
      </c>
      <c r="R550" s="6"/>
      <c r="S550" s="7">
        <f>54602+27039+8424</f>
        <v>90065</v>
      </c>
      <c r="T550" s="6"/>
      <c r="U550" s="243">
        <v>2.402125115017657E-2</v>
      </c>
      <c r="W550">
        <f t="shared" si="97"/>
        <v>540</v>
      </c>
      <c r="Y550" s="56"/>
    </row>
    <row r="551" spans="3:25" x14ac:dyDescent="0.3">
      <c r="C551" s="157">
        <f t="shared" si="93"/>
        <v>44450</v>
      </c>
      <c r="E551" s="241">
        <v>2331615</v>
      </c>
      <c r="F551" s="7"/>
      <c r="G551" s="7">
        <v>1115659</v>
      </c>
      <c r="H551" s="7"/>
      <c r="I551" s="7">
        <v>378933</v>
      </c>
      <c r="J551" s="244"/>
      <c r="K551" s="7">
        <f t="shared" si="95"/>
        <v>3826207</v>
      </c>
      <c r="L551" s="6"/>
      <c r="M551" s="438">
        <f t="shared" si="96"/>
        <v>2.2991908168584624E-3</v>
      </c>
      <c r="N551" s="29"/>
      <c r="O551" s="29"/>
      <c r="P551" s="29"/>
      <c r="Q551" s="332">
        <f t="shared" si="98"/>
        <v>8777</v>
      </c>
      <c r="R551" s="6"/>
      <c r="S551" s="7">
        <f>54636+27054+8424</f>
        <v>90114</v>
      </c>
      <c r="T551" s="6"/>
      <c r="U551" s="243">
        <v>2.402125115017657E-2</v>
      </c>
      <c r="W551">
        <f t="shared" si="97"/>
        <v>541</v>
      </c>
      <c r="Y551" s="56"/>
    </row>
    <row r="552" spans="3:25" x14ac:dyDescent="0.3">
      <c r="C552" s="157">
        <f t="shared" si="93"/>
        <v>44451</v>
      </c>
      <c r="E552" s="241">
        <v>2335720</v>
      </c>
      <c r="F552" s="7"/>
      <c r="G552" s="7">
        <v>1117506</v>
      </c>
      <c r="H552" s="7"/>
      <c r="I552" s="7">
        <v>378933</v>
      </c>
      <c r="J552" s="244"/>
      <c r="K552" s="7">
        <f t="shared" si="95"/>
        <v>3832159</v>
      </c>
      <c r="L552" s="6"/>
      <c r="M552" s="438">
        <f t="shared" si="96"/>
        <v>1.5555875570767604E-3</v>
      </c>
      <c r="N552" s="29"/>
      <c r="O552" s="29"/>
      <c r="P552" s="29"/>
      <c r="Q552" s="332">
        <f t="shared" si="98"/>
        <v>5952</v>
      </c>
      <c r="R552" s="6"/>
      <c r="S552" s="7">
        <f>54656+27058+8424</f>
        <v>90138</v>
      </c>
      <c r="T552" s="6"/>
      <c r="U552" s="243">
        <v>2.402125115017657E-2</v>
      </c>
      <c r="W552">
        <f t="shared" si="97"/>
        <v>542</v>
      </c>
      <c r="Y552" s="56"/>
    </row>
    <row r="553" spans="3:25" x14ac:dyDescent="0.3">
      <c r="C553" s="157">
        <f t="shared" si="93"/>
        <v>44452</v>
      </c>
      <c r="E553" s="241">
        <v>2340950</v>
      </c>
      <c r="F553" s="7"/>
      <c r="G553" s="7">
        <v>1119051</v>
      </c>
      <c r="H553" s="7"/>
      <c r="I553" s="7">
        <v>380281</v>
      </c>
      <c r="J553" s="244"/>
      <c r="K553" s="7">
        <f t="shared" ref="K553" si="99">SUM(E553:I553)</f>
        <v>3840282</v>
      </c>
      <c r="L553" s="6"/>
      <c r="M553" s="438">
        <f t="shared" ref="M553" si="100">+(K553-K552)/K552</f>
        <v>2.1196928415548521E-3</v>
      </c>
      <c r="N553" s="29"/>
      <c r="O553" s="29"/>
      <c r="P553" s="29"/>
      <c r="Q553" s="332">
        <f t="shared" ref="Q553" si="101">+K553-K552</f>
        <v>8123</v>
      </c>
      <c r="R553" s="6"/>
      <c r="S553" s="7">
        <f>54672+27079+8424</f>
        <v>90175</v>
      </c>
      <c r="T553" s="6"/>
      <c r="U553" s="243">
        <v>2.402125115017657E-2</v>
      </c>
      <c r="W553">
        <f t="shared" si="97"/>
        <v>543</v>
      </c>
      <c r="Y553" s="56"/>
    </row>
    <row r="554" spans="3:25" x14ac:dyDescent="0.3">
      <c r="C554" s="157">
        <f t="shared" si="93"/>
        <v>44453</v>
      </c>
      <c r="E554" s="241">
        <v>2345068</v>
      </c>
      <c r="F554" s="7"/>
      <c r="G554" s="7">
        <v>1121089</v>
      </c>
      <c r="H554" s="7"/>
      <c r="I554" s="7">
        <v>381331</v>
      </c>
      <c r="J554" s="244"/>
      <c r="K554" s="7">
        <f t="shared" ref="K554" si="102">SUM(E554:I554)</f>
        <v>3847488</v>
      </c>
      <c r="L554" s="6"/>
      <c r="M554" s="438">
        <f t="shared" ref="M554" si="103">+(K554-K553)/K553</f>
        <v>1.8764247000610892E-3</v>
      </c>
      <c r="N554" s="29"/>
      <c r="O554" s="29"/>
      <c r="P554" s="29"/>
      <c r="Q554" s="332">
        <f t="shared" ref="Q554" si="104">+K554-K553</f>
        <v>7206</v>
      </c>
      <c r="R554" s="6"/>
      <c r="S554" s="7">
        <f>54693+27101+8446</f>
        <v>90240</v>
      </c>
      <c r="T554" s="6"/>
      <c r="U554" s="243">
        <v>2.402125115017657E-2</v>
      </c>
      <c r="W554">
        <f t="shared" si="97"/>
        <v>544</v>
      </c>
      <c r="Y554" s="56"/>
    </row>
    <row r="555" spans="3:25" x14ac:dyDescent="0.3">
      <c r="C555" s="157">
        <f t="shared" si="93"/>
        <v>44454</v>
      </c>
      <c r="E555" s="241">
        <v>2349898</v>
      </c>
      <c r="F555" s="7"/>
      <c r="G555" s="7">
        <v>1123364</v>
      </c>
      <c r="H555" s="7"/>
      <c r="I555" s="7">
        <v>381732</v>
      </c>
      <c r="J555" s="244"/>
      <c r="K555" s="7">
        <f t="shared" ref="K555" si="105">SUM(E555:I555)</f>
        <v>3854994</v>
      </c>
      <c r="L555" s="6"/>
      <c r="M555" s="438">
        <f t="shared" ref="M555" si="106">+(K555-K554)/K554</f>
        <v>1.9508832776086631E-3</v>
      </c>
      <c r="N555" s="29"/>
      <c r="O555" s="29"/>
      <c r="P555" s="29"/>
      <c r="Q555" s="332">
        <f t="shared" ref="Q555" si="107">+K555-K554</f>
        <v>7506</v>
      </c>
      <c r="R555" s="6"/>
      <c r="S555" s="7">
        <f>54717+27122+8447</f>
        <v>90286</v>
      </c>
      <c r="T555" s="6"/>
      <c r="U555" s="243">
        <v>2.402125115017657E-2</v>
      </c>
      <c r="W555">
        <f t="shared" si="97"/>
        <v>545</v>
      </c>
      <c r="Y555" s="56"/>
    </row>
    <row r="556" spans="3:25" x14ac:dyDescent="0.3">
      <c r="C556" s="157">
        <f t="shared" si="93"/>
        <v>44455</v>
      </c>
      <c r="E556" s="241">
        <v>2356680</v>
      </c>
      <c r="F556" s="7"/>
      <c r="G556" s="7">
        <v>1126322</v>
      </c>
      <c r="H556" s="7"/>
      <c r="I556" s="7">
        <v>382798</v>
      </c>
      <c r="J556" s="244"/>
      <c r="K556" s="7">
        <f t="shared" ref="K556" si="108">SUM(E556:I556)</f>
        <v>3865800</v>
      </c>
      <c r="L556" s="6"/>
      <c r="M556" s="438">
        <f t="shared" ref="M556" si="109">+(K556-K555)/K555</f>
        <v>2.8031172032952582E-3</v>
      </c>
      <c r="N556" s="29"/>
      <c r="O556" s="29"/>
      <c r="P556" s="29"/>
      <c r="Q556" s="332">
        <f t="shared" ref="Q556" si="110">+K556-K555</f>
        <v>10806</v>
      </c>
      <c r="R556" s="6"/>
      <c r="S556" s="7">
        <f>54741+27148+8447</f>
        <v>90336</v>
      </c>
      <c r="T556" s="6"/>
      <c r="U556" s="243">
        <v>2.402125115017657E-2</v>
      </c>
      <c r="W556">
        <f t="shared" si="97"/>
        <v>546</v>
      </c>
      <c r="Y556" s="56"/>
    </row>
    <row r="557" spans="3:25" x14ac:dyDescent="0.3">
      <c r="C557" s="157">
        <f t="shared" si="93"/>
        <v>44456</v>
      </c>
      <c r="E557" s="241">
        <v>2362682</v>
      </c>
      <c r="F557" s="7"/>
      <c r="G557" s="7">
        <v>1128696</v>
      </c>
      <c r="H557" s="7"/>
      <c r="I557" s="7">
        <v>384342</v>
      </c>
      <c r="J557" s="244"/>
      <c r="K557" s="7">
        <f t="shared" ref="K557" si="111">SUM(E557:I557)</f>
        <v>3875720</v>
      </c>
      <c r="L557" s="6"/>
      <c r="M557" s="438">
        <f t="shared" ref="M557" si="112">+(K557-K556)/K556</f>
        <v>2.5660924000206944E-3</v>
      </c>
      <c r="N557" s="29"/>
      <c r="O557" s="29"/>
      <c r="P557" s="29"/>
      <c r="Q557" s="332">
        <f t="shared" ref="Q557" si="113">+K557-K556</f>
        <v>9920</v>
      </c>
      <c r="R557" s="6"/>
      <c r="S557" s="7">
        <f>54846+27165+8463</f>
        <v>90474</v>
      </c>
      <c r="T557" s="6"/>
      <c r="U557" s="243">
        <v>2.402125115017657E-2</v>
      </c>
      <c r="W557">
        <f t="shared" si="97"/>
        <v>547</v>
      </c>
      <c r="Y557" s="56"/>
    </row>
    <row r="558" spans="3:25" x14ac:dyDescent="0.3">
      <c r="C558" s="157">
        <f t="shared" si="93"/>
        <v>44457</v>
      </c>
      <c r="E558" s="241">
        <v>2368441</v>
      </c>
      <c r="F558" s="7"/>
      <c r="G558" s="7">
        <v>1131319</v>
      </c>
      <c r="H558" s="7"/>
      <c r="I558" s="7">
        <v>384342</v>
      </c>
      <c r="J558" s="244"/>
      <c r="K558" s="7">
        <f t="shared" ref="K558" si="114">SUM(E558:I558)</f>
        <v>3884102</v>
      </c>
      <c r="L558" s="6"/>
      <c r="M558" s="438">
        <f t="shared" ref="M558" si="115">+(K558-K557)/K557</f>
        <v>2.162694931522401E-3</v>
      </c>
      <c r="N558" s="29"/>
      <c r="O558" s="29"/>
      <c r="P558" s="29"/>
      <c r="Q558" s="332">
        <f t="shared" ref="Q558" si="116">+K558-K557</f>
        <v>8382</v>
      </c>
      <c r="R558" s="6"/>
      <c r="S558" s="7">
        <f>54865+27182+8463</f>
        <v>90510</v>
      </c>
      <c r="T558" s="6"/>
      <c r="U558" s="243">
        <v>2.402125115017657E-2</v>
      </c>
      <c r="W558">
        <f t="shared" si="97"/>
        <v>548</v>
      </c>
      <c r="Y558" s="56"/>
    </row>
    <row r="559" spans="3:25" x14ac:dyDescent="0.3">
      <c r="C559" s="157">
        <f t="shared" si="93"/>
        <v>44458</v>
      </c>
      <c r="E559" s="241">
        <v>2373659</v>
      </c>
      <c r="F559" s="7"/>
      <c r="G559" s="7">
        <v>1133228</v>
      </c>
      <c r="H559" s="7"/>
      <c r="I559" s="7">
        <v>384342</v>
      </c>
      <c r="J559" s="244"/>
      <c r="K559" s="7">
        <f t="shared" ref="K559" si="117">SUM(E559:I559)</f>
        <v>3891229</v>
      </c>
      <c r="L559" s="6"/>
      <c r="M559" s="438">
        <f t="shared" ref="M559" si="118">+(K559-K558)/K558</f>
        <v>1.8349157668876874E-3</v>
      </c>
      <c r="N559" s="29"/>
      <c r="O559" s="29"/>
      <c r="P559" s="29"/>
      <c r="Q559" s="332">
        <f t="shared" ref="Q559" si="119">+K559-K558</f>
        <v>7127</v>
      </c>
      <c r="R559" s="6"/>
      <c r="S559" s="7">
        <f>54904+27190+8463</f>
        <v>90557</v>
      </c>
      <c r="T559" s="6"/>
      <c r="U559" s="243">
        <v>2.402125115017657E-2</v>
      </c>
      <c r="W559">
        <f t="shared" si="97"/>
        <v>549</v>
      </c>
      <c r="Y559" s="56"/>
    </row>
    <row r="560" spans="3:25" x14ac:dyDescent="0.3">
      <c r="C560" s="157">
        <f t="shared" si="93"/>
        <v>44459</v>
      </c>
      <c r="E560" s="241">
        <v>2377102</v>
      </c>
      <c r="F560" s="7"/>
      <c r="G560" s="7">
        <v>1134851</v>
      </c>
      <c r="H560" s="7"/>
      <c r="I560" s="7">
        <v>385788</v>
      </c>
      <c r="J560" s="244"/>
      <c r="K560" s="7">
        <f t="shared" ref="K560" si="120">SUM(E560:I560)</f>
        <v>3897741</v>
      </c>
      <c r="L560" s="6"/>
      <c r="M560" s="438">
        <f t="shared" ref="M560" si="121">+(K560-K559)/K559</f>
        <v>1.673507264671393E-3</v>
      </c>
      <c r="N560" s="29"/>
      <c r="O560" s="29"/>
      <c r="P560" s="29"/>
      <c r="Q560" s="332">
        <f t="shared" ref="Q560" si="122">+K560-K559</f>
        <v>6512</v>
      </c>
      <c r="R560" s="6"/>
      <c r="S560" s="7">
        <f>54927+27202+8462</f>
        <v>90591</v>
      </c>
      <c r="T560" s="6"/>
      <c r="U560" s="243">
        <v>2.402125115017657E-2</v>
      </c>
      <c r="W560">
        <f t="shared" si="97"/>
        <v>550</v>
      </c>
      <c r="Y560" s="56"/>
    </row>
    <row r="561" spans="3:25" x14ac:dyDescent="0.3">
      <c r="C561" s="157">
        <f t="shared" si="93"/>
        <v>44460</v>
      </c>
      <c r="E561" s="241">
        <v>2382450</v>
      </c>
      <c r="F561" s="7"/>
      <c r="G561" s="7">
        <v>1137016</v>
      </c>
      <c r="H561" s="7"/>
      <c r="I561" s="7">
        <v>386182</v>
      </c>
      <c r="J561" s="244"/>
      <c r="K561" s="7">
        <f t="shared" ref="K561" si="123">SUM(E561:I561)</f>
        <v>3905648</v>
      </c>
      <c r="L561" s="6"/>
      <c r="M561" s="438">
        <f t="shared" ref="M561" si="124">+(K561-K560)/K560</f>
        <v>2.0286109313061079E-3</v>
      </c>
      <c r="N561" s="29"/>
      <c r="O561" s="29"/>
      <c r="P561" s="29"/>
      <c r="Q561" s="332">
        <f t="shared" ref="Q561" si="125">+K561-K560</f>
        <v>7907</v>
      </c>
      <c r="R561" s="6"/>
      <c r="S561" s="7">
        <f>54983+27240+8477</f>
        <v>90700</v>
      </c>
      <c r="T561" s="6"/>
      <c r="U561" s="243">
        <v>2.402125115017657E-2</v>
      </c>
      <c r="W561">
        <f t="shared" si="97"/>
        <v>551</v>
      </c>
      <c r="Y561" s="56"/>
    </row>
    <row r="562" spans="3:25" x14ac:dyDescent="0.3">
      <c r="C562" s="157">
        <f t="shared" si="93"/>
        <v>44461</v>
      </c>
      <c r="E562" s="241">
        <v>2387008</v>
      </c>
      <c r="F562" s="7"/>
      <c r="G562" s="7">
        <v>1139367</v>
      </c>
      <c r="H562" s="7"/>
      <c r="I562" s="7">
        <v>386672</v>
      </c>
      <c r="J562" s="244"/>
      <c r="K562" s="7">
        <f t="shared" ref="K562" si="126">SUM(E562:I562)</f>
        <v>3913047</v>
      </c>
      <c r="L562" s="6"/>
      <c r="M562" s="438">
        <f t="shared" ref="M562" si="127">+(K562-K561)/K561</f>
        <v>1.8944359553139454E-3</v>
      </c>
      <c r="N562" s="29"/>
      <c r="O562" s="29"/>
      <c r="P562" s="29"/>
      <c r="Q562" s="332">
        <f t="shared" ref="Q562" si="128">+K562-K561</f>
        <v>7399</v>
      </c>
      <c r="R562" s="6"/>
      <c r="S562" s="7">
        <f>55028+27264+8484</f>
        <v>90776</v>
      </c>
      <c r="T562" s="6"/>
      <c r="U562" s="243">
        <v>2.402125115017657E-2</v>
      </c>
      <c r="W562">
        <f t="shared" si="97"/>
        <v>552</v>
      </c>
      <c r="Y562" s="56"/>
    </row>
    <row r="563" spans="3:25" x14ac:dyDescent="0.3">
      <c r="C563" s="157">
        <f t="shared" si="93"/>
        <v>44462</v>
      </c>
      <c r="E563" s="241">
        <v>2392060</v>
      </c>
      <c r="F563" s="7"/>
      <c r="G563" s="7">
        <v>1141619</v>
      </c>
      <c r="H563" s="7"/>
      <c r="I563" s="7">
        <v>387263</v>
      </c>
      <c r="J563" s="244"/>
      <c r="K563" s="7">
        <f t="shared" ref="K563" si="129">SUM(E563:I563)</f>
        <v>3920942</v>
      </c>
      <c r="L563" s="6"/>
      <c r="M563" s="438">
        <f t="shared" ref="M563" si="130">+(K563-K562)/K562</f>
        <v>2.0176092952627453E-3</v>
      </c>
      <c r="N563" s="29"/>
      <c r="O563" s="29"/>
      <c r="P563" s="29"/>
      <c r="Q563" s="332">
        <f t="shared" ref="Q563" si="131">+K563-K562</f>
        <v>7895</v>
      </c>
      <c r="R563" s="6"/>
      <c r="S563" s="7">
        <f>55066+27288+8483</f>
        <v>90837</v>
      </c>
      <c r="T563" s="6"/>
      <c r="U563" s="243">
        <v>2.402125115017657E-2</v>
      </c>
      <c r="W563">
        <f t="shared" si="97"/>
        <v>553</v>
      </c>
      <c r="Y563" s="56"/>
    </row>
    <row r="564" spans="3:25" x14ac:dyDescent="0.3">
      <c r="C564" s="157">
        <f t="shared" si="93"/>
        <v>44463</v>
      </c>
      <c r="E564" s="241">
        <v>2398152</v>
      </c>
      <c r="F564" s="7"/>
      <c r="G564" s="7">
        <v>1143855</v>
      </c>
      <c r="H564" s="7"/>
      <c r="I564" s="7">
        <v>387733</v>
      </c>
      <c r="J564" s="244"/>
      <c r="K564" s="7">
        <f t="shared" ref="K564" si="132">SUM(E564:I564)</f>
        <v>3929740</v>
      </c>
      <c r="L564" s="6"/>
      <c r="M564" s="438">
        <f t="shared" ref="M564" si="133">+(K564-K563)/K563</f>
        <v>2.2438485445589349E-3</v>
      </c>
      <c r="N564" s="29"/>
      <c r="O564" s="29"/>
      <c r="P564" s="29"/>
      <c r="Q564" s="332">
        <f t="shared" ref="Q564" si="134">+K564-K563</f>
        <v>8798</v>
      </c>
      <c r="R564" s="6"/>
      <c r="S564" s="7">
        <f>55107+27307+8501</f>
        <v>90915</v>
      </c>
      <c r="T564" s="6"/>
      <c r="U564" s="243">
        <v>2.402125115017657E-2</v>
      </c>
      <c r="W564">
        <f t="shared" si="97"/>
        <v>554</v>
      </c>
      <c r="Y564" s="56"/>
    </row>
    <row r="565" spans="3:25" x14ac:dyDescent="0.3">
      <c r="C565" s="157">
        <f t="shared" si="93"/>
        <v>44464</v>
      </c>
      <c r="E565" s="241">
        <v>2402248</v>
      </c>
      <c r="F565" s="7"/>
      <c r="G565" s="7">
        <v>1146089</v>
      </c>
      <c r="H565" s="7"/>
      <c r="I565" s="7">
        <v>387733</v>
      </c>
      <c r="J565" s="244"/>
      <c r="K565" s="7">
        <f t="shared" ref="K565" si="135">SUM(E565:I565)</f>
        <v>3936070</v>
      </c>
      <c r="L565" s="6"/>
      <c r="M565" s="438">
        <f t="shared" ref="M565" si="136">+(K565-K564)/K564</f>
        <v>1.6107935893977718E-3</v>
      </c>
      <c r="N565" s="29"/>
      <c r="O565" s="29"/>
      <c r="P565" s="29"/>
      <c r="Q565" s="332">
        <f t="shared" ref="Q565" si="137">+K565-K564</f>
        <v>6330</v>
      </c>
      <c r="R565" s="6"/>
      <c r="S565" s="7">
        <f>55131+27323+8501</f>
        <v>90955</v>
      </c>
      <c r="T565" s="6"/>
      <c r="U565" s="243">
        <v>2.402125115017657E-2</v>
      </c>
      <c r="W565">
        <f t="shared" si="97"/>
        <v>555</v>
      </c>
      <c r="Y565" s="56"/>
    </row>
    <row r="566" spans="3:25" x14ac:dyDescent="0.3">
      <c r="C566" s="157">
        <f t="shared" si="93"/>
        <v>44465</v>
      </c>
      <c r="E566" s="241">
        <v>2406000</v>
      </c>
      <c r="F566" s="7"/>
      <c r="G566" s="7">
        <v>1147500</v>
      </c>
      <c r="H566" s="7"/>
      <c r="I566" s="7">
        <v>387500</v>
      </c>
      <c r="J566" s="244"/>
      <c r="K566" s="7">
        <f t="shared" ref="K566:K567" si="138">SUM(E566:I566)</f>
        <v>3941000</v>
      </c>
      <c r="L566" s="6"/>
      <c r="M566" s="438">
        <f t="shared" ref="M566:M567" si="139">+(K566-K565)/K565</f>
        <v>1.2525183749272752E-3</v>
      </c>
      <c r="N566" s="29"/>
      <c r="O566" s="29"/>
      <c r="P566" s="29"/>
      <c r="Q566" s="332">
        <f t="shared" ref="Q566:Q567" si="140">+K566-K565</f>
        <v>4930</v>
      </c>
      <c r="R566" s="6"/>
      <c r="S566" s="7">
        <f t="shared" ref="S566" si="141">55131+27323+8501</f>
        <v>90955</v>
      </c>
      <c r="T566" s="6"/>
      <c r="U566" s="243">
        <v>2.402125115017657E-2</v>
      </c>
      <c r="W566">
        <f t="shared" si="97"/>
        <v>556</v>
      </c>
      <c r="Y566" s="56"/>
    </row>
    <row r="567" spans="3:25" x14ac:dyDescent="0.3">
      <c r="C567" s="157">
        <f t="shared" si="93"/>
        <v>44466</v>
      </c>
      <c r="E567" s="241">
        <v>2411626</v>
      </c>
      <c r="F567" s="7"/>
      <c r="G567" s="7">
        <v>1148358</v>
      </c>
      <c r="H567" s="584" t="s">
        <v>26</v>
      </c>
      <c r="I567" s="7">
        <v>389177</v>
      </c>
      <c r="J567" s="244"/>
      <c r="K567" s="7">
        <f t="shared" si="138"/>
        <v>3949161</v>
      </c>
      <c r="L567" s="6"/>
      <c r="M567" s="438">
        <f t="shared" si="139"/>
        <v>2.0707942146663285E-3</v>
      </c>
      <c r="N567" s="29"/>
      <c r="O567" s="29"/>
      <c r="P567" s="29"/>
      <c r="Q567" s="332">
        <f t="shared" si="140"/>
        <v>8161</v>
      </c>
      <c r="R567" s="6"/>
      <c r="S567" s="7">
        <f>55204+27346+8593</f>
        <v>91143</v>
      </c>
      <c r="T567" s="6"/>
      <c r="U567" s="243">
        <v>2.402125115017657E-2</v>
      </c>
      <c r="W567">
        <f t="shared" si="97"/>
        <v>557</v>
      </c>
      <c r="Y567" s="56"/>
    </row>
    <row r="568" spans="3:25" x14ac:dyDescent="0.3">
      <c r="C568" s="157">
        <f t="shared" si="93"/>
        <v>44467</v>
      </c>
      <c r="E568" s="241">
        <v>2416683</v>
      </c>
      <c r="F568" s="7"/>
      <c r="G568" s="7">
        <v>1148358</v>
      </c>
      <c r="H568" s="7"/>
      <c r="I568" s="7">
        <v>389177</v>
      </c>
      <c r="J568" s="244"/>
      <c r="K568" s="7">
        <f t="shared" ref="K568" si="142">SUM(E568:I568)</f>
        <v>3954218</v>
      </c>
      <c r="L568" s="6"/>
      <c r="M568" s="438">
        <f t="shared" ref="M568" si="143">+(K568-K567)/K567</f>
        <v>1.2805251545834671E-3</v>
      </c>
      <c r="N568" s="29"/>
      <c r="O568" s="29"/>
      <c r="P568" s="29"/>
      <c r="Q568" s="332">
        <f t="shared" ref="Q568" si="144">+K568-K567</f>
        <v>5057</v>
      </c>
      <c r="R568" s="6"/>
      <c r="S568" s="7">
        <f>55204+27346+8593</f>
        <v>91143</v>
      </c>
      <c r="T568" s="6"/>
      <c r="U568" s="243">
        <v>2.402125115017657E-2</v>
      </c>
      <c r="W568">
        <f t="shared" si="97"/>
        <v>558</v>
      </c>
      <c r="Y568" s="56"/>
    </row>
    <row r="569" spans="3:25" x14ac:dyDescent="0.3">
      <c r="C569" s="157">
        <f t="shared" si="93"/>
        <v>44468</v>
      </c>
      <c r="E569" s="241">
        <v>2421755</v>
      </c>
      <c r="F569" s="7"/>
      <c r="G569" s="7">
        <v>1152243</v>
      </c>
      <c r="H569" s="7"/>
      <c r="I569" s="7">
        <v>390180</v>
      </c>
      <c r="J569" s="244"/>
      <c r="K569" s="7">
        <f t="shared" ref="K569" si="145">SUM(E569:I569)</f>
        <v>3964178</v>
      </c>
      <c r="L569" s="6"/>
      <c r="M569" s="438">
        <f t="shared" ref="M569" si="146">+(K569-K568)/K568</f>
        <v>2.5188292602987493E-3</v>
      </c>
      <c r="N569" s="29"/>
      <c r="O569" s="29"/>
      <c r="P569" s="29"/>
      <c r="Q569" s="332">
        <f t="shared" ref="Q569" si="147">+K569-K568</f>
        <v>9960</v>
      </c>
      <c r="R569" s="6"/>
      <c r="S569" s="7">
        <f>55310+27400+8629</f>
        <v>91339</v>
      </c>
      <c r="T569" s="6"/>
      <c r="U569" s="243">
        <v>2.402125115017657E-2</v>
      </c>
      <c r="W569">
        <f t="shared" si="97"/>
        <v>559</v>
      </c>
      <c r="Y569" s="56"/>
    </row>
    <row r="570" spans="3:25" x14ac:dyDescent="0.3">
      <c r="C570" s="157">
        <f t="shared" si="93"/>
        <v>44469</v>
      </c>
      <c r="E570" s="241">
        <v>2426683</v>
      </c>
      <c r="F570" s="7"/>
      <c r="G570" s="7">
        <v>1154570</v>
      </c>
      <c r="H570" s="7"/>
      <c r="I570" s="7">
        <v>390345</v>
      </c>
      <c r="J570" s="244"/>
      <c r="K570" s="7">
        <f t="shared" ref="K570" si="148">SUM(E570:I570)</f>
        <v>3971598</v>
      </c>
      <c r="L570" s="6"/>
      <c r="M570" s="438">
        <f t="shared" ref="M570" si="149">+(K570-K569)/K569</f>
        <v>1.8717625696928846E-3</v>
      </c>
      <c r="N570" s="29"/>
      <c r="O570" s="29"/>
      <c r="P570" s="29"/>
      <c r="Q570" s="332">
        <f t="shared" ref="Q570" si="150">+K570-K569</f>
        <v>7420</v>
      </c>
      <c r="R570" s="6"/>
      <c r="S570" s="7">
        <f>55358+27427+8629</f>
        <v>91414</v>
      </c>
      <c r="T570" s="6"/>
      <c r="U570" s="243">
        <v>2.402125115017657E-2</v>
      </c>
      <c r="W570">
        <f t="shared" si="97"/>
        <v>560</v>
      </c>
      <c r="Y570" s="56"/>
    </row>
    <row r="571" spans="3:25" x14ac:dyDescent="0.3">
      <c r="C571" s="157">
        <f t="shared" si="93"/>
        <v>44470</v>
      </c>
      <c r="E571" s="241">
        <v>2432444</v>
      </c>
      <c r="F571" s="7"/>
      <c r="G571" s="7">
        <v>1156243</v>
      </c>
      <c r="H571" s="7"/>
      <c r="I571" s="7">
        <v>391066</v>
      </c>
      <c r="J571" s="244"/>
      <c r="K571" s="7">
        <f t="shared" ref="K571" si="151">SUM(E571:I571)</f>
        <v>3979753</v>
      </c>
      <c r="L571" s="6"/>
      <c r="M571" s="438">
        <f t="shared" ref="M571" si="152">+(K571-K570)/K570</f>
        <v>2.0533296673026827E-3</v>
      </c>
      <c r="N571" s="29"/>
      <c r="O571" s="29"/>
      <c r="P571" s="29"/>
      <c r="Q571" s="332">
        <f t="shared" ref="Q571" si="153">+K571-K570</f>
        <v>8155</v>
      </c>
      <c r="R571" s="6"/>
      <c r="S571" s="7">
        <f>55416+27443+8650</f>
        <v>91509</v>
      </c>
      <c r="T571" s="6"/>
      <c r="U571" s="243">
        <v>2.402125115017657E-2</v>
      </c>
      <c r="W571">
        <f t="shared" si="97"/>
        <v>561</v>
      </c>
      <c r="Y571" s="56"/>
    </row>
    <row r="572" spans="3:25" x14ac:dyDescent="0.3">
      <c r="C572" s="157">
        <f t="shared" si="93"/>
        <v>44471</v>
      </c>
      <c r="E572" s="241">
        <v>2436048</v>
      </c>
      <c r="F572" s="7"/>
      <c r="G572" s="7">
        <v>1158178</v>
      </c>
      <c r="H572" s="7"/>
      <c r="I572" s="7">
        <v>391006</v>
      </c>
      <c r="J572" s="244"/>
      <c r="K572" s="7">
        <f t="shared" ref="K572" si="154">SUM(E572:I572)</f>
        <v>3985232</v>
      </c>
      <c r="L572" s="6"/>
      <c r="M572" s="438">
        <f t="shared" ref="M572" si="155">+(K572-K571)/K571</f>
        <v>1.3767186054008879E-3</v>
      </c>
      <c r="N572" s="29"/>
      <c r="O572" s="29"/>
      <c r="P572" s="29"/>
      <c r="Q572" s="332">
        <f t="shared" ref="Q572" si="156">+K572-K571</f>
        <v>5479</v>
      </c>
      <c r="R572" s="6"/>
      <c r="S572" s="7">
        <f>55434+27465+8650</f>
        <v>91549</v>
      </c>
      <c r="T572" s="6"/>
      <c r="U572" s="243">
        <v>2.402125115017657E-2</v>
      </c>
      <c r="W572">
        <f t="shared" si="97"/>
        <v>562</v>
      </c>
      <c r="Y572" s="56"/>
    </row>
    <row r="573" spans="3:25" x14ac:dyDescent="0.3">
      <c r="C573" s="347">
        <f t="shared" si="93"/>
        <v>44472</v>
      </c>
      <c r="E573" s="241">
        <v>2439639</v>
      </c>
      <c r="F573" s="7"/>
      <c r="G573" s="7">
        <v>1159632</v>
      </c>
      <c r="H573" s="7"/>
      <c r="I573" s="7">
        <v>391066</v>
      </c>
      <c r="J573" s="244"/>
      <c r="K573" s="7">
        <f t="shared" ref="K573" si="157">SUM(E573:I573)</f>
        <v>3990337</v>
      </c>
      <c r="L573" s="6"/>
      <c r="M573" s="438">
        <f t="shared" ref="M573" si="158">+(K573-K572)/K572</f>
        <v>1.2809793758556591E-3</v>
      </c>
      <c r="N573" s="29"/>
      <c r="O573" s="29"/>
      <c r="P573" s="29"/>
      <c r="Q573" s="332">
        <f t="shared" ref="Q573" si="159">+K573-K572</f>
        <v>5105</v>
      </c>
      <c r="R573" s="6"/>
      <c r="S573" s="7">
        <f>55457+27472+8650</f>
        <v>91579</v>
      </c>
      <c r="T573" s="6"/>
      <c r="U573" s="243">
        <v>2.402125115017657E-2</v>
      </c>
      <c r="W573">
        <f t="shared" si="97"/>
        <v>563</v>
      </c>
      <c r="Y573" s="56"/>
    </row>
    <row r="574" spans="3:25" x14ac:dyDescent="0.3">
      <c r="C574" s="158">
        <f t="shared" si="93"/>
        <v>44473</v>
      </c>
      <c r="E574" s="241">
        <v>2445371</v>
      </c>
      <c r="F574" s="7"/>
      <c r="G574" s="7">
        <v>1160878</v>
      </c>
      <c r="H574" s="7"/>
      <c r="I574" s="7">
        <v>392163</v>
      </c>
      <c r="J574" s="244"/>
      <c r="K574" s="7">
        <f t="shared" ref="K574" si="160">SUM(E574:I574)</f>
        <v>3998412</v>
      </c>
      <c r="L574" s="6"/>
      <c r="M574" s="438">
        <f t="shared" ref="M574" si="161">+(K574-K573)/K573</f>
        <v>2.0236386049599319E-3</v>
      </c>
      <c r="N574" s="29"/>
      <c r="O574" s="29"/>
      <c r="P574" s="29"/>
      <c r="Q574" s="332">
        <f t="shared" ref="Q574" si="162">+K574-K573</f>
        <v>8075</v>
      </c>
      <c r="R574" s="6"/>
      <c r="S574" s="7">
        <f>55498+27488+8650</f>
        <v>91636</v>
      </c>
      <c r="T574" s="6"/>
      <c r="U574" s="243">
        <v>2.402125115017657E-2</v>
      </c>
      <c r="W574">
        <f t="shared" si="97"/>
        <v>564</v>
      </c>
      <c r="Y574" s="56"/>
    </row>
    <row r="575" spans="3:25" x14ac:dyDescent="0.3">
      <c r="C575" s="158">
        <f t="shared" si="93"/>
        <v>44474</v>
      </c>
      <c r="E575" s="241">
        <v>2449261</v>
      </c>
      <c r="F575" s="7"/>
      <c r="G575" s="7">
        <v>1162526</v>
      </c>
      <c r="H575" s="7"/>
      <c r="I575" s="7">
        <v>392574</v>
      </c>
      <c r="J575" s="244"/>
      <c r="K575" s="7">
        <f t="shared" ref="K575" si="163">SUM(E575:I575)</f>
        <v>4004361</v>
      </c>
      <c r="L575" s="6"/>
      <c r="M575" s="438">
        <f t="shared" ref="M575" si="164">+(K575-K574)/K574</f>
        <v>1.4878406727470805E-3</v>
      </c>
      <c r="N575" s="29"/>
      <c r="O575" s="29"/>
      <c r="P575" s="29"/>
      <c r="Q575" s="332">
        <f t="shared" ref="Q575" si="165">+K575-K574</f>
        <v>5949</v>
      </c>
      <c r="R575" s="6"/>
      <c r="S575" s="7">
        <f>55531+27525+8666</f>
        <v>91722</v>
      </c>
      <c r="T575" s="6"/>
      <c r="U575" s="243">
        <v>2.402125115017657E-2</v>
      </c>
      <c r="W575">
        <f t="shared" si="97"/>
        <v>565</v>
      </c>
      <c r="Y575" s="56"/>
    </row>
    <row r="576" spans="3:25" x14ac:dyDescent="0.3">
      <c r="C576" s="158">
        <f t="shared" si="93"/>
        <v>44475</v>
      </c>
      <c r="E576" s="241">
        <v>2455444</v>
      </c>
      <c r="F576" s="7"/>
      <c r="G576" s="7">
        <v>1164378</v>
      </c>
      <c r="H576" s="7"/>
      <c r="I576" s="7">
        <v>392951</v>
      </c>
      <c r="J576" s="244"/>
      <c r="K576" s="7">
        <f t="shared" ref="K576" si="166">SUM(E576:I576)</f>
        <v>4012773</v>
      </c>
      <c r="L576" s="6"/>
      <c r="M576" s="438">
        <f t="shared" ref="M576" si="167">+(K576-K575)/K575</f>
        <v>2.1007097012482141E-3</v>
      </c>
      <c r="N576" s="29"/>
      <c r="O576" s="29"/>
      <c r="P576" s="29"/>
      <c r="Q576" s="332">
        <f t="shared" ref="Q576" si="168">+K576-K575</f>
        <v>8412</v>
      </c>
      <c r="R576" s="6"/>
      <c r="S576" s="7">
        <f>55571+27542+8667</f>
        <v>91780</v>
      </c>
      <c r="T576" s="6"/>
      <c r="U576" s="243">
        <v>2.402125115017657E-2</v>
      </c>
      <c r="W576">
        <f t="shared" si="97"/>
        <v>566</v>
      </c>
      <c r="Y576" s="56"/>
    </row>
    <row r="577" spans="3:25" x14ac:dyDescent="0.3">
      <c r="C577" s="158">
        <f t="shared" si="93"/>
        <v>44476</v>
      </c>
      <c r="E577" s="241">
        <v>2460966</v>
      </c>
      <c r="F577" s="7"/>
      <c r="G577" s="7">
        <v>1166443</v>
      </c>
      <c r="H577" s="7"/>
      <c r="I577" s="7">
        <v>393499</v>
      </c>
      <c r="J577" s="244"/>
      <c r="K577" s="7">
        <f t="shared" ref="K577" si="169">SUM(E577:I577)</f>
        <v>4020908</v>
      </c>
      <c r="L577" s="6"/>
      <c r="M577" s="438">
        <f t="shared" ref="M577" si="170">+(K577-K576)/K576</f>
        <v>2.0272763996368598E-3</v>
      </c>
      <c r="N577" s="29"/>
      <c r="O577" s="29"/>
      <c r="P577" s="29"/>
      <c r="Q577" s="332">
        <f t="shared" ref="Q577" si="171">+K577-K576</f>
        <v>8135</v>
      </c>
      <c r="R577" s="6"/>
      <c r="S577" s="7">
        <f>55590+27551+8667</f>
        <v>91808</v>
      </c>
      <c r="T577" s="6"/>
      <c r="U577" s="243">
        <v>2.402125115017657E-2</v>
      </c>
      <c r="W577">
        <f t="shared" si="97"/>
        <v>567</v>
      </c>
      <c r="Y577" s="56"/>
    </row>
    <row r="578" spans="3:25" x14ac:dyDescent="0.3">
      <c r="C578" s="158">
        <f t="shared" si="93"/>
        <v>44477</v>
      </c>
      <c r="E578" s="241">
        <v>2466780</v>
      </c>
      <c r="F578" s="7"/>
      <c r="G578" s="7">
        <v>1168312</v>
      </c>
      <c r="H578" s="7"/>
      <c r="I578" s="7">
        <v>394008</v>
      </c>
      <c r="J578" s="244"/>
      <c r="K578" s="7">
        <f t="shared" ref="K578" si="172">SUM(E578:I578)</f>
        <v>4029100</v>
      </c>
      <c r="L578" s="6"/>
      <c r="M578" s="438">
        <f t="shared" ref="M578" si="173">+(K578-K577)/K577</f>
        <v>2.0373507675380785E-3</v>
      </c>
      <c r="N578" s="29"/>
      <c r="O578" s="29"/>
      <c r="P578" s="29"/>
      <c r="Q578" s="332">
        <f t="shared" ref="Q578" si="174">+K578-K577</f>
        <v>8192</v>
      </c>
      <c r="R578" s="6"/>
      <c r="S578" s="7">
        <f>55645+27570+8667</f>
        <v>91882</v>
      </c>
      <c r="T578" s="6"/>
      <c r="U578" s="243">
        <v>2.402125115017657E-2</v>
      </c>
      <c r="W578">
        <f t="shared" si="97"/>
        <v>568</v>
      </c>
      <c r="Y578" s="56"/>
    </row>
    <row r="579" spans="3:25" x14ac:dyDescent="0.3">
      <c r="C579" s="158">
        <f t="shared" si="93"/>
        <v>44478</v>
      </c>
      <c r="E579" s="241">
        <v>2470550</v>
      </c>
      <c r="F579" s="7"/>
      <c r="G579" s="7">
        <v>1170140</v>
      </c>
      <c r="H579" s="7"/>
      <c r="I579" s="7">
        <v>394008</v>
      </c>
      <c r="J579" s="244"/>
      <c r="K579" s="7">
        <f t="shared" ref="K579" si="175">SUM(E579:I579)</f>
        <v>4034698</v>
      </c>
      <c r="L579" s="6"/>
      <c r="M579" s="438">
        <f t="shared" ref="M579" si="176">+(K579-K578)/K578</f>
        <v>1.3893921719490706E-3</v>
      </c>
      <c r="N579" s="29"/>
      <c r="O579" s="29"/>
      <c r="P579" s="29"/>
      <c r="Q579" s="332">
        <f t="shared" ref="Q579" si="177">+K579-K578</f>
        <v>5598</v>
      </c>
      <c r="R579" s="6"/>
      <c r="S579" s="7">
        <f>55673+27590+8667</f>
        <v>91930</v>
      </c>
      <c r="T579" s="6"/>
      <c r="U579" s="243">
        <v>2.402125115017657E-2</v>
      </c>
      <c r="W579">
        <f t="shared" si="97"/>
        <v>569</v>
      </c>
      <c r="Y579" s="56"/>
    </row>
    <row r="580" spans="3:25" x14ac:dyDescent="0.3">
      <c r="C580" s="347">
        <f t="shared" si="93"/>
        <v>44479</v>
      </c>
      <c r="E580" s="241">
        <v>2472757</v>
      </c>
      <c r="F580" s="7"/>
      <c r="G580" s="7">
        <v>1171573</v>
      </c>
      <c r="H580" s="7"/>
      <c r="I580" s="7">
        <v>394008</v>
      </c>
      <c r="J580" s="244"/>
      <c r="K580" s="7">
        <f t="shared" ref="K580" si="178">SUM(E580:I580)</f>
        <v>4038338</v>
      </c>
      <c r="L580" s="6"/>
      <c r="M580" s="438">
        <f t="shared" ref="M580" si="179">+(K580-K579)/K579</f>
        <v>9.0217409084893097E-4</v>
      </c>
      <c r="N580" s="29"/>
      <c r="O580" s="29"/>
      <c r="P580" s="29"/>
      <c r="Q580" s="332">
        <f t="shared" ref="Q580" si="180">+K580-K579</f>
        <v>3640</v>
      </c>
      <c r="R580" s="6"/>
      <c r="S580" s="7">
        <f>55698+27597+8667</f>
        <v>91962</v>
      </c>
      <c r="T580" s="6"/>
      <c r="U580" s="243">
        <v>2.402125115017657E-2</v>
      </c>
      <c r="W580">
        <f t="shared" si="97"/>
        <v>570</v>
      </c>
      <c r="Y580" s="56"/>
    </row>
    <row r="581" spans="3:25" x14ac:dyDescent="0.3">
      <c r="C581" s="158">
        <f t="shared" si="93"/>
        <v>44480</v>
      </c>
      <c r="E581" s="241"/>
      <c r="F581" s="7"/>
      <c r="G581" s="7"/>
      <c r="H581" s="7"/>
      <c r="I581" s="7"/>
      <c r="J581" s="244"/>
      <c r="K581" s="7"/>
      <c r="L581" s="6"/>
      <c r="M581" s="438"/>
      <c r="N581" s="29"/>
      <c r="O581" s="29"/>
      <c r="P581" s="29"/>
      <c r="Q581" s="332"/>
      <c r="R581" s="6"/>
      <c r="S581" s="7"/>
      <c r="T581" s="6"/>
      <c r="U581" s="243"/>
      <c r="Y581" s="56"/>
    </row>
    <row r="582" spans="3:25" x14ac:dyDescent="0.3">
      <c r="C582" s="158">
        <f t="shared" si="93"/>
        <v>44481</v>
      </c>
      <c r="E582" s="241"/>
      <c r="F582" s="7"/>
      <c r="G582" s="7"/>
      <c r="H582" s="7"/>
      <c r="I582" s="7"/>
      <c r="J582" s="244"/>
      <c r="K582" s="7"/>
      <c r="L582" s="6"/>
      <c r="M582" s="438"/>
      <c r="N582" s="29"/>
      <c r="O582" s="29"/>
      <c r="P582" s="29"/>
      <c r="Q582" s="332"/>
      <c r="R582" s="6"/>
      <c r="S582" s="7"/>
      <c r="T582" s="6"/>
      <c r="U582" s="243"/>
      <c r="Y582" s="56"/>
    </row>
    <row r="583" spans="3:25" ht="15" thickBot="1" x14ac:dyDescent="0.35">
      <c r="C583" s="157">
        <f t="shared" si="93"/>
        <v>44482</v>
      </c>
      <c r="E583" s="245"/>
      <c r="F583" s="246"/>
      <c r="G583" s="246"/>
      <c r="H583" s="246"/>
      <c r="I583" s="246"/>
      <c r="J583" s="246"/>
      <c r="K583" s="246"/>
      <c r="L583" s="247"/>
      <c r="M583" s="248"/>
      <c r="N583" s="248"/>
      <c r="O583" s="248"/>
      <c r="P583" s="248"/>
      <c r="Q583" s="331"/>
      <c r="R583" s="247"/>
      <c r="S583" s="247"/>
      <c r="T583" s="247"/>
      <c r="U583" s="249"/>
      <c r="W583">
        <f>+W405+1</f>
        <v>396</v>
      </c>
      <c r="Y583" s="59"/>
    </row>
    <row r="584" spans="3:25" x14ac:dyDescent="0.3">
      <c r="E584" s="56"/>
      <c r="F584" s="1"/>
      <c r="G584" s="56"/>
      <c r="H584" s="56"/>
      <c r="I584" s="56"/>
      <c r="J584" s="1"/>
      <c r="K584" s="56"/>
      <c r="S584" s="56"/>
    </row>
    <row r="585" spans="3:25" x14ac:dyDescent="0.3">
      <c r="C585" s="166" t="s">
        <v>73</v>
      </c>
      <c r="E585" s="56">
        <f>+E580</f>
        <v>2472757</v>
      </c>
      <c r="F585" s="56"/>
      <c r="G585" s="56">
        <f t="shared" ref="G585:U585" si="181">+G580</f>
        <v>1171573</v>
      </c>
      <c r="H585" s="56">
        <f t="shared" si="181"/>
        <v>0</v>
      </c>
      <c r="I585" s="56">
        <f t="shared" si="181"/>
        <v>394008</v>
      </c>
      <c r="J585" s="56">
        <f t="shared" si="181"/>
        <v>0</v>
      </c>
      <c r="K585" s="56">
        <f t="shared" si="181"/>
        <v>4038338</v>
      </c>
      <c r="L585" s="56">
        <f t="shared" si="181"/>
        <v>0</v>
      </c>
      <c r="M585" s="56">
        <f t="shared" si="181"/>
        <v>9.0217409084893097E-4</v>
      </c>
      <c r="N585" s="56">
        <f t="shared" si="181"/>
        <v>0</v>
      </c>
      <c r="O585" s="56">
        <f t="shared" si="181"/>
        <v>0</v>
      </c>
      <c r="P585" s="56">
        <f t="shared" si="181"/>
        <v>0</v>
      </c>
      <c r="Q585" s="56">
        <f t="shared" si="181"/>
        <v>3640</v>
      </c>
      <c r="R585" s="56">
        <f t="shared" si="181"/>
        <v>0</v>
      </c>
      <c r="S585" s="56">
        <f t="shared" si="181"/>
        <v>91962</v>
      </c>
      <c r="T585" s="56">
        <f t="shared" si="181"/>
        <v>0</v>
      </c>
      <c r="U585" s="56">
        <f t="shared" si="181"/>
        <v>2.402125115017657E-2</v>
      </c>
      <c r="V585" s="56">
        <f>+V259</f>
        <v>0</v>
      </c>
    </row>
    <row r="586" spans="3:25" x14ac:dyDescent="0.3">
      <c r="E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</row>
    <row r="587" spans="3:25" x14ac:dyDescent="0.3">
      <c r="E587" s="59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</row>
    <row r="588" spans="3:25" x14ac:dyDescent="0.3">
      <c r="C588" s="111"/>
      <c r="D588" s="112"/>
      <c r="E588" s="349"/>
      <c r="F588" s="10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</row>
    <row r="589" spans="3:25" x14ac:dyDescent="0.3">
      <c r="E589" s="56"/>
      <c r="K589" s="56"/>
      <c r="Q589" s="56"/>
    </row>
    <row r="590" spans="3:25" x14ac:dyDescent="0.3">
      <c r="D590" s="549" t="s">
        <v>26</v>
      </c>
      <c r="E590" t="s">
        <v>158</v>
      </c>
      <c r="K590" s="549"/>
      <c r="Q590" s="56"/>
      <c r="S590" s="59"/>
    </row>
    <row r="592" spans="3:25" x14ac:dyDescent="0.3">
      <c r="U592" s="549"/>
    </row>
    <row r="593" spans="3:41" x14ac:dyDescent="0.3">
      <c r="AO593" s="1">
        <v>3797000</v>
      </c>
    </row>
    <row r="594" spans="3:41" x14ac:dyDescent="0.3">
      <c r="C594" s="1"/>
    </row>
    <row r="595" spans="3:41" x14ac:dyDescent="0.3">
      <c r="C595" s="1"/>
      <c r="AO595" s="1">
        <v>30000</v>
      </c>
    </row>
    <row r="596" spans="3:41" x14ac:dyDescent="0.3">
      <c r="C596" s="59"/>
    </row>
    <row r="597" spans="3:41" x14ac:dyDescent="0.3">
      <c r="AO597" s="235">
        <f>+AO595/AO593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574"/>
  <sheetViews>
    <sheetView topLeftCell="A521" workbookViewId="0">
      <selection activeCell="AH543" sqref="AH543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714" t="s">
        <v>101</v>
      </c>
      <c r="U3" s="715"/>
      <c r="V3" s="715"/>
      <c r="W3" s="715"/>
      <c r="X3" s="715"/>
      <c r="Y3" s="715"/>
      <c r="Z3" s="715"/>
      <c r="AA3" s="715"/>
      <c r="AB3" s="715"/>
      <c r="AC3" s="715"/>
      <c r="AD3" s="716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1.4083974474984258E-2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717" t="s">
        <v>91</v>
      </c>
      <c r="F15" s="717"/>
      <c r="G15" s="717"/>
      <c r="H15" s="717"/>
      <c r="I15" s="717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723" t="s">
        <v>44</v>
      </c>
      <c r="E18" s="724"/>
      <c r="F18" s="724"/>
      <c r="G18" s="724"/>
      <c r="H18" s="724"/>
      <c r="I18" s="724"/>
      <c r="J18" s="724"/>
      <c r="K18" s="724"/>
      <c r="L18" s="724"/>
      <c r="M18" s="724"/>
      <c r="N18" s="724"/>
      <c r="O18" s="725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726" t="s">
        <v>67</v>
      </c>
      <c r="F19" s="726"/>
      <c r="G19" s="726"/>
      <c r="H19" s="726"/>
      <c r="I19" s="134" t="s">
        <v>66</v>
      </c>
      <c r="J19" s="135"/>
      <c r="K19" s="731" t="s">
        <v>64</v>
      </c>
      <c r="L19" s="731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Table'!H571</f>
        <v>42204802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Table'!AA586</f>
        <v>685884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17124</v>
      </c>
      <c r="J22" s="116"/>
      <c r="K22" s="127"/>
      <c r="L22" s="238">
        <v>17157</v>
      </c>
      <c r="M22" s="127"/>
      <c r="N22" s="147">
        <f>+(I22-L22)/I22</f>
        <v>-1.9271198318149966E-3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41501794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Table'!AP586</f>
        <v>34664963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727" t="s">
        <v>47</v>
      </c>
      <c r="E25" s="728"/>
      <c r="F25" s="728"/>
      <c r="G25" s="728"/>
      <c r="H25" s="728"/>
      <c r="I25" s="119">
        <f>+I23-I24</f>
        <v>6836831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34664963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727" t="s">
        <v>44</v>
      </c>
      <c r="E27" s="728"/>
      <c r="F27" s="728"/>
      <c r="G27" s="728"/>
      <c r="H27" s="728"/>
      <c r="I27" s="136">
        <f>+I25+I26</f>
        <v>41501794</v>
      </c>
      <c r="J27" s="116"/>
      <c r="K27" s="732">
        <v>41455796</v>
      </c>
      <c r="L27" s="732"/>
      <c r="M27" s="127"/>
      <c r="N27" s="137">
        <f>+I27-K27</f>
        <v>45998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729" t="s">
        <v>61</v>
      </c>
      <c r="F28" s="729"/>
      <c r="G28" s="729"/>
      <c r="H28" s="124"/>
      <c r="I28" s="232">
        <f>+I27/I32</f>
        <v>0.96988707917600836</v>
      </c>
      <c r="J28" s="127"/>
      <c r="K28" s="127"/>
      <c r="L28" s="127"/>
      <c r="M28" s="98"/>
      <c r="N28" s="463">
        <f>+N27/K27</f>
        <v>1.1095674052429244E-3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708" t="s">
        <v>101</v>
      </c>
      <c r="F31" s="709"/>
      <c r="G31" s="709"/>
      <c r="H31" s="709"/>
      <c r="I31" s="709"/>
      <c r="J31" s="710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703">
        <f>+'Main Table'!H586</f>
        <v>42790336</v>
      </c>
      <c r="J32" s="703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704">
        <f>+I27</f>
        <v>41501794</v>
      </c>
      <c r="J34" s="705"/>
      <c r="K34" s="22"/>
      <c r="L34" s="25">
        <f>+I34/$I$32</f>
        <v>0.96988707917600836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711">
        <f>+I21</f>
        <v>685884</v>
      </c>
      <c r="J35" s="712"/>
      <c r="K35" s="22"/>
      <c r="L35" s="25">
        <f>+I35/$I$32</f>
        <v>1.6028946349007402E-2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730" t="s">
        <v>101</v>
      </c>
      <c r="F36" s="730"/>
      <c r="G36" s="730"/>
      <c r="H36" s="233"/>
      <c r="I36" s="706">
        <f>+I32-I34-I35</f>
        <v>602658</v>
      </c>
      <c r="J36" s="707"/>
      <c r="K36" s="259"/>
      <c r="L36" s="234">
        <f>+I36/$I$32</f>
        <v>1.4083974474984258E-2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718" t="s">
        <v>114</v>
      </c>
      <c r="E41" s="719"/>
      <c r="F41" s="719"/>
      <c r="G41" s="719"/>
      <c r="H41" s="719"/>
      <c r="I41" s="719"/>
      <c r="J41" s="719"/>
      <c r="K41" s="719"/>
      <c r="L41" s="719"/>
      <c r="M41" s="719"/>
      <c r="N41" s="719"/>
      <c r="O41" s="720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721" t="s">
        <v>67</v>
      </c>
      <c r="F42" s="721"/>
      <c r="G42" s="721"/>
      <c r="H42" s="721"/>
      <c r="I42" s="260" t="s">
        <v>66</v>
      </c>
      <c r="J42" s="261"/>
      <c r="K42" s="722" t="s">
        <v>35</v>
      </c>
      <c r="L42" s="722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Table'!AP604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7" t="s">
        <v>47</v>
      </c>
      <c r="E48" s="688"/>
      <c r="F48" s="688"/>
      <c r="G48" s="688"/>
      <c r="H48" s="688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7" t="s">
        <v>44</v>
      </c>
      <c r="E50" s="688"/>
      <c r="F50" s="688"/>
      <c r="G50" s="688"/>
      <c r="H50" s="688"/>
      <c r="I50" s="340">
        <f>+I48+I49</f>
        <v>22172</v>
      </c>
      <c r="J50" s="336"/>
      <c r="K50" s="689">
        <v>30167</v>
      </c>
      <c r="L50" s="689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90" t="s">
        <v>61</v>
      </c>
      <c r="F51" s="690"/>
      <c r="G51" s="690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91" t="s">
        <v>115</v>
      </c>
      <c r="F54" s="692"/>
      <c r="G54" s="692"/>
      <c r="H54" s="692"/>
      <c r="I54" s="692"/>
      <c r="J54" s="693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94">
        <f>+K50</f>
        <v>30167</v>
      </c>
      <c r="J55" s="694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95">
        <f>+I50</f>
        <v>22172</v>
      </c>
      <c r="J57" s="696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7">
        <f>+I44</f>
        <v>1836</v>
      </c>
      <c r="J58" s="698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699" t="s">
        <v>101</v>
      </c>
      <c r="F59" s="699"/>
      <c r="G59" s="699"/>
      <c r="H59" s="267"/>
      <c r="I59" s="700">
        <f>+I55-I57-I58</f>
        <v>6159</v>
      </c>
      <c r="J59" s="701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2">
        <f>+I45</f>
        <v>1397</v>
      </c>
      <c r="J60" s="702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700">
        <f>+I59-I60</f>
        <v>4762</v>
      </c>
      <c r="J61" s="700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91" t="s">
        <v>104</v>
      </c>
      <c r="F64" s="692"/>
      <c r="G64" s="692"/>
      <c r="H64" s="692"/>
      <c r="I64" s="692"/>
      <c r="J64" s="692"/>
      <c r="K64" s="692"/>
      <c r="L64" s="692"/>
      <c r="M64" s="693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86">
        <v>11690000</v>
      </c>
      <c r="J65" s="686"/>
      <c r="K65" s="686"/>
      <c r="L65" s="686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713" t="s">
        <v>95</v>
      </c>
      <c r="G67" s="713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661" t="s">
        <v>118</v>
      </c>
      <c r="E72" s="662"/>
      <c r="F72" s="662"/>
      <c r="G72" s="662"/>
      <c r="H72" s="662"/>
      <c r="I72" s="662"/>
      <c r="J72" s="662"/>
      <c r="K72" s="662"/>
      <c r="L72" s="662"/>
      <c r="M72" s="662"/>
      <c r="N72" s="662"/>
      <c r="O72" s="663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664" t="s">
        <v>67</v>
      </c>
      <c r="F73" s="664"/>
      <c r="G73" s="664"/>
      <c r="H73" s="664"/>
      <c r="I73" s="355" t="s">
        <v>66</v>
      </c>
      <c r="J73" s="356"/>
      <c r="K73" s="665" t="s">
        <v>35</v>
      </c>
      <c r="L73" s="665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Table'!AP645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666" t="s">
        <v>47</v>
      </c>
      <c r="E79" s="667"/>
      <c r="F79" s="667"/>
      <c r="G79" s="667"/>
      <c r="H79" s="667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666" t="s">
        <v>44</v>
      </c>
      <c r="E81" s="667"/>
      <c r="F81" s="667"/>
      <c r="G81" s="667"/>
      <c r="H81" s="667"/>
      <c r="I81" s="370">
        <f>+I79+I80</f>
        <v>36684</v>
      </c>
      <c r="J81" s="363"/>
      <c r="K81" s="669">
        <v>48675</v>
      </c>
      <c r="L81" s="669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668" t="s">
        <v>61</v>
      </c>
      <c r="F82" s="668"/>
      <c r="G82" s="668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1.4083974474984258E-2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1.4083974474984258E-2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1.4083974474984258E-2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1.4083974474984258E-2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:AA426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si="22"/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si="22"/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si="22"/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si="22"/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si="22"/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si="22"/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si="22"/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si="22"/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si="22"/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si="22"/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si="22"/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si="22"/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si="22"/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si="22"/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si="22"/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si="22"/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si="22"/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si="22"/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si="22"/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si="22"/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si="22"/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si="22"/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si="22"/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si="22"/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si="22"/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si="22"/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si="22"/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si="22"/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si="22"/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si="22"/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si="22"/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:AA458" si="23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si="23"/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si="23"/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si="23"/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si="23"/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si="23"/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si="23"/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si="23"/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si="23"/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si="23"/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si="23"/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si="23"/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si="23"/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si="23"/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si="23"/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si="23"/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si="23"/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si="23"/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si="23"/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si="23"/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si="23"/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si="23"/>
        <v>-21296</v>
      </c>
      <c r="AB448" s="6"/>
      <c r="AC448" s="258"/>
      <c r="AD448" s="251"/>
      <c r="AE448" s="61"/>
    </row>
    <row r="449" spans="15:31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si="23"/>
        <v>2164</v>
      </c>
      <c r="AB449" s="6"/>
      <c r="AC449" s="258"/>
      <c r="AD449" s="251"/>
      <c r="AE449" s="61"/>
    </row>
    <row r="450" spans="15:31" x14ac:dyDescent="0.3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si="23"/>
        <v>-11218</v>
      </c>
      <c r="AB450" s="6"/>
      <c r="AC450" s="258"/>
      <c r="AD450" s="251"/>
      <c r="AE450" s="61"/>
    </row>
    <row r="451" spans="15:31" x14ac:dyDescent="0.3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si="23"/>
        <v>-22663</v>
      </c>
      <c r="AB451" s="6"/>
      <c r="AC451" s="258"/>
      <c r="AD451" s="251"/>
      <c r="AE451" s="61"/>
    </row>
    <row r="452" spans="15:31" x14ac:dyDescent="0.3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si="23"/>
        <v>-24513</v>
      </c>
      <c r="AB452" s="6"/>
      <c r="AC452" s="258"/>
      <c r="AD452" s="251"/>
      <c r="AE452" s="61"/>
    </row>
    <row r="453" spans="15:31" x14ac:dyDescent="0.3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si="23"/>
        <v>-16902</v>
      </c>
      <c r="AB453" s="6"/>
      <c r="AC453" s="258"/>
      <c r="AD453" s="251"/>
      <c r="AE453" s="61"/>
    </row>
    <row r="454" spans="15:31" x14ac:dyDescent="0.3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si="23"/>
        <v>-26331</v>
      </c>
      <c r="AB454" s="6"/>
      <c r="AC454" s="258"/>
      <c r="AD454" s="251"/>
      <c r="AE454" s="61"/>
    </row>
    <row r="455" spans="15:31" x14ac:dyDescent="0.3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si="23"/>
        <v>-30923</v>
      </c>
      <c r="AB455" s="6"/>
      <c r="AC455" s="258"/>
      <c r="AD455" s="251"/>
      <c r="AE455" s="61"/>
    </row>
    <row r="456" spans="15:31" x14ac:dyDescent="0.3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si="23"/>
        <v>2698</v>
      </c>
      <c r="AB456" s="6"/>
      <c r="AC456" s="258"/>
      <c r="AD456" s="251"/>
      <c r="AE456" s="61"/>
    </row>
    <row r="457" spans="15:31" x14ac:dyDescent="0.3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si="23"/>
        <v>9798</v>
      </c>
      <c r="AB457" s="6"/>
      <c r="AC457" s="258"/>
      <c r="AD457" s="251"/>
      <c r="AE457" s="61"/>
    </row>
    <row r="458" spans="15:31" x14ac:dyDescent="0.3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si="23"/>
        <v>-13749</v>
      </c>
      <c r="AB458" s="6"/>
      <c r="AC458" s="258"/>
      <c r="AD458" s="251"/>
      <c r="AE458" s="61"/>
    </row>
    <row r="459" spans="15:31" x14ac:dyDescent="0.3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:AA490" si="24">+W458-W459</f>
        <v>-29340</v>
      </c>
      <c r="AB459" s="6"/>
      <c r="AC459" s="258"/>
      <c r="AD459" s="251"/>
      <c r="AE459" s="61"/>
    </row>
    <row r="460" spans="15:31" x14ac:dyDescent="0.3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si="24"/>
        <v>-40571</v>
      </c>
      <c r="AB460" s="6"/>
      <c r="AC460" s="258"/>
      <c r="AD460" s="251"/>
      <c r="AE460" s="61"/>
    </row>
    <row r="461" spans="15:31" x14ac:dyDescent="0.3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si="24"/>
        <v>-28004</v>
      </c>
      <c r="AB461" s="6"/>
      <c r="AC461" s="258"/>
      <c r="AD461" s="251"/>
      <c r="AE461" s="61"/>
    </row>
    <row r="462" spans="15:31" x14ac:dyDescent="0.3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si="24"/>
        <v>-41811</v>
      </c>
      <c r="AB462" s="6"/>
      <c r="AC462" s="258"/>
      <c r="AD462" s="251"/>
      <c r="AE462" s="61"/>
    </row>
    <row r="463" spans="15:31" x14ac:dyDescent="0.3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si="24"/>
        <v>15502</v>
      </c>
      <c r="AB463" s="6"/>
      <c r="AC463" s="258"/>
      <c r="AD463" s="251"/>
      <c r="AE463" s="61"/>
    </row>
    <row r="464" spans="15:31" x14ac:dyDescent="0.3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si="24"/>
        <v>15014</v>
      </c>
      <c r="AB464" s="6"/>
      <c r="AC464" s="258"/>
      <c r="AD464" s="251"/>
      <c r="AE464" s="61"/>
    </row>
    <row r="465" spans="15:31" x14ac:dyDescent="0.3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si="24"/>
        <v>-42927</v>
      </c>
      <c r="AB465" s="6"/>
      <c r="AC465" s="258"/>
      <c r="AD465" s="251"/>
      <c r="AE465" s="61"/>
    </row>
    <row r="466" spans="15:31" x14ac:dyDescent="0.3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si="24"/>
        <v>-69499</v>
      </c>
      <c r="AB466" s="6"/>
      <c r="AC466" s="258"/>
      <c r="AD466" s="251"/>
      <c r="AE466" s="61"/>
    </row>
    <row r="467" spans="15:31" x14ac:dyDescent="0.3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si="24"/>
        <v>-50957</v>
      </c>
      <c r="AB467" s="6"/>
      <c r="AC467" s="258"/>
      <c r="AD467" s="251"/>
      <c r="AE467" s="61"/>
    </row>
    <row r="468" spans="15:31" x14ac:dyDescent="0.3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si="24"/>
        <v>-36411</v>
      </c>
      <c r="AB468" s="6"/>
      <c r="AC468" s="258"/>
      <c r="AD468" s="251"/>
      <c r="AE468" s="61"/>
    </row>
    <row r="469" spans="15:31" x14ac:dyDescent="0.3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si="24"/>
        <v>-46193</v>
      </c>
      <c r="AB469" s="6"/>
      <c r="AC469" s="258"/>
      <c r="AD469" s="251"/>
      <c r="AE469" s="61"/>
    </row>
    <row r="470" spans="15:31" x14ac:dyDescent="0.3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si="24"/>
        <v>29129</v>
      </c>
      <c r="AB470" s="6"/>
      <c r="AC470" s="258"/>
      <c r="AD470" s="251"/>
      <c r="AE470" s="61"/>
    </row>
    <row r="471" spans="15:31" x14ac:dyDescent="0.3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si="24"/>
        <v>27404</v>
      </c>
      <c r="AB471" s="6"/>
      <c r="AC471" s="258"/>
      <c r="AD471" s="251"/>
      <c r="AE471" s="61"/>
    </row>
    <row r="472" spans="15:31" x14ac:dyDescent="0.3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si="24"/>
        <v>-80996</v>
      </c>
      <c r="AB472" s="6"/>
      <c r="AC472" s="258"/>
      <c r="AD472" s="251"/>
      <c r="AE472" s="61"/>
    </row>
    <row r="473" spans="15:31" x14ac:dyDescent="0.3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si="24"/>
        <v>-45100</v>
      </c>
      <c r="AB473" s="6"/>
      <c r="AC473" s="258"/>
      <c r="AD473" s="251"/>
      <c r="AE473" s="61"/>
    </row>
    <row r="474" spans="15:31" x14ac:dyDescent="0.3">
      <c r="O474" s="98"/>
      <c r="T474" s="250"/>
      <c r="U474" s="252">
        <f t="shared" ref="U474:U538" si="25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si="24"/>
        <v>-40432</v>
      </c>
      <c r="AB474" s="6"/>
      <c r="AC474" s="258"/>
      <c r="AD474" s="251"/>
      <c r="AE474" s="61"/>
    </row>
    <row r="475" spans="15:31" x14ac:dyDescent="0.3">
      <c r="O475" s="98"/>
      <c r="T475" s="250"/>
      <c r="U475" s="252">
        <f t="shared" si="25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si="24"/>
        <v>-31574</v>
      </c>
      <c r="AB475" s="6"/>
      <c r="AC475" s="258"/>
      <c r="AD475" s="251"/>
      <c r="AE475" s="61"/>
    </row>
    <row r="476" spans="15:31" x14ac:dyDescent="0.3">
      <c r="O476" s="98"/>
      <c r="T476" s="250"/>
      <c r="U476" s="252">
        <f t="shared" si="25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si="24"/>
        <v>-34537</v>
      </c>
      <c r="AB476" s="6"/>
      <c r="AC476" s="258"/>
      <c r="AD476" s="251"/>
      <c r="AE476" s="61"/>
    </row>
    <row r="477" spans="15:31" x14ac:dyDescent="0.3">
      <c r="O477" s="98"/>
      <c r="T477" s="250"/>
      <c r="U477" s="252">
        <f t="shared" si="25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si="24"/>
        <v>56998</v>
      </c>
      <c r="AB477" s="6"/>
      <c r="AC477" s="258"/>
      <c r="AD477" s="251"/>
      <c r="AE477" s="61"/>
    </row>
    <row r="478" spans="15:31" x14ac:dyDescent="0.3">
      <c r="O478" s="98"/>
      <c r="T478" s="250"/>
      <c r="U478" s="573">
        <f t="shared" si="25"/>
        <v>44423</v>
      </c>
      <c r="V478" s="6"/>
      <c r="W478" s="253">
        <v>793550</v>
      </c>
      <c r="X478" s="6"/>
      <c r="Y478" s="44">
        <v>3.0000000000000001E-3</v>
      </c>
      <c r="Z478" s="6"/>
      <c r="AA478" s="254">
        <f t="shared" si="24"/>
        <v>38084</v>
      </c>
      <c r="AB478" s="6"/>
      <c r="AC478" s="258"/>
      <c r="AD478" s="251"/>
      <c r="AE478" s="61"/>
    </row>
    <row r="479" spans="15:31" x14ac:dyDescent="0.3">
      <c r="O479" s="98"/>
      <c r="T479" s="250"/>
      <c r="U479" s="252">
        <f t="shared" si="25"/>
        <v>44424</v>
      </c>
      <c r="V479" s="6"/>
      <c r="W479" s="253">
        <v>873278</v>
      </c>
      <c r="X479" s="6"/>
      <c r="Y479" s="44">
        <v>3.0000000000000001E-3</v>
      </c>
      <c r="Z479" s="6"/>
      <c r="AA479" s="254">
        <f t="shared" si="24"/>
        <v>-79728</v>
      </c>
      <c r="AB479" s="6"/>
      <c r="AC479" s="258"/>
      <c r="AD479" s="251"/>
      <c r="AE479" s="61"/>
    </row>
    <row r="480" spans="15:31" x14ac:dyDescent="0.3">
      <c r="O480" s="98"/>
      <c r="T480" s="250"/>
      <c r="U480" s="252">
        <f t="shared" si="25"/>
        <v>44425</v>
      </c>
      <c r="V480" s="6"/>
      <c r="W480" s="253">
        <v>915594</v>
      </c>
      <c r="X480" s="6"/>
      <c r="Y480" s="44">
        <v>3.0000000000000001E-3</v>
      </c>
      <c r="Z480" s="6"/>
      <c r="AA480" s="254">
        <f t="shared" si="24"/>
        <v>-42316</v>
      </c>
      <c r="AB480" s="6"/>
      <c r="AC480" s="258"/>
      <c r="AD480" s="251"/>
      <c r="AE480" s="61"/>
    </row>
    <row r="481" spans="15:31" x14ac:dyDescent="0.3">
      <c r="O481" s="98"/>
      <c r="T481" s="250"/>
      <c r="U481" s="252">
        <f t="shared" si="25"/>
        <v>44426</v>
      </c>
      <c r="V481" s="6"/>
      <c r="W481" s="253">
        <v>972739</v>
      </c>
      <c r="X481" s="6"/>
      <c r="Y481" s="44">
        <v>3.0000000000000001E-3</v>
      </c>
      <c r="Z481" s="6"/>
      <c r="AA481" s="254">
        <f t="shared" si="24"/>
        <v>-57145</v>
      </c>
      <c r="AB481" s="6"/>
      <c r="AC481" s="258"/>
      <c r="AD481" s="251"/>
      <c r="AE481" s="61"/>
    </row>
    <row r="482" spans="15:31" x14ac:dyDescent="0.3">
      <c r="O482" s="98"/>
      <c r="T482" s="250"/>
      <c r="U482" s="252">
        <f t="shared" si="25"/>
        <v>44427</v>
      </c>
      <c r="V482" s="6"/>
      <c r="W482" s="253">
        <v>983218</v>
      </c>
      <c r="X482" s="6"/>
      <c r="Y482" s="44">
        <v>3.0000000000000001E-3</v>
      </c>
      <c r="Z482" s="6"/>
      <c r="AA482" s="254">
        <f t="shared" si="24"/>
        <v>-10479</v>
      </c>
      <c r="AB482" s="6"/>
      <c r="AC482" s="258"/>
      <c r="AD482" s="251"/>
      <c r="AE482" s="61"/>
    </row>
    <row r="483" spans="15:31" x14ac:dyDescent="0.3">
      <c r="O483" s="98"/>
      <c r="T483" s="250"/>
      <c r="U483" s="252">
        <f t="shared" si="25"/>
        <v>44428</v>
      </c>
      <c r="V483" s="6"/>
      <c r="W483" s="253">
        <v>991027</v>
      </c>
      <c r="X483" s="6"/>
      <c r="Y483" s="44">
        <v>3.0000000000000001E-3</v>
      </c>
      <c r="Z483" s="6"/>
      <c r="AA483" s="254">
        <f t="shared" si="24"/>
        <v>-7809</v>
      </c>
      <c r="AB483" s="6"/>
      <c r="AC483" s="258"/>
      <c r="AD483" s="251"/>
      <c r="AE483" s="61"/>
    </row>
    <row r="484" spans="15:31" x14ac:dyDescent="0.3">
      <c r="O484" s="98"/>
      <c r="T484" s="250"/>
      <c r="U484" s="252">
        <f t="shared" si="25"/>
        <v>44429</v>
      </c>
      <c r="V484" s="6"/>
      <c r="W484" s="253">
        <v>982569</v>
      </c>
      <c r="X484" s="6"/>
      <c r="Y484" s="44">
        <v>3.0000000000000001E-3</v>
      </c>
      <c r="Z484" s="6"/>
      <c r="AA484" s="254">
        <f t="shared" si="24"/>
        <v>8458</v>
      </c>
      <c r="AB484" s="6"/>
      <c r="AC484" s="258"/>
      <c r="AD484" s="251"/>
      <c r="AE484" s="61"/>
    </row>
    <row r="485" spans="15:31" x14ac:dyDescent="0.3">
      <c r="O485" s="98"/>
      <c r="T485" s="250"/>
      <c r="U485" s="573">
        <f t="shared" si="25"/>
        <v>44430</v>
      </c>
      <c r="V485" s="6"/>
      <c r="W485" s="253">
        <v>1010611</v>
      </c>
      <c r="X485" s="6"/>
      <c r="Y485" s="44">
        <v>3.0000000000000001E-3</v>
      </c>
      <c r="Z485" s="6"/>
      <c r="AA485" s="254">
        <f t="shared" si="24"/>
        <v>-28042</v>
      </c>
      <c r="AB485" s="6"/>
      <c r="AC485" s="258"/>
      <c r="AD485" s="251"/>
      <c r="AE485" s="61"/>
    </row>
    <row r="486" spans="15:31" x14ac:dyDescent="0.3">
      <c r="O486" s="98"/>
      <c r="T486" s="250"/>
      <c r="U486" s="252">
        <f t="shared" si="25"/>
        <v>44431</v>
      </c>
      <c r="V486" s="6"/>
      <c r="W486" s="253">
        <v>1091203</v>
      </c>
      <c r="X486" s="6"/>
      <c r="Y486" s="44">
        <v>3.0000000000000001E-3</v>
      </c>
      <c r="Z486" s="6"/>
      <c r="AA486" s="254">
        <f t="shared" si="24"/>
        <v>-80592</v>
      </c>
      <c r="AB486" s="6"/>
      <c r="AC486" s="258"/>
      <c r="AD486" s="251"/>
      <c r="AE486" s="61"/>
    </row>
    <row r="487" spans="15:31" x14ac:dyDescent="0.3">
      <c r="O487" s="98"/>
      <c r="T487" s="250"/>
      <c r="U487" s="252">
        <f t="shared" si="25"/>
        <v>44432</v>
      </c>
      <c r="V487" s="6"/>
      <c r="W487" s="253">
        <v>1135866</v>
      </c>
      <c r="X487" s="6"/>
      <c r="Y487" s="44">
        <v>3.0000000000000001E-3</v>
      </c>
      <c r="Z487" s="6"/>
      <c r="AA487" s="254">
        <f t="shared" si="24"/>
        <v>-44663</v>
      </c>
      <c r="AB487" s="6"/>
      <c r="AC487" s="258"/>
      <c r="AD487" s="251"/>
      <c r="AE487" s="61"/>
    </row>
    <row r="488" spans="15:31" x14ac:dyDescent="0.3">
      <c r="O488" s="98"/>
      <c r="T488" s="250"/>
      <c r="U488" s="252">
        <f t="shared" si="25"/>
        <v>44433</v>
      </c>
      <c r="V488" s="6"/>
      <c r="W488" s="253">
        <v>1163572</v>
      </c>
      <c r="X488" s="6"/>
      <c r="Y488" s="44">
        <v>3.0000000000000001E-3</v>
      </c>
      <c r="Z488" s="6"/>
      <c r="AA488" s="254">
        <f t="shared" si="24"/>
        <v>-27706</v>
      </c>
      <c r="AB488" s="6"/>
      <c r="AC488" s="258"/>
      <c r="AD488" s="251"/>
      <c r="AE488" s="61"/>
    </row>
    <row r="489" spans="15:31" x14ac:dyDescent="0.3">
      <c r="O489" s="98"/>
      <c r="T489" s="250"/>
      <c r="U489" s="252">
        <f t="shared" si="25"/>
        <v>44434</v>
      </c>
      <c r="V489" s="6"/>
      <c r="W489" s="253">
        <v>1182651</v>
      </c>
      <c r="X489" s="6"/>
      <c r="Y489" s="44">
        <v>3.0000000000000001E-3</v>
      </c>
      <c r="Z489" s="6"/>
      <c r="AA489" s="254">
        <f t="shared" si="24"/>
        <v>-19079</v>
      </c>
      <c r="AB489" s="6"/>
      <c r="AC489" s="258"/>
      <c r="AD489" s="251"/>
      <c r="AE489" s="61"/>
    </row>
    <row r="490" spans="15:31" x14ac:dyDescent="0.3">
      <c r="O490" s="98"/>
      <c r="T490" s="250"/>
      <c r="U490" s="252">
        <f t="shared" si="25"/>
        <v>44435</v>
      </c>
      <c r="V490" s="6"/>
      <c r="W490" s="253">
        <v>1220266</v>
      </c>
      <c r="X490" s="6"/>
      <c r="Y490" s="44">
        <v>3.0000000000000001E-3</v>
      </c>
      <c r="Z490" s="6"/>
      <c r="AA490" s="254">
        <f t="shared" si="24"/>
        <v>-37615</v>
      </c>
      <c r="AB490" s="6"/>
      <c r="AC490" s="258"/>
      <c r="AD490" s="251"/>
      <c r="AE490" s="61"/>
    </row>
    <row r="491" spans="15:31" x14ac:dyDescent="0.3">
      <c r="O491" s="98"/>
      <c r="T491" s="250"/>
      <c r="U491" s="252">
        <f t="shared" si="25"/>
        <v>44436</v>
      </c>
      <c r="V491" s="6"/>
      <c r="W491" s="253">
        <v>1141943</v>
      </c>
      <c r="X491" s="6"/>
      <c r="Y491" s="44">
        <v>3.0000000000000001E-3</v>
      </c>
      <c r="Z491" s="6"/>
      <c r="AA491" s="254">
        <f t="shared" ref="AA491:AA506" si="26">+W490-W491</f>
        <v>78323</v>
      </c>
      <c r="AB491" s="6"/>
      <c r="AC491" s="258"/>
      <c r="AD491" s="251"/>
      <c r="AE491" s="61"/>
    </row>
    <row r="492" spans="15:31" x14ac:dyDescent="0.3">
      <c r="O492" s="98"/>
      <c r="T492" s="250"/>
      <c r="U492" s="573">
        <f t="shared" si="25"/>
        <v>44437</v>
      </c>
      <c r="V492" s="6"/>
      <c r="W492" s="253">
        <v>1032748</v>
      </c>
      <c r="X492" s="6"/>
      <c r="Y492" s="44">
        <v>3.0000000000000001E-3</v>
      </c>
      <c r="Z492" s="6"/>
      <c r="AA492" s="254">
        <f t="shared" si="26"/>
        <v>109195</v>
      </c>
      <c r="AB492" s="6"/>
      <c r="AC492" s="258"/>
      <c r="AD492" s="251"/>
      <c r="AE492" s="61"/>
    </row>
    <row r="493" spans="15:31" x14ac:dyDescent="0.3">
      <c r="O493" s="98"/>
      <c r="T493" s="250"/>
      <c r="U493" s="252">
        <f t="shared" si="25"/>
        <v>44438</v>
      </c>
      <c r="V493" s="6"/>
      <c r="W493" s="253">
        <v>1053270</v>
      </c>
      <c r="X493" s="6"/>
      <c r="Y493" s="44">
        <v>3.0000000000000001E-3</v>
      </c>
      <c r="Z493" s="6"/>
      <c r="AA493" s="254">
        <f t="shared" si="26"/>
        <v>-20522</v>
      </c>
      <c r="AB493" s="6"/>
      <c r="AC493" s="258"/>
      <c r="AD493" s="251"/>
      <c r="AE493" s="61"/>
    </row>
    <row r="494" spans="15:31" x14ac:dyDescent="0.3">
      <c r="O494" s="98"/>
      <c r="T494" s="250"/>
      <c r="U494" s="252">
        <f t="shared" si="25"/>
        <v>44439</v>
      </c>
      <c r="V494" s="6"/>
      <c r="W494" s="253">
        <v>1100973</v>
      </c>
      <c r="X494" s="6"/>
      <c r="Y494" s="44">
        <v>3.0000000000000001E-3</v>
      </c>
      <c r="Z494" s="6"/>
      <c r="AA494" s="254">
        <f t="shared" si="26"/>
        <v>-47703</v>
      </c>
      <c r="AB494" s="6"/>
      <c r="AC494" s="258"/>
      <c r="AD494" s="251"/>
      <c r="AE494" s="61"/>
    </row>
    <row r="495" spans="15:31" x14ac:dyDescent="0.3">
      <c r="O495" s="98"/>
      <c r="T495" s="250"/>
      <c r="U495" s="252">
        <f t="shared" si="25"/>
        <v>44440</v>
      </c>
      <c r="V495" s="6"/>
      <c r="W495" s="253">
        <v>1137686</v>
      </c>
      <c r="X495" s="6"/>
      <c r="Y495" s="44">
        <v>3.0000000000000001E-3</v>
      </c>
      <c r="Z495" s="6"/>
      <c r="AA495" s="254">
        <f t="shared" si="26"/>
        <v>-36713</v>
      </c>
      <c r="AB495" s="6"/>
      <c r="AC495" s="258"/>
      <c r="AD495" s="251"/>
      <c r="AE495" s="61"/>
    </row>
    <row r="496" spans="15:31" x14ac:dyDescent="0.3">
      <c r="O496" s="98"/>
      <c r="T496" s="250"/>
      <c r="U496" s="252">
        <f t="shared" si="25"/>
        <v>44441</v>
      </c>
      <c r="V496" s="6"/>
      <c r="W496" s="253">
        <v>1143565</v>
      </c>
      <c r="X496" s="6"/>
      <c r="Y496" s="44">
        <v>3.0000000000000001E-3</v>
      </c>
      <c r="Z496" s="6"/>
      <c r="AA496" s="254">
        <f t="shared" si="26"/>
        <v>-5879</v>
      </c>
      <c r="AB496" s="6"/>
      <c r="AC496" s="258"/>
      <c r="AD496" s="251"/>
      <c r="AE496" s="61"/>
    </row>
    <row r="497" spans="15:31" x14ac:dyDescent="0.3">
      <c r="O497" s="98"/>
      <c r="T497" s="250"/>
      <c r="U497" s="252">
        <f t="shared" si="25"/>
        <v>44442</v>
      </c>
      <c r="V497" s="6"/>
      <c r="W497" s="253">
        <v>1149058</v>
      </c>
      <c r="X497" s="6"/>
      <c r="Y497" s="44">
        <v>3.0000000000000001E-3</v>
      </c>
      <c r="Z497" s="6"/>
      <c r="AA497" s="254">
        <f t="shared" si="26"/>
        <v>-5493</v>
      </c>
      <c r="AB497" s="6"/>
      <c r="AC497" s="258"/>
      <c r="AD497" s="251"/>
      <c r="AE497" s="61"/>
    </row>
    <row r="498" spans="15:31" x14ac:dyDescent="0.3">
      <c r="O498" s="98"/>
      <c r="T498" s="250"/>
      <c r="U498" s="252">
        <f t="shared" si="25"/>
        <v>44443</v>
      </c>
      <c r="V498" s="6"/>
      <c r="W498" s="253">
        <v>1017444</v>
      </c>
      <c r="X498" s="6"/>
      <c r="Y498" s="44">
        <v>3.0000000000000001E-3</v>
      </c>
      <c r="Z498" s="6"/>
      <c r="AA498" s="254">
        <f t="shared" si="26"/>
        <v>131614</v>
      </c>
      <c r="AB498" s="6"/>
      <c r="AC498" s="258"/>
      <c r="AD498" s="251"/>
      <c r="AE498" s="61"/>
    </row>
    <row r="499" spans="15:31" x14ac:dyDescent="0.3">
      <c r="O499" s="98"/>
      <c r="T499" s="250"/>
      <c r="U499" s="573">
        <f t="shared" si="25"/>
        <v>44444</v>
      </c>
      <c r="V499" s="6"/>
      <c r="W499" s="253">
        <v>944663</v>
      </c>
      <c r="X499" s="6"/>
      <c r="Y499" s="44">
        <v>3.0000000000000001E-3</v>
      </c>
      <c r="Z499" s="6"/>
      <c r="AA499" s="254">
        <f t="shared" si="26"/>
        <v>72781</v>
      </c>
      <c r="AB499" s="6"/>
      <c r="AC499" s="258"/>
      <c r="AD499" s="251"/>
      <c r="AE499" s="61"/>
    </row>
    <row r="500" spans="15:31" x14ac:dyDescent="0.3">
      <c r="O500" s="98"/>
      <c r="T500" s="250"/>
      <c r="U500" s="252">
        <f t="shared" si="25"/>
        <v>44445</v>
      </c>
      <c r="V500" s="6"/>
      <c r="W500" s="253">
        <v>982467</v>
      </c>
      <c r="X500" s="6"/>
      <c r="Y500" s="44">
        <v>3.0000000000000001E-3</v>
      </c>
      <c r="Z500" s="6"/>
      <c r="AA500" s="254">
        <f t="shared" si="26"/>
        <v>-37804</v>
      </c>
      <c r="AB500" s="6"/>
      <c r="AC500" s="258"/>
      <c r="AD500" s="251"/>
      <c r="AE500" s="61"/>
    </row>
    <row r="501" spans="15:31" x14ac:dyDescent="0.3">
      <c r="O501" s="98"/>
      <c r="T501" s="250"/>
      <c r="U501" s="252">
        <f t="shared" si="25"/>
        <v>44446</v>
      </c>
      <c r="V501" s="6"/>
      <c r="W501" s="253">
        <v>978397</v>
      </c>
      <c r="X501" s="6"/>
      <c r="Y501" s="44">
        <v>3.0000000000000001E-3</v>
      </c>
      <c r="Z501" s="6"/>
      <c r="AA501" s="254">
        <f t="shared" si="26"/>
        <v>4070</v>
      </c>
      <c r="AB501" s="6"/>
      <c r="AC501" s="258"/>
      <c r="AD501" s="251"/>
      <c r="AE501" s="61"/>
    </row>
    <row r="502" spans="15:31" x14ac:dyDescent="0.3">
      <c r="O502" s="98"/>
      <c r="T502" s="250"/>
      <c r="U502" s="252">
        <f t="shared" si="25"/>
        <v>44447</v>
      </c>
      <c r="V502" s="6"/>
      <c r="W502" s="253">
        <v>977839</v>
      </c>
      <c r="X502" s="6"/>
      <c r="Y502" s="44">
        <v>3.0000000000000001E-3</v>
      </c>
      <c r="Z502" s="6"/>
      <c r="AA502" s="254">
        <f t="shared" si="26"/>
        <v>558</v>
      </c>
      <c r="AB502" s="6"/>
      <c r="AC502" s="258"/>
      <c r="AD502" s="251"/>
      <c r="AE502" s="61"/>
    </row>
    <row r="503" spans="15:31" x14ac:dyDescent="0.3">
      <c r="O503" s="98"/>
      <c r="T503" s="250"/>
      <c r="U503" s="252">
        <f t="shared" si="25"/>
        <v>44448</v>
      </c>
      <c r="V503" s="6"/>
      <c r="W503" s="253">
        <v>954134</v>
      </c>
      <c r="X503" s="6"/>
      <c r="Y503" s="44">
        <v>3.0000000000000001E-3</v>
      </c>
      <c r="Z503" s="6"/>
      <c r="AA503" s="254">
        <f t="shared" si="26"/>
        <v>23705</v>
      </c>
      <c r="AB503" s="6"/>
      <c r="AC503" s="258"/>
      <c r="AD503" s="251"/>
      <c r="AE503" s="61"/>
    </row>
    <row r="504" spans="15:31" x14ac:dyDescent="0.3">
      <c r="O504" s="98"/>
      <c r="T504" s="250"/>
      <c r="U504" s="252">
        <f t="shared" si="25"/>
        <v>44449</v>
      </c>
      <c r="V504" s="6"/>
      <c r="W504" s="253">
        <v>947662</v>
      </c>
      <c r="X504" s="6"/>
      <c r="Y504" s="44">
        <v>3.0000000000000001E-3</v>
      </c>
      <c r="Z504" s="6"/>
      <c r="AA504" s="254">
        <f t="shared" si="26"/>
        <v>6472</v>
      </c>
      <c r="AB504" s="6"/>
      <c r="AC504" s="258"/>
      <c r="AD504" s="251"/>
      <c r="AE504" s="61"/>
    </row>
    <row r="505" spans="15:31" x14ac:dyDescent="0.3">
      <c r="O505" s="98"/>
      <c r="T505" s="250"/>
      <c r="U505" s="252">
        <f t="shared" si="25"/>
        <v>44450</v>
      </c>
      <c r="V505" s="6"/>
      <c r="W505" s="253">
        <v>837198</v>
      </c>
      <c r="X505" s="6"/>
      <c r="Y505" s="44">
        <v>3.0000000000000001E-3</v>
      </c>
      <c r="Z505" s="6"/>
      <c r="AA505" s="254">
        <f t="shared" si="26"/>
        <v>110464</v>
      </c>
      <c r="AB505" s="6"/>
      <c r="AC505" s="258"/>
      <c r="AD505" s="251"/>
      <c r="AE505" s="61"/>
    </row>
    <row r="506" spans="15:31" x14ac:dyDescent="0.3">
      <c r="O506" s="98"/>
      <c r="T506" s="250"/>
      <c r="U506" s="573">
        <f t="shared" si="25"/>
        <v>44451</v>
      </c>
      <c r="V506" s="6"/>
      <c r="W506" s="253">
        <v>813888</v>
      </c>
      <c r="X506" s="6"/>
      <c r="Y506" s="44">
        <v>3.0000000000000001E-3</v>
      </c>
      <c r="Z506" s="6"/>
      <c r="AA506" s="254">
        <f t="shared" si="26"/>
        <v>23310</v>
      </c>
      <c r="AB506" s="6"/>
      <c r="AC506" s="258"/>
      <c r="AD506" s="251"/>
      <c r="AE506" s="61"/>
    </row>
    <row r="507" spans="15:31" x14ac:dyDescent="0.3">
      <c r="O507" s="98"/>
      <c r="T507" s="250"/>
      <c r="U507" s="252">
        <f t="shared" si="25"/>
        <v>44452</v>
      </c>
      <c r="V507" s="6"/>
      <c r="W507" s="253">
        <v>887488</v>
      </c>
      <c r="X507" s="6"/>
      <c r="Y507" s="44">
        <v>3.0000000000000001E-3</v>
      </c>
      <c r="Z507" s="6"/>
      <c r="AA507" s="254">
        <f t="shared" ref="AA507" si="27">+W506-W507</f>
        <v>-73600</v>
      </c>
      <c r="AB507" s="6"/>
      <c r="AC507" s="258"/>
      <c r="AD507" s="251"/>
      <c r="AE507" s="61"/>
    </row>
    <row r="508" spans="15:31" x14ac:dyDescent="0.3">
      <c r="O508" s="98"/>
      <c r="T508" s="250"/>
      <c r="U508" s="252">
        <f t="shared" si="25"/>
        <v>44453</v>
      </c>
      <c r="V508" s="6"/>
      <c r="W508" s="253">
        <v>990004</v>
      </c>
      <c r="X508" s="6"/>
      <c r="Y508" s="44">
        <v>3.0000000000000001E-3</v>
      </c>
      <c r="Z508" s="6"/>
      <c r="AA508" s="254">
        <f t="shared" ref="AA508" si="28">+W507-W508</f>
        <v>-102516</v>
      </c>
      <c r="AB508" s="6"/>
      <c r="AC508" s="258"/>
      <c r="AD508" s="251"/>
      <c r="AE508" s="61"/>
    </row>
    <row r="509" spans="15:31" x14ac:dyDescent="0.3">
      <c r="O509" s="98"/>
      <c r="T509" s="250"/>
      <c r="U509" s="252">
        <f t="shared" si="25"/>
        <v>44454</v>
      </c>
      <c r="V509" s="6"/>
      <c r="W509" s="253">
        <v>1038631</v>
      </c>
      <c r="X509" s="6"/>
      <c r="Y509" s="44">
        <v>3.0000000000000001E-3</v>
      </c>
      <c r="Z509" s="6"/>
      <c r="AA509" s="254">
        <f t="shared" ref="AA509" si="29">+W508-W509</f>
        <v>-48627</v>
      </c>
      <c r="AB509" s="6"/>
      <c r="AC509" s="258"/>
      <c r="AD509" s="251"/>
      <c r="AE509" s="61"/>
    </row>
    <row r="510" spans="15:31" x14ac:dyDescent="0.3">
      <c r="O510" s="98"/>
      <c r="T510" s="250"/>
      <c r="U510" s="252">
        <f t="shared" si="25"/>
        <v>44455</v>
      </c>
      <c r="V510" s="6"/>
      <c r="W510" s="253">
        <v>1031762</v>
      </c>
      <c r="X510" s="6"/>
      <c r="Y510" s="44">
        <v>3.0000000000000001E-3</v>
      </c>
      <c r="Z510" s="6"/>
      <c r="AA510" s="254">
        <f t="shared" ref="AA510" si="30">+W509-W510</f>
        <v>6869</v>
      </c>
      <c r="AB510" s="6"/>
      <c r="AC510" s="258"/>
      <c r="AD510" s="251"/>
      <c r="AE510" s="61"/>
    </row>
    <row r="511" spans="15:31" x14ac:dyDescent="0.3">
      <c r="O511" s="98"/>
      <c r="T511" s="250"/>
      <c r="U511" s="252">
        <f t="shared" si="25"/>
        <v>44456</v>
      </c>
      <c r="V511" s="6"/>
      <c r="W511" s="253">
        <v>1029117</v>
      </c>
      <c r="X511" s="6"/>
      <c r="Y511" s="44">
        <v>3.0000000000000001E-3</v>
      </c>
      <c r="Z511" s="6"/>
      <c r="AA511" s="254">
        <f t="shared" ref="AA511" si="31">+W510-W511</f>
        <v>2645</v>
      </c>
      <c r="AB511" s="6"/>
      <c r="AC511" s="258"/>
      <c r="AD511" s="251"/>
      <c r="AE511" s="61"/>
    </row>
    <row r="512" spans="15:31" x14ac:dyDescent="0.3">
      <c r="O512" s="98"/>
      <c r="T512" s="250"/>
      <c r="U512" s="252">
        <f t="shared" si="25"/>
        <v>44457</v>
      </c>
      <c r="V512" s="6"/>
      <c r="W512" s="253">
        <v>922245</v>
      </c>
      <c r="X512" s="6"/>
      <c r="Y512" s="44">
        <v>3.0000000000000001E-3</v>
      </c>
      <c r="Z512" s="6"/>
      <c r="AA512" s="254">
        <f t="shared" ref="AA512" si="32">+W511-W512</f>
        <v>106872</v>
      </c>
      <c r="AB512" s="6"/>
      <c r="AC512" s="258"/>
      <c r="AD512" s="251"/>
      <c r="AE512" s="61"/>
    </row>
    <row r="513" spans="15:31" x14ac:dyDescent="0.3">
      <c r="O513" s="98"/>
      <c r="T513" s="250"/>
      <c r="U513" s="573">
        <f t="shared" si="25"/>
        <v>44458</v>
      </c>
      <c r="V513" s="6"/>
      <c r="W513" s="253">
        <v>882573</v>
      </c>
      <c r="X513" s="6"/>
      <c r="Y513" s="44">
        <v>3.0000000000000001E-3</v>
      </c>
      <c r="Z513" s="6"/>
      <c r="AA513" s="254">
        <f t="shared" ref="AA513" si="33">+W512-W513</f>
        <v>39672</v>
      </c>
      <c r="AB513" s="6"/>
      <c r="AC513" s="258"/>
      <c r="AD513" s="251"/>
      <c r="AE513" s="61"/>
    </row>
    <row r="514" spans="15:31" x14ac:dyDescent="0.3">
      <c r="O514" s="98"/>
      <c r="T514" s="250"/>
      <c r="U514" s="252">
        <f t="shared" si="25"/>
        <v>44459</v>
      </c>
      <c r="V514" s="6"/>
      <c r="W514" s="253">
        <v>882573</v>
      </c>
      <c r="X514" s="6"/>
      <c r="Y514" s="44">
        <v>3.0000000000000001E-3</v>
      </c>
      <c r="Z514" s="6"/>
      <c r="AA514" s="254">
        <v>39672</v>
      </c>
      <c r="AB514" s="6"/>
      <c r="AC514" s="258"/>
      <c r="AD514" s="251"/>
      <c r="AE514" s="61"/>
    </row>
    <row r="515" spans="15:31" x14ac:dyDescent="0.3">
      <c r="O515" s="98"/>
      <c r="T515" s="250"/>
      <c r="U515" s="252">
        <f t="shared" si="25"/>
        <v>44460</v>
      </c>
      <c r="V515" s="6"/>
      <c r="W515" s="253">
        <v>882573</v>
      </c>
      <c r="X515" s="6"/>
      <c r="Y515" s="44">
        <v>3.0000000000000001E-3</v>
      </c>
      <c r="Z515" s="6"/>
      <c r="AA515" s="254">
        <v>39672</v>
      </c>
      <c r="AB515" s="6"/>
      <c r="AC515" s="258"/>
      <c r="AD515" s="251"/>
      <c r="AE515" s="61"/>
    </row>
    <row r="516" spans="15:31" x14ac:dyDescent="0.3">
      <c r="O516" s="98"/>
      <c r="T516" s="250"/>
      <c r="U516" s="252">
        <f t="shared" si="25"/>
        <v>44461</v>
      </c>
      <c r="V516" s="6"/>
      <c r="W516" s="580">
        <v>938759</v>
      </c>
      <c r="X516" s="581"/>
      <c r="Y516" s="44">
        <v>3.0000000000000001E-3</v>
      </c>
      <c r="Z516" s="581"/>
      <c r="AA516" s="582">
        <f t="shared" ref="AA516" si="34">+W515-W516</f>
        <v>-56186</v>
      </c>
      <c r="AB516" s="581"/>
      <c r="AC516" s="583"/>
      <c r="AD516" s="251"/>
    </row>
    <row r="517" spans="15:31" x14ac:dyDescent="0.3">
      <c r="O517" s="98"/>
      <c r="T517" s="250"/>
      <c r="U517" s="252">
        <f t="shared" si="25"/>
        <v>44462</v>
      </c>
      <c r="V517" s="6"/>
      <c r="W517" s="580">
        <v>901303</v>
      </c>
      <c r="X517" s="581"/>
      <c r="Y517" s="44">
        <v>3.0000000000000001E-3</v>
      </c>
      <c r="Z517" s="581"/>
      <c r="AA517" s="582">
        <f t="shared" ref="AA517" si="35">+W516-W517</f>
        <v>37456</v>
      </c>
      <c r="AB517" s="581"/>
      <c r="AC517" s="583"/>
      <c r="AD517" s="251"/>
    </row>
    <row r="518" spans="15:31" x14ac:dyDescent="0.3">
      <c r="O518" s="98"/>
      <c r="T518" s="250"/>
      <c r="U518" s="252">
        <f t="shared" si="25"/>
        <v>44463</v>
      </c>
      <c r="V518" s="6"/>
      <c r="W518" s="580">
        <v>880622</v>
      </c>
      <c r="X518" s="581"/>
      <c r="Y518" s="44">
        <v>3.0000000000000001E-3</v>
      </c>
      <c r="Z518" s="581"/>
      <c r="AA518" s="582">
        <f t="shared" ref="AA518" si="36">+W517-W518</f>
        <v>20681</v>
      </c>
      <c r="AB518" s="581"/>
      <c r="AC518" s="583"/>
      <c r="AD518" s="251"/>
    </row>
    <row r="519" spans="15:31" x14ac:dyDescent="0.3">
      <c r="O519" s="98"/>
      <c r="T519" s="250"/>
      <c r="U519" s="252">
        <f t="shared" si="25"/>
        <v>44464</v>
      </c>
      <c r="V519" s="6"/>
      <c r="W519" s="580">
        <v>806626</v>
      </c>
      <c r="X519" s="581"/>
      <c r="Y519" s="44">
        <v>3.0000000000000001E-3</v>
      </c>
      <c r="Z519" s="581"/>
      <c r="AA519" s="582">
        <f t="shared" ref="AA519" si="37">+W518-W519</f>
        <v>73996</v>
      </c>
      <c r="AB519" s="581"/>
      <c r="AC519" s="583"/>
      <c r="AD519" s="251"/>
    </row>
    <row r="520" spans="15:31" x14ac:dyDescent="0.3">
      <c r="O520" s="98"/>
      <c r="T520" s="250"/>
      <c r="U520" s="573">
        <f t="shared" si="25"/>
        <v>44465</v>
      </c>
      <c r="V520" s="6"/>
      <c r="W520" s="580">
        <v>800689</v>
      </c>
      <c r="X520" s="581"/>
      <c r="Y520" s="44">
        <v>3.0000000000000001E-3</v>
      </c>
      <c r="Z520" s="581"/>
      <c r="AA520" s="582">
        <f t="shared" ref="AA520" si="38">+W519-W520</f>
        <v>5937</v>
      </c>
      <c r="AB520" s="581"/>
      <c r="AC520" s="583"/>
      <c r="AD520" s="251"/>
    </row>
    <row r="521" spans="15:31" x14ac:dyDescent="0.3">
      <c r="O521" s="98"/>
      <c r="T521" s="250"/>
      <c r="U521" s="252">
        <f t="shared" si="25"/>
        <v>44466</v>
      </c>
      <c r="V521" s="6"/>
      <c r="W521" s="580">
        <v>845370</v>
      </c>
      <c r="X521" s="581"/>
      <c r="Y521" s="44">
        <v>3.0000000000000001E-3</v>
      </c>
      <c r="Z521" s="581"/>
      <c r="AA521" s="582">
        <f t="shared" ref="AA521" si="39">+W520-W521</f>
        <v>-44681</v>
      </c>
      <c r="AB521" s="581"/>
      <c r="AC521" s="583"/>
      <c r="AD521" s="251"/>
    </row>
    <row r="522" spans="15:31" x14ac:dyDescent="0.3">
      <c r="O522" s="98"/>
      <c r="T522" s="250"/>
      <c r="U522" s="252">
        <f t="shared" si="25"/>
        <v>44467</v>
      </c>
      <c r="V522" s="6"/>
      <c r="W522" s="580">
        <v>864408</v>
      </c>
      <c r="X522" s="581"/>
      <c r="Y522" s="44">
        <v>3.0000000000000001E-3</v>
      </c>
      <c r="Z522" s="581"/>
      <c r="AA522" s="582">
        <f t="shared" ref="AA522" si="40">+W521-W522</f>
        <v>-19038</v>
      </c>
      <c r="AB522" s="581"/>
      <c r="AC522" s="583"/>
      <c r="AD522" s="251"/>
    </row>
    <row r="523" spans="15:31" x14ac:dyDescent="0.3">
      <c r="O523" s="98"/>
      <c r="T523" s="250"/>
      <c r="U523" s="252">
        <f t="shared" si="25"/>
        <v>44468</v>
      </c>
      <c r="V523" s="6"/>
      <c r="W523" s="580">
        <v>866718</v>
      </c>
      <c r="X523" s="581"/>
      <c r="Y523" s="44">
        <v>3.0000000000000001E-3</v>
      </c>
      <c r="Z523" s="581"/>
      <c r="AA523" s="582">
        <f t="shared" ref="AA523" si="41">+W522-W523</f>
        <v>-2310</v>
      </c>
      <c r="AB523" s="581"/>
      <c r="AC523" s="583"/>
      <c r="AD523" s="251"/>
    </row>
    <row r="524" spans="15:31" x14ac:dyDescent="0.3">
      <c r="O524" s="98"/>
      <c r="T524" s="250"/>
      <c r="U524" s="252">
        <f t="shared" si="25"/>
        <v>44469</v>
      </c>
      <c r="V524" s="6"/>
      <c r="W524" s="580">
        <v>846510</v>
      </c>
      <c r="X524" s="581"/>
      <c r="Y524" s="44">
        <v>3.0000000000000001E-3</v>
      </c>
      <c r="Z524" s="581"/>
      <c r="AA524" s="582">
        <f t="shared" ref="AA524" si="42">+W523-W524</f>
        <v>20208</v>
      </c>
      <c r="AB524" s="581"/>
      <c r="AC524" s="583"/>
      <c r="AD524" s="251"/>
    </row>
    <row r="525" spans="15:31" x14ac:dyDescent="0.3">
      <c r="O525" s="98"/>
      <c r="T525" s="250"/>
      <c r="U525" s="252">
        <f t="shared" si="25"/>
        <v>44470</v>
      </c>
      <c r="V525" s="6"/>
      <c r="W525" s="580">
        <v>839428</v>
      </c>
      <c r="X525" s="581"/>
      <c r="Y525" s="44">
        <v>3.0000000000000001E-3</v>
      </c>
      <c r="Z525" s="581"/>
      <c r="AA525" s="582">
        <f t="shared" ref="AA525" si="43">+W524-W525</f>
        <v>7082</v>
      </c>
      <c r="AB525" s="581"/>
      <c r="AC525" s="583"/>
      <c r="AD525" s="251"/>
    </row>
    <row r="526" spans="15:31" x14ac:dyDescent="0.3">
      <c r="O526" s="98"/>
      <c r="T526" s="250"/>
      <c r="U526" s="252">
        <f t="shared" si="25"/>
        <v>44471</v>
      </c>
      <c r="V526" s="6"/>
      <c r="W526" s="580">
        <v>754488</v>
      </c>
      <c r="X526" s="581"/>
      <c r="Y526" s="44">
        <v>3.0000000000000001E-3</v>
      </c>
      <c r="Z526" s="581"/>
      <c r="AA526" s="582">
        <f t="shared" ref="AA526" si="44">+W525-W526</f>
        <v>84940</v>
      </c>
      <c r="AB526" s="581"/>
      <c r="AC526" s="583"/>
      <c r="AD526" s="251"/>
    </row>
    <row r="527" spans="15:31" x14ac:dyDescent="0.3">
      <c r="O527" s="98"/>
      <c r="T527" s="250"/>
      <c r="U527" s="573">
        <f t="shared" si="25"/>
        <v>44472</v>
      </c>
      <c r="V527" s="6"/>
      <c r="W527" s="580">
        <v>696389</v>
      </c>
      <c r="X527" s="581"/>
      <c r="Y527" s="44">
        <v>3.0000000000000001E-3</v>
      </c>
      <c r="Z527" s="581"/>
      <c r="AA527" s="582">
        <f t="shared" ref="AA527" si="45">+W526-W527</f>
        <v>58099</v>
      </c>
      <c r="AB527" s="581"/>
      <c r="AC527" s="583"/>
      <c r="AD527" s="251"/>
    </row>
    <row r="528" spans="15:31" x14ac:dyDescent="0.3">
      <c r="O528" s="98"/>
      <c r="T528" s="250"/>
      <c r="U528" s="252">
        <f t="shared" si="25"/>
        <v>44473</v>
      </c>
      <c r="V528" s="6"/>
      <c r="W528" s="580">
        <v>711315</v>
      </c>
      <c r="X528" s="581"/>
      <c r="Y528" s="44">
        <v>3.0000000000000001E-3</v>
      </c>
      <c r="Z528" s="581"/>
      <c r="AA528" s="582">
        <f t="shared" ref="AA528" si="46">+W527-W528</f>
        <v>-14926</v>
      </c>
      <c r="AB528" s="581"/>
      <c r="AC528" s="583"/>
      <c r="AD528" s="251"/>
    </row>
    <row r="529" spans="5:30" x14ac:dyDescent="0.3">
      <c r="O529" s="98"/>
      <c r="T529" s="250"/>
      <c r="U529" s="252">
        <f t="shared" si="25"/>
        <v>44474</v>
      </c>
      <c r="V529" s="6"/>
      <c r="W529" s="580">
        <v>724216</v>
      </c>
      <c r="X529" s="581"/>
      <c r="Y529" s="44">
        <v>3.0000000000000001E-3</v>
      </c>
      <c r="Z529" s="581"/>
      <c r="AA529" s="582">
        <f t="shared" ref="AA529" si="47">+W528-W529</f>
        <v>-12901</v>
      </c>
      <c r="AB529" s="581"/>
      <c r="AC529" s="583"/>
      <c r="AD529" s="251"/>
    </row>
    <row r="530" spans="5:30" x14ac:dyDescent="0.3">
      <c r="O530" s="98"/>
      <c r="T530" s="250"/>
      <c r="U530" s="252">
        <f t="shared" si="25"/>
        <v>44475</v>
      </c>
      <c r="V530" s="6"/>
      <c r="W530" s="580">
        <v>726333</v>
      </c>
      <c r="X530" s="581"/>
      <c r="Y530" s="44">
        <v>3.0000000000000001E-3</v>
      </c>
      <c r="Z530" s="581"/>
      <c r="AA530" s="582">
        <f t="shared" ref="AA530" si="48">+W529-W530</f>
        <v>-2117</v>
      </c>
      <c r="AB530" s="581"/>
      <c r="AC530" s="583"/>
      <c r="AD530" s="251"/>
    </row>
    <row r="531" spans="5:30" x14ac:dyDescent="0.3">
      <c r="O531" s="98"/>
      <c r="T531" s="250"/>
      <c r="U531" s="252">
        <f t="shared" si="25"/>
        <v>44476</v>
      </c>
      <c r="V531" s="6"/>
      <c r="W531" s="580">
        <v>711308</v>
      </c>
      <c r="X531" s="581"/>
      <c r="Y531" s="44">
        <v>3.0000000000000001E-3</v>
      </c>
      <c r="Z531" s="581"/>
      <c r="AA531" s="582">
        <f t="shared" ref="AA531" si="49">+W530-W531</f>
        <v>15025</v>
      </c>
      <c r="AB531" s="581"/>
      <c r="AC531" s="583"/>
      <c r="AD531" s="251"/>
    </row>
    <row r="532" spans="5:30" x14ac:dyDescent="0.3">
      <c r="O532" s="98"/>
      <c r="T532" s="250"/>
      <c r="U532" s="252">
        <f t="shared" si="25"/>
        <v>44477</v>
      </c>
      <c r="V532" s="6"/>
      <c r="W532" s="580">
        <v>703338</v>
      </c>
      <c r="X532" s="581"/>
      <c r="Y532" s="44">
        <v>3.0000000000000001E-3</v>
      </c>
      <c r="Z532" s="581"/>
      <c r="AA532" s="582">
        <f t="shared" ref="AA532" si="50">+W531-W532</f>
        <v>7970</v>
      </c>
      <c r="AB532" s="581"/>
      <c r="AC532" s="583"/>
      <c r="AD532" s="251"/>
    </row>
    <row r="533" spans="5:30" x14ac:dyDescent="0.3">
      <c r="O533" s="98"/>
      <c r="T533" s="250"/>
      <c r="U533" s="252">
        <f t="shared" si="25"/>
        <v>44478</v>
      </c>
      <c r="V533" s="6"/>
      <c r="W533" s="580">
        <v>624479</v>
      </c>
      <c r="X533" s="581"/>
      <c r="Y533" s="44">
        <v>3.0000000000000001E-3</v>
      </c>
      <c r="Z533" s="581"/>
      <c r="AA533" s="582">
        <f t="shared" ref="AA533" si="51">+W532-W533</f>
        <v>78859</v>
      </c>
      <c r="AB533" s="581"/>
      <c r="AC533" s="583"/>
      <c r="AD533" s="251"/>
    </row>
    <row r="534" spans="5:30" x14ac:dyDescent="0.3">
      <c r="O534" s="98"/>
      <c r="T534" s="250"/>
      <c r="U534" s="573">
        <f t="shared" si="25"/>
        <v>44479</v>
      </c>
      <c r="V534" s="6"/>
      <c r="W534" s="580">
        <f>+I$36</f>
        <v>602658</v>
      </c>
      <c r="X534" s="581"/>
      <c r="Y534" s="44">
        <v>3.0000000000000001E-3</v>
      </c>
      <c r="Z534" s="581"/>
      <c r="AA534" s="582">
        <f t="shared" ref="AA534" si="52">+W533-W534</f>
        <v>21821</v>
      </c>
      <c r="AB534" s="581"/>
      <c r="AC534" s="583"/>
      <c r="AD534" s="251"/>
    </row>
    <row r="535" spans="5:30" x14ac:dyDescent="0.3">
      <c r="O535" s="98"/>
      <c r="T535" s="250"/>
      <c r="U535" s="252">
        <f t="shared" si="25"/>
        <v>44480</v>
      </c>
      <c r="V535" s="6"/>
      <c r="W535" s="580"/>
      <c r="X535" s="581"/>
      <c r="Y535" s="44"/>
      <c r="Z535" s="581"/>
      <c r="AA535" s="582"/>
      <c r="AB535" s="581"/>
      <c r="AC535" s="583"/>
      <c r="AD535" s="251"/>
    </row>
    <row r="536" spans="5:30" x14ac:dyDescent="0.3">
      <c r="O536" s="98"/>
      <c r="T536" s="250"/>
      <c r="U536" s="252">
        <f t="shared" si="25"/>
        <v>44481</v>
      </c>
      <c r="V536" s="6"/>
      <c r="W536" s="580"/>
      <c r="X536" s="581"/>
      <c r="Y536" s="44"/>
      <c r="Z536" s="581"/>
      <c r="AA536" s="582"/>
      <c r="AB536" s="581"/>
      <c r="AC536" s="583"/>
      <c r="AD536" s="251"/>
    </row>
    <row r="537" spans="5:30" x14ac:dyDescent="0.3">
      <c r="O537" s="98"/>
      <c r="T537" s="250"/>
      <c r="U537" s="252">
        <f t="shared" si="25"/>
        <v>44482</v>
      </c>
      <c r="V537" s="6"/>
      <c r="W537" s="253"/>
      <c r="X537" s="6"/>
      <c r="Y537" s="44"/>
      <c r="Z537" s="6"/>
      <c r="AA537" s="254"/>
      <c r="AB537" s="6"/>
      <c r="AC537" s="258"/>
      <c r="AD537" s="251"/>
    </row>
    <row r="538" spans="5:30" ht="15" thickBot="1" x14ac:dyDescent="0.35">
      <c r="O538" s="98"/>
      <c r="T538" s="255"/>
      <c r="U538" s="350">
        <f t="shared" si="25"/>
        <v>44483</v>
      </c>
      <c r="V538" s="247"/>
      <c r="W538" s="351"/>
      <c r="X538" s="247"/>
      <c r="Y538" s="256"/>
      <c r="Z538" s="247"/>
      <c r="AA538" s="352"/>
      <c r="AB538" s="247"/>
      <c r="AC538" s="353"/>
      <c r="AD538" s="257"/>
    </row>
    <row r="539" spans="5:30" x14ac:dyDescent="0.3">
      <c r="O539" s="98"/>
    </row>
    <row r="540" spans="5:30" x14ac:dyDescent="0.3">
      <c r="O540" s="98"/>
      <c r="P540" s="57"/>
      <c r="Q540" s="57"/>
      <c r="R540" s="57"/>
    </row>
    <row r="541" spans="5:30" x14ac:dyDescent="0.3">
      <c r="O541" s="98"/>
    </row>
    <row r="542" spans="5:30" ht="15" thickBot="1" x14ac:dyDescent="0.35">
      <c r="O542" s="98"/>
    </row>
    <row r="543" spans="5:30" ht="15.6" thickTop="1" thickBot="1" x14ac:dyDescent="0.35">
      <c r="Q543" s="441"/>
      <c r="R543" s="442"/>
      <c r="S543" s="442"/>
      <c r="T543" s="442"/>
      <c r="U543" s="442"/>
      <c r="V543" s="442"/>
      <c r="W543" s="442"/>
      <c r="X543" s="442"/>
      <c r="Y543" s="442"/>
      <c r="Z543" s="442"/>
      <c r="AA543" s="442"/>
      <c r="AB543" s="443"/>
    </row>
    <row r="544" spans="5:30" ht="15" thickBot="1" x14ac:dyDescent="0.35">
      <c r="E544" s="673" t="s">
        <v>106</v>
      </c>
      <c r="F544" s="674"/>
      <c r="G544" s="674"/>
      <c r="H544" s="674"/>
      <c r="I544" s="674"/>
      <c r="J544" s="674"/>
      <c r="K544" s="674"/>
      <c r="L544" s="674"/>
      <c r="M544" s="675"/>
      <c r="Q544" s="444"/>
      <c r="R544" s="6"/>
      <c r="S544" s="6"/>
      <c r="T544" s="6"/>
      <c r="U544" s="5" t="s">
        <v>132</v>
      </c>
      <c r="V544" s="5"/>
      <c r="W544" s="5"/>
      <c r="X544" s="5"/>
      <c r="Y544" s="5"/>
      <c r="Z544" s="5"/>
      <c r="AA544" s="5" t="s">
        <v>28</v>
      </c>
      <c r="AB544" s="445"/>
    </row>
    <row r="545" spans="4:36" x14ac:dyDescent="0.3">
      <c r="E545" s="395"/>
      <c r="F545" s="396" t="s">
        <v>107</v>
      </c>
      <c r="G545" s="396"/>
      <c r="H545" s="396"/>
      <c r="I545" s="676">
        <v>21477737</v>
      </c>
      <c r="J545" s="676"/>
      <c r="K545" s="676"/>
      <c r="L545" s="676"/>
      <c r="M545" s="397"/>
      <c r="Q545" s="444"/>
      <c r="R545" s="437" t="s">
        <v>134</v>
      </c>
      <c r="S545" s="6"/>
      <c r="T545" s="6"/>
      <c r="U545" s="437" t="s">
        <v>133</v>
      </c>
      <c r="V545" s="5"/>
      <c r="W545" s="437" t="s">
        <v>20</v>
      </c>
      <c r="X545" s="5"/>
      <c r="Y545" s="437" t="s">
        <v>4</v>
      </c>
      <c r="Z545" s="5"/>
      <c r="AA545" s="446" t="s">
        <v>131</v>
      </c>
      <c r="AB545" s="445"/>
    </row>
    <row r="546" spans="4:36" x14ac:dyDescent="0.3">
      <c r="E546" s="395"/>
      <c r="F546" s="396" t="s">
        <v>97</v>
      </c>
      <c r="G546" s="396"/>
      <c r="H546" s="396"/>
      <c r="I546" s="396"/>
      <c r="J546" s="396"/>
      <c r="K546" s="396"/>
      <c r="L546" s="398">
        <f>+I558/I545</f>
        <v>4.5847474526762295E-4</v>
      </c>
      <c r="M546" s="397"/>
      <c r="Q546" s="444"/>
      <c r="R546" s="6" t="s">
        <v>121</v>
      </c>
      <c r="S546" s="6"/>
      <c r="T546" s="6"/>
      <c r="U546" s="7">
        <v>2003</v>
      </c>
      <c r="V546" s="6"/>
      <c r="W546" s="7">
        <v>389666</v>
      </c>
      <c r="X546" s="6"/>
      <c r="Y546" s="7">
        <v>31257</v>
      </c>
      <c r="Z546" s="6"/>
      <c r="AA546" s="253">
        <f>+AJ546</f>
        <v>19500</v>
      </c>
      <c r="AB546" s="445"/>
      <c r="AJ546" s="1">
        <v>19500</v>
      </c>
    </row>
    <row r="547" spans="4:36" x14ac:dyDescent="0.3">
      <c r="E547" s="395"/>
      <c r="F547" s="677" t="s">
        <v>95</v>
      </c>
      <c r="G547" s="677"/>
      <c r="H547" s="396"/>
      <c r="I547" s="396"/>
      <c r="J547" s="396"/>
      <c r="K547" s="396"/>
      <c r="L547" s="399">
        <f>+I558/(I545/100000)</f>
        <v>45.847474526762298</v>
      </c>
      <c r="M547" s="397"/>
      <c r="Q547" s="444"/>
      <c r="R547" s="6" t="s">
        <v>122</v>
      </c>
      <c r="S547" s="6"/>
      <c r="T547" s="6"/>
      <c r="U547" s="7">
        <v>1913</v>
      </c>
      <c r="V547" s="6"/>
      <c r="W547" s="7">
        <v>169892</v>
      </c>
      <c r="X547" s="6"/>
      <c r="Y547" s="7">
        <v>13076</v>
      </c>
      <c r="Z547" s="6"/>
      <c r="AA547" s="253">
        <f t="shared" ref="AA547:AA555" si="53">+AJ547</f>
        <v>8900</v>
      </c>
      <c r="AB547" s="445"/>
      <c r="AJ547" s="1">
        <v>8900</v>
      </c>
    </row>
    <row r="548" spans="4:36" x14ac:dyDescent="0.3">
      <c r="E548" s="395"/>
      <c r="F548" s="400"/>
      <c r="G548" s="400"/>
      <c r="H548" s="396"/>
      <c r="I548" s="396"/>
      <c r="J548" s="396"/>
      <c r="K548" s="396"/>
      <c r="L548" s="399"/>
      <c r="M548" s="397"/>
      <c r="Q548" s="444"/>
      <c r="R548" s="6" t="s">
        <v>123</v>
      </c>
      <c r="S548" s="6"/>
      <c r="T548" s="6"/>
      <c r="U548" s="7">
        <v>1568</v>
      </c>
      <c r="V548" s="6"/>
      <c r="W548" s="7">
        <v>16606</v>
      </c>
      <c r="X548" s="6"/>
      <c r="Y548" s="7">
        <v>912</v>
      </c>
      <c r="Z548" s="6"/>
      <c r="AA548" s="253">
        <f t="shared" si="53"/>
        <v>1100</v>
      </c>
      <c r="AB548" s="445"/>
      <c r="AJ548" s="1">
        <v>1100</v>
      </c>
    </row>
    <row r="549" spans="4:36" x14ac:dyDescent="0.3">
      <c r="E549" s="395"/>
      <c r="F549" s="400" t="s">
        <v>108</v>
      </c>
      <c r="G549" s="400"/>
      <c r="H549" s="677" t="s">
        <v>109</v>
      </c>
      <c r="I549" s="677"/>
      <c r="J549" s="396"/>
      <c r="K549" s="396"/>
      <c r="L549" s="399"/>
      <c r="M549" s="397"/>
      <c r="Q549" s="444"/>
      <c r="R549" s="6" t="s">
        <v>56</v>
      </c>
      <c r="S549" s="6"/>
      <c r="T549" s="6"/>
      <c r="U549" s="7">
        <v>1561</v>
      </c>
      <c r="V549" s="6"/>
      <c r="W549" s="7">
        <v>107611</v>
      </c>
      <c r="X549" s="6"/>
      <c r="Y549" s="7">
        <v>7937</v>
      </c>
      <c r="Z549" s="6"/>
      <c r="AA549" s="253">
        <f t="shared" si="53"/>
        <v>7000</v>
      </c>
      <c r="AB549" s="445"/>
      <c r="AJ549" s="1">
        <v>7000</v>
      </c>
    </row>
    <row r="550" spans="4:36" ht="15" thickBot="1" x14ac:dyDescent="0.35">
      <c r="E550" s="401"/>
      <c r="F550" s="402"/>
      <c r="G550" s="402"/>
      <c r="H550" s="402"/>
      <c r="I550" s="402"/>
      <c r="J550" s="402"/>
      <c r="K550" s="402"/>
      <c r="L550" s="402"/>
      <c r="M550" s="403"/>
      <c r="Q550" s="444"/>
      <c r="R550" s="6" t="s">
        <v>128</v>
      </c>
      <c r="S550" s="6"/>
      <c r="T550" s="6"/>
      <c r="U550" s="7">
        <v>1435</v>
      </c>
      <c r="V550" s="6"/>
      <c r="W550" s="7">
        <v>10128</v>
      </c>
      <c r="X550" s="6"/>
      <c r="Y550" s="7">
        <v>541</v>
      </c>
      <c r="Z550" s="6"/>
      <c r="AA550" s="253">
        <f t="shared" si="53"/>
        <v>700</v>
      </c>
      <c r="AB550" s="445"/>
      <c r="AJ550" s="1">
        <v>700</v>
      </c>
    </row>
    <row r="551" spans="4:36" x14ac:dyDescent="0.3">
      <c r="Q551" s="444"/>
      <c r="R551" s="6" t="s">
        <v>124</v>
      </c>
      <c r="S551" s="6"/>
      <c r="T551" s="6"/>
      <c r="U551" s="7">
        <v>1288</v>
      </c>
      <c r="V551" s="6"/>
      <c r="W551" s="7">
        <v>45913</v>
      </c>
      <c r="X551" s="6"/>
      <c r="Y551" s="7">
        <v>4287</v>
      </c>
      <c r="Z551" s="6"/>
      <c r="AA551" s="253">
        <f t="shared" si="53"/>
        <v>3600</v>
      </c>
      <c r="AB551" s="445"/>
      <c r="AJ551" s="1">
        <v>3600</v>
      </c>
    </row>
    <row r="552" spans="4:36" ht="15" thickBot="1" x14ac:dyDescent="0.35">
      <c r="D552" s="78"/>
      <c r="E552" s="139"/>
      <c r="F552" s="139"/>
      <c r="G552" s="139"/>
      <c r="H552" s="139"/>
      <c r="I552" s="310"/>
      <c r="J552" s="78"/>
      <c r="K552" s="98"/>
      <c r="L552" s="98"/>
      <c r="M552" s="98"/>
      <c r="N552" s="98"/>
      <c r="Q552" s="444"/>
      <c r="R552" s="6" t="s">
        <v>129</v>
      </c>
      <c r="S552" s="6"/>
      <c r="T552" s="6"/>
      <c r="U552" s="7">
        <v>1129</v>
      </c>
      <c r="V552" s="6"/>
      <c r="W552" s="7">
        <v>52477</v>
      </c>
      <c r="X552" s="6"/>
      <c r="Y552" s="7">
        <v>3152</v>
      </c>
      <c r="Z552" s="6"/>
      <c r="AA552" s="253">
        <f t="shared" si="53"/>
        <v>4600</v>
      </c>
      <c r="AB552" s="445"/>
      <c r="AJ552" s="1">
        <v>4600</v>
      </c>
    </row>
    <row r="553" spans="4:36" ht="16.2" thickBot="1" x14ac:dyDescent="0.35">
      <c r="D553" s="381"/>
      <c r="E553" s="678" t="s">
        <v>119</v>
      </c>
      <c r="F553" s="679"/>
      <c r="G553" s="679"/>
      <c r="H553" s="679"/>
      <c r="I553" s="679"/>
      <c r="J553" s="680"/>
      <c r="K553" s="382"/>
      <c r="L553" s="394" t="s">
        <v>10</v>
      </c>
      <c r="M553" s="383"/>
      <c r="N553" s="98"/>
      <c r="Q553" s="444"/>
      <c r="R553" s="6" t="s">
        <v>125</v>
      </c>
      <c r="S553" s="6"/>
      <c r="T553" s="6"/>
      <c r="U553" s="7">
        <v>1118</v>
      </c>
      <c r="V553" s="6"/>
      <c r="W553" s="7">
        <v>10889</v>
      </c>
      <c r="X553" s="6"/>
      <c r="Y553" s="7">
        <v>505</v>
      </c>
      <c r="Z553" s="6"/>
      <c r="AA553" s="253">
        <f t="shared" si="53"/>
        <v>980</v>
      </c>
      <c r="AB553" s="445"/>
      <c r="AJ553" s="1">
        <v>980</v>
      </c>
    </row>
    <row r="554" spans="4:36" x14ac:dyDescent="0.3">
      <c r="D554" s="360"/>
      <c r="E554" s="384" t="s">
        <v>75</v>
      </c>
      <c r="F554" s="16"/>
      <c r="G554" s="16"/>
      <c r="H554" s="16"/>
      <c r="I554" s="681">
        <f>+K81</f>
        <v>48675</v>
      </c>
      <c r="J554" s="681"/>
      <c r="K554" s="16"/>
      <c r="L554" s="60">
        <f>+I554/$I$554</f>
        <v>1</v>
      </c>
      <c r="M554" s="385"/>
      <c r="N554" s="98"/>
      <c r="Q554" s="444"/>
      <c r="R554" s="6" t="s">
        <v>126</v>
      </c>
      <c r="S554" s="6"/>
      <c r="T554" s="6"/>
      <c r="U554" s="7">
        <v>1093</v>
      </c>
      <c r="V554" s="6"/>
      <c r="W554" s="7">
        <v>138546</v>
      </c>
      <c r="X554" s="6"/>
      <c r="Y554" s="7">
        <v>6770</v>
      </c>
      <c r="Z554" s="6"/>
      <c r="AA554" s="253">
        <f t="shared" si="53"/>
        <v>12700</v>
      </c>
      <c r="AB554" s="445"/>
      <c r="AJ554" s="1">
        <v>12700</v>
      </c>
    </row>
    <row r="555" spans="4:36" x14ac:dyDescent="0.3">
      <c r="D555" s="360"/>
      <c r="E555" s="384"/>
      <c r="F555" s="16"/>
      <c r="G555" s="16"/>
      <c r="H555" s="16"/>
      <c r="I555" s="16"/>
      <c r="J555" s="16"/>
      <c r="K555" s="16"/>
      <c r="L555" s="16"/>
      <c r="M555" s="385"/>
      <c r="N555" s="98"/>
      <c r="Q555" s="444"/>
      <c r="R555" s="6" t="s">
        <v>127</v>
      </c>
      <c r="S555" s="6"/>
      <c r="T555" s="6"/>
      <c r="U555" s="447">
        <v>1081</v>
      </c>
      <c r="V555" s="6"/>
      <c r="W555" s="447">
        <v>65337</v>
      </c>
      <c r="X555" s="6"/>
      <c r="Y555" s="447">
        <v>3108</v>
      </c>
      <c r="Z555" s="6"/>
      <c r="AA555" s="448">
        <f t="shared" si="53"/>
        <v>6100</v>
      </c>
      <c r="AB555" s="445"/>
      <c r="AJ555" s="439">
        <v>6100</v>
      </c>
    </row>
    <row r="556" spans="4:36" x14ac:dyDescent="0.3">
      <c r="D556" s="372"/>
      <c r="E556" s="15"/>
      <c r="F556" s="386" t="s">
        <v>100</v>
      </c>
      <c r="G556" s="386"/>
      <c r="H556" s="15"/>
      <c r="I556" s="682">
        <f>+I81</f>
        <v>36684</v>
      </c>
      <c r="J556" s="683"/>
      <c r="K556" s="15"/>
      <c r="L556" s="60">
        <f>+I556/$I$554</f>
        <v>0.75365177195685673</v>
      </c>
      <c r="M556" s="365"/>
      <c r="N556" s="98"/>
      <c r="Q556" s="444"/>
      <c r="R556" s="5" t="s">
        <v>31</v>
      </c>
      <c r="S556" s="6"/>
      <c r="T556" s="6"/>
      <c r="U556" s="253">
        <f>+W556/(AA556/100)</f>
        <v>1545.0521632402579</v>
      </c>
      <c r="V556" s="6"/>
      <c r="W556" s="253">
        <f>SUM(W546:W555)</f>
        <v>1007065</v>
      </c>
      <c r="X556" s="6"/>
      <c r="Y556" s="253">
        <f>SUM(Y546:Y555)</f>
        <v>71545</v>
      </c>
      <c r="Z556" s="6"/>
      <c r="AA556" s="253">
        <f>SUM(AA546:AA555)</f>
        <v>65180</v>
      </c>
      <c r="AB556" s="445"/>
      <c r="AJ556" s="56">
        <f>SUM(AJ546:AJ555)</f>
        <v>65180</v>
      </c>
    </row>
    <row r="557" spans="4:36" x14ac:dyDescent="0.3">
      <c r="D557" s="372"/>
      <c r="E557" s="15"/>
      <c r="F557" s="15" t="s">
        <v>76</v>
      </c>
      <c r="G557" s="15"/>
      <c r="H557" s="15"/>
      <c r="I557" s="684">
        <f>+I75</f>
        <v>2144</v>
      </c>
      <c r="J557" s="685"/>
      <c r="K557" s="15"/>
      <c r="L557" s="60">
        <f>+I557/$I$554</f>
        <v>4.4047252182845401E-2</v>
      </c>
      <c r="M557" s="365"/>
      <c r="N557" s="98"/>
      <c r="Q557" s="444"/>
      <c r="R557" s="5"/>
      <c r="S557" s="6"/>
      <c r="T557" s="6"/>
      <c r="U557" s="6"/>
      <c r="V557" s="6"/>
      <c r="W557" s="253"/>
      <c r="X557" s="6"/>
      <c r="Y557" s="253"/>
      <c r="Z557" s="6"/>
      <c r="AA557" s="6"/>
      <c r="AB557" s="445"/>
      <c r="AJ557" s="56"/>
    </row>
    <row r="558" spans="4:36" ht="15" thickBot="1" x14ac:dyDescent="0.35">
      <c r="D558" s="372"/>
      <c r="E558" s="670" t="s">
        <v>101</v>
      </c>
      <c r="F558" s="670"/>
      <c r="G558" s="670"/>
      <c r="H558" s="15"/>
      <c r="I558" s="671">
        <f>+I554-I556-I557</f>
        <v>9847</v>
      </c>
      <c r="J558" s="672"/>
      <c r="K558" s="387"/>
      <c r="L558" s="388">
        <f>+I558/$I$554</f>
        <v>0.20230097586029788</v>
      </c>
      <c r="M558" s="365"/>
      <c r="N558" s="98"/>
      <c r="Q558" s="444"/>
      <c r="R558" s="5" t="s">
        <v>57</v>
      </c>
      <c r="S558" s="6"/>
      <c r="T558" s="6"/>
      <c r="U558" s="7">
        <v>7441</v>
      </c>
      <c r="V558" s="6"/>
      <c r="W558" s="7">
        <f>+'Main Table'!H106</f>
        <v>3029734</v>
      </c>
      <c r="X558" s="6"/>
      <c r="Y558" s="7">
        <f>+'Main Table'!AA106</f>
        <v>129682</v>
      </c>
      <c r="Z558" s="6"/>
      <c r="AA558" s="253">
        <f>+AJ558</f>
        <v>333000</v>
      </c>
      <c r="AB558" s="445"/>
      <c r="AJ558" s="56">
        <v>333000</v>
      </c>
    </row>
    <row r="559" spans="4:36" ht="15.6" thickTop="1" thickBot="1" x14ac:dyDescent="0.35">
      <c r="D559" s="372"/>
      <c r="E559" s="389"/>
      <c r="F559" s="389"/>
      <c r="G559" s="389"/>
      <c r="H559" s="15"/>
      <c r="I559" s="390"/>
      <c r="J559" s="389"/>
      <c r="K559" s="387"/>
      <c r="L559" s="391"/>
      <c r="M559" s="365"/>
      <c r="N559" s="98"/>
      <c r="Q559" s="444"/>
      <c r="R559" s="5" t="s">
        <v>130</v>
      </c>
      <c r="S559" s="6"/>
      <c r="T559" s="6"/>
      <c r="U559" s="449"/>
      <c r="V559" s="6"/>
      <c r="W559" s="450">
        <f>+W556/W558</f>
        <v>0.33239386692033029</v>
      </c>
      <c r="X559" s="6"/>
      <c r="Y559" s="450">
        <f>+Y556/Y558</f>
        <v>0.55169568637127742</v>
      </c>
      <c r="Z559" s="6"/>
      <c r="AA559" s="450">
        <f>+AA556/AA558</f>
        <v>0.19573573573573574</v>
      </c>
      <c r="AB559" s="445"/>
      <c r="AJ559" s="440">
        <f>+AJ556/AJ558</f>
        <v>0.19573573573573574</v>
      </c>
    </row>
    <row r="560" spans="4:36" ht="15.6" thickTop="1" thickBot="1" x14ac:dyDescent="0.35">
      <c r="D560" s="392"/>
      <c r="E560" s="393"/>
      <c r="F560" s="393"/>
      <c r="G560" s="393"/>
      <c r="H560" s="393"/>
      <c r="I560" s="393"/>
      <c r="J560" s="393"/>
      <c r="K560" s="393"/>
      <c r="L560" s="393"/>
      <c r="M560" s="380"/>
      <c r="N560" s="98"/>
      <c r="Q560" s="451"/>
      <c r="R560" s="452"/>
      <c r="S560" s="452"/>
      <c r="T560" s="452"/>
      <c r="U560" s="452"/>
      <c r="V560" s="452"/>
      <c r="W560" s="452"/>
      <c r="X560" s="452"/>
      <c r="Y560" s="452"/>
      <c r="Z560" s="452"/>
      <c r="AA560" s="452"/>
      <c r="AB560" s="453"/>
    </row>
    <row r="564" spans="6:23" x14ac:dyDescent="0.3">
      <c r="F564" s="1">
        <v>1248371</v>
      </c>
    </row>
    <row r="565" spans="6:23" x14ac:dyDescent="0.3">
      <c r="W565" s="1"/>
    </row>
    <row r="566" spans="6:23" x14ac:dyDescent="0.3">
      <c r="F566">
        <v>700</v>
      </c>
    </row>
    <row r="567" spans="6:23" x14ac:dyDescent="0.3">
      <c r="F567" s="76">
        <f>+F566/F564</f>
        <v>5.6073074430597954E-4</v>
      </c>
    </row>
    <row r="569" spans="6:23" x14ac:dyDescent="0.3">
      <c r="F569" s="1">
        <v>60000</v>
      </c>
    </row>
    <row r="570" spans="6:23" x14ac:dyDescent="0.3">
      <c r="F570">
        <f>+F567*F569</f>
        <v>33.643844658358773</v>
      </c>
    </row>
    <row r="572" spans="6:23" x14ac:dyDescent="0.3">
      <c r="F572" s="1">
        <v>331000000</v>
      </c>
    </row>
    <row r="573" spans="6:23" x14ac:dyDescent="0.3">
      <c r="F573" s="56">
        <f>+W86</f>
        <v>811067</v>
      </c>
    </row>
    <row r="574" spans="6:23" x14ac:dyDescent="0.3">
      <c r="F574" s="57">
        <f>+F573/F572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558:G558"/>
    <mergeCell ref="I558:J558"/>
    <mergeCell ref="E544:M544"/>
    <mergeCell ref="I545:L545"/>
    <mergeCell ref="F547:G547"/>
    <mergeCell ref="E553:J553"/>
    <mergeCell ref="I554:J554"/>
    <mergeCell ref="I556:J556"/>
    <mergeCell ref="I557:J557"/>
    <mergeCell ref="H549:I549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2020-08-27T12:00:07Z</cp:lastPrinted>
  <dcterms:created xsi:type="dcterms:W3CDTF">2020-03-28T00:34:23Z</dcterms:created>
  <dcterms:modified xsi:type="dcterms:W3CDTF">2021-10-11T18:15:51Z</dcterms:modified>
</cp:coreProperties>
</file>