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E67BA569-C2D3-4E31-8AF5-16616569E0A0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Table'!$A$1:$CJ$227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215" i="1" l="1"/>
  <c r="J215" i="1"/>
  <c r="BS225" i="1"/>
  <c r="BS226" i="1" s="1"/>
  <c r="BR225" i="1"/>
  <c r="BR226" i="1" s="1"/>
  <c r="BQ225" i="1"/>
  <c r="BQ226" i="1" s="1"/>
  <c r="BP225" i="1"/>
  <c r="BP226" i="1" s="1"/>
  <c r="BO225" i="1"/>
  <c r="BO226" i="1" s="1"/>
  <c r="BN225" i="1"/>
  <c r="BN226" i="1" s="1"/>
  <c r="BM225" i="1"/>
  <c r="BM226" i="1" s="1"/>
  <c r="BL225" i="1"/>
  <c r="BL226" i="1" s="1"/>
  <c r="BK225" i="1"/>
  <c r="BK226" i="1" s="1"/>
  <c r="BJ225" i="1"/>
  <c r="BJ226" i="1" s="1"/>
  <c r="BI225" i="1"/>
  <c r="BI226" i="1" s="1"/>
  <c r="BH225" i="1"/>
  <c r="BH226" i="1" s="1"/>
  <c r="BG225" i="1"/>
  <c r="BG226" i="1" s="1"/>
  <c r="BF225" i="1"/>
  <c r="BF226" i="1" s="1"/>
  <c r="BE225" i="1"/>
  <c r="BE226" i="1" s="1"/>
  <c r="BD225" i="1"/>
  <c r="BD226" i="1" s="1"/>
  <c r="BC225" i="1"/>
  <c r="BC226" i="1" s="1"/>
  <c r="BB225" i="1"/>
  <c r="BB226" i="1" s="1"/>
  <c r="BA225" i="1"/>
  <c r="BA226" i="1" s="1"/>
  <c r="AZ225" i="1"/>
  <c r="AZ226" i="1" s="1"/>
  <c r="AY225" i="1"/>
  <c r="AY226" i="1" s="1"/>
  <c r="AX225" i="1"/>
  <c r="AX226" i="1" s="1"/>
  <c r="AW225" i="1"/>
  <c r="AW226" i="1" s="1"/>
  <c r="AV225" i="1"/>
  <c r="AV226" i="1" s="1"/>
  <c r="AU225" i="1"/>
  <c r="AU226" i="1" s="1"/>
  <c r="AT225" i="1"/>
  <c r="AT226" i="1" s="1"/>
  <c r="AS225" i="1"/>
  <c r="AS226" i="1" s="1"/>
  <c r="AR225" i="1"/>
  <c r="AR226" i="1" s="1"/>
  <c r="AQ225" i="1"/>
  <c r="AQ226" i="1" s="1"/>
  <c r="AP225" i="1"/>
  <c r="AP226" i="1" s="1"/>
  <c r="AO225" i="1"/>
  <c r="AO226" i="1" s="1"/>
  <c r="AN225" i="1"/>
  <c r="AN226" i="1" s="1"/>
  <c r="AM225" i="1"/>
  <c r="AM226" i="1" s="1"/>
  <c r="AL225" i="1"/>
  <c r="AL226" i="1" s="1"/>
  <c r="AK225" i="1"/>
  <c r="AK226" i="1" s="1"/>
  <c r="AJ225" i="1"/>
  <c r="AJ226" i="1" s="1"/>
  <c r="AI225" i="1"/>
  <c r="AI226" i="1" s="1"/>
  <c r="AH225" i="1"/>
  <c r="AH226" i="1" s="1"/>
  <c r="AG225" i="1"/>
  <c r="AG226" i="1" s="1"/>
  <c r="AF225" i="1"/>
  <c r="AF226" i="1" s="1"/>
  <c r="AE225" i="1"/>
  <c r="AE226" i="1" s="1"/>
  <c r="AD225" i="1"/>
  <c r="AD226" i="1" s="1"/>
  <c r="AC225" i="1"/>
  <c r="AC226" i="1" s="1"/>
  <c r="AB225" i="1"/>
  <c r="AB226" i="1" s="1"/>
  <c r="AA225" i="1"/>
  <c r="AA226" i="1" s="1"/>
  <c r="Z225" i="1"/>
  <c r="Z226" i="1" s="1"/>
  <c r="Y225" i="1"/>
  <c r="Y226" i="1" s="1"/>
  <c r="X225" i="1"/>
  <c r="X226" i="1" s="1"/>
  <c r="W225" i="1"/>
  <c r="W226" i="1" s="1"/>
  <c r="V225" i="1"/>
  <c r="V226" i="1" s="1"/>
  <c r="U225" i="1"/>
  <c r="U226" i="1" s="1"/>
  <c r="T225" i="1"/>
  <c r="T226" i="1" s="1"/>
  <c r="S225" i="1"/>
  <c r="S226" i="1" s="1"/>
  <c r="R225" i="1"/>
  <c r="R226" i="1" s="1"/>
  <c r="Q225" i="1"/>
  <c r="Q226" i="1" s="1"/>
  <c r="P225" i="1"/>
  <c r="P226" i="1" s="1"/>
  <c r="O225" i="1"/>
  <c r="O226" i="1" s="1"/>
  <c r="N225" i="1"/>
  <c r="N226" i="1" s="1"/>
  <c r="M225" i="1"/>
  <c r="M226" i="1" s="1"/>
  <c r="L225" i="1"/>
  <c r="L226" i="1" s="1"/>
  <c r="K225" i="1"/>
  <c r="K226" i="1" s="1"/>
  <c r="J225" i="1"/>
  <c r="J226" i="1" s="1"/>
  <c r="I225" i="1"/>
  <c r="I226" i="1" s="1"/>
  <c r="H225" i="1"/>
  <c r="H226" i="1" s="1"/>
  <c r="D226" i="1"/>
  <c r="D225" i="1"/>
  <c r="BW215" i="1"/>
  <c r="BN215" i="1" s="1"/>
  <c r="BE215" i="1"/>
  <c r="BP215" i="1" s="1"/>
  <c r="BA215" i="1"/>
  <c r="BK215" i="1" s="1"/>
  <c r="BM215" i="1" s="1"/>
  <c r="AX215" i="1"/>
  <c r="AL215" i="1"/>
  <c r="AR215" i="1" s="1"/>
  <c r="AG215" i="1"/>
  <c r="AI215" i="1" s="1"/>
  <c r="AA215" i="1"/>
  <c r="V215" i="1"/>
  <c r="N215" i="1"/>
  <c r="H215" i="1"/>
  <c r="AV215" i="1" s="1"/>
  <c r="BW216" i="1"/>
  <c r="BW217" i="1" s="1"/>
  <c r="BW218" i="1" s="1"/>
  <c r="BW219" i="1" s="1"/>
  <c r="BW220" i="1" s="1"/>
  <c r="BW221" i="1" s="1"/>
  <c r="BW222" i="1" s="1"/>
  <c r="B215" i="1"/>
  <c r="B216" i="1" s="1"/>
  <c r="B217" i="1" s="1"/>
  <c r="B218" i="1" s="1"/>
  <c r="B219" i="1" s="1"/>
  <c r="B220" i="1" s="1"/>
  <c r="B221" i="1" s="1"/>
  <c r="B222" i="1" s="1"/>
  <c r="B223" i="1" s="1"/>
  <c r="T226" i="2"/>
  <c r="S226" i="2"/>
  <c r="R226" i="2"/>
  <c r="P226" i="2"/>
  <c r="O226" i="2"/>
  <c r="N226" i="2"/>
  <c r="L226" i="2"/>
  <c r="J226" i="2"/>
  <c r="I226" i="2"/>
  <c r="H226" i="2"/>
  <c r="G226" i="2"/>
  <c r="E226" i="2"/>
  <c r="W216" i="2"/>
  <c r="S216" i="2"/>
  <c r="K216" i="2"/>
  <c r="M216" i="2" s="1"/>
  <c r="M226" i="2" s="1"/>
  <c r="W217" i="2"/>
  <c r="W218" i="2" s="1"/>
  <c r="W219" i="2" s="1"/>
  <c r="W220" i="2" s="1"/>
  <c r="W221" i="2" s="1"/>
  <c r="W222" i="2" s="1"/>
  <c r="W223" i="2" s="1"/>
  <c r="C216" i="2"/>
  <c r="C217" i="2" s="1"/>
  <c r="C218" i="2" s="1"/>
  <c r="C219" i="2" s="1"/>
  <c r="C220" i="2" s="1"/>
  <c r="C221" i="2" s="1"/>
  <c r="C222" i="2" s="1"/>
  <c r="C223" i="2" s="1"/>
  <c r="C224" i="2" s="1"/>
  <c r="AE215" i="1" l="1"/>
  <c r="BG215" i="1"/>
  <c r="AC215" i="1"/>
  <c r="O215" i="1"/>
  <c r="K226" i="2"/>
  <c r="U216" i="2"/>
  <c r="U226" i="2" s="1"/>
  <c r="Q216" i="2"/>
  <c r="Q226" i="2" s="1"/>
  <c r="AH215" i="1" l="1"/>
  <c r="BE214" i="1"/>
  <c r="BA214" i="1"/>
  <c r="AL214" i="1"/>
  <c r="AR214" i="1" s="1"/>
  <c r="AG214" i="1"/>
  <c r="N214" i="1"/>
  <c r="S215" i="2"/>
  <c r="K215" i="2"/>
  <c r="M215" i="2" s="1"/>
  <c r="BE213" i="1"/>
  <c r="BA213" i="1"/>
  <c r="AL213" i="1"/>
  <c r="AR213" i="1" s="1"/>
  <c r="AG213" i="1"/>
  <c r="N213" i="1"/>
  <c r="S214" i="2"/>
  <c r="K214" i="2"/>
  <c r="Q214" i="2" s="1"/>
  <c r="BG214" i="1" l="1"/>
  <c r="Q215" i="2"/>
  <c r="U215" i="2"/>
  <c r="BG213" i="1"/>
  <c r="U214" i="2"/>
  <c r="M214" i="2"/>
  <c r="S213" i="2" l="1"/>
  <c r="BE212" i="1" l="1"/>
  <c r="BA212" i="1"/>
  <c r="AL212" i="1"/>
  <c r="AR212" i="1" s="1"/>
  <c r="AG212" i="1"/>
  <c r="N212" i="1"/>
  <c r="K213" i="2"/>
  <c r="Q213" i="2" s="1"/>
  <c r="BG212" i="1" l="1"/>
  <c r="U213" i="2"/>
  <c r="M213" i="2"/>
  <c r="BE211" i="1" l="1"/>
  <c r="BA211" i="1"/>
  <c r="AL211" i="1"/>
  <c r="AR211" i="1" s="1"/>
  <c r="AG211" i="1"/>
  <c r="N211" i="1"/>
  <c r="S212" i="2"/>
  <c r="K212" i="2"/>
  <c r="Q212" i="2" s="1"/>
  <c r="BE210" i="1"/>
  <c r="BA210" i="1"/>
  <c r="AL210" i="1"/>
  <c r="AR210" i="1" s="1"/>
  <c r="AG210" i="1"/>
  <c r="N210" i="1"/>
  <c r="S211" i="2"/>
  <c r="K211" i="2"/>
  <c r="BG211" i="1" l="1"/>
  <c r="U212" i="2"/>
  <c r="M212" i="2"/>
  <c r="BG210" i="1"/>
  <c r="U211" i="2"/>
  <c r="M211" i="2"/>
  <c r="Q211" i="2"/>
  <c r="B235" i="1"/>
  <c r="D229" i="1"/>
  <c r="D228" i="1"/>
  <c r="K210" i="2" l="1"/>
  <c r="Q210" i="2" s="1"/>
  <c r="BE209" i="1"/>
  <c r="BA209" i="1"/>
  <c r="AL209" i="1"/>
  <c r="AR209" i="1" s="1"/>
  <c r="AG209" i="1"/>
  <c r="N209" i="1"/>
  <c r="U210" i="2" l="1"/>
  <c r="M210" i="2"/>
  <c r="BG209" i="1"/>
  <c r="AG229" i="1" l="1"/>
  <c r="S209" i="2"/>
  <c r="BE208" i="1" l="1"/>
  <c r="BA208" i="1"/>
  <c r="BK214" i="1" s="1"/>
  <c r="AL208" i="1"/>
  <c r="AG208" i="1"/>
  <c r="N208" i="1"/>
  <c r="K209" i="2"/>
  <c r="Q209" i="2" s="1"/>
  <c r="U163" i="3"/>
  <c r="U164" i="3" s="1"/>
  <c r="U165" i="3" s="1"/>
  <c r="U166" i="3" s="1"/>
  <c r="U167" i="3" s="1"/>
  <c r="U168" i="3" s="1"/>
  <c r="U169" i="3" s="1"/>
  <c r="U170" i="3" s="1"/>
  <c r="U171" i="3" s="1"/>
  <c r="U172" i="3" s="1"/>
  <c r="U173" i="3" s="1"/>
  <c r="U174" i="3" s="1"/>
  <c r="U175" i="3" s="1"/>
  <c r="U176" i="3" s="1"/>
  <c r="U177" i="3" s="1"/>
  <c r="U178" i="3" s="1"/>
  <c r="U179" i="3" s="1"/>
  <c r="U180" i="3" s="1"/>
  <c r="S208" i="2"/>
  <c r="BM214" i="1" l="1"/>
  <c r="AR208" i="1"/>
  <c r="BG208" i="1"/>
  <c r="U209" i="2"/>
  <c r="M209" i="2"/>
  <c r="K208" i="2"/>
  <c r="Q208" i="2" s="1"/>
  <c r="BE207" i="1"/>
  <c r="BA207" i="1"/>
  <c r="BK213" i="1" s="1"/>
  <c r="AL207" i="1"/>
  <c r="AR207" i="1" s="1"/>
  <c r="AG207" i="1"/>
  <c r="AI214" i="1" s="1"/>
  <c r="N207" i="1"/>
  <c r="S207" i="2"/>
  <c r="BE206" i="1"/>
  <c r="BA206" i="1"/>
  <c r="BK212" i="1" s="1"/>
  <c r="BM212" i="1" s="1"/>
  <c r="AL206" i="1"/>
  <c r="AR206" i="1" s="1"/>
  <c r="AG206" i="1"/>
  <c r="AI213" i="1" s="1"/>
  <c r="N206" i="1"/>
  <c r="K207" i="2"/>
  <c r="Q207" i="2" s="1"/>
  <c r="BM213" i="1" l="1"/>
  <c r="BG207" i="1"/>
  <c r="U208" i="2"/>
  <c r="M208" i="2"/>
  <c r="BG206" i="1"/>
  <c r="U207" i="2"/>
  <c r="M207" i="2"/>
  <c r="BE205" i="1" l="1"/>
  <c r="BA205" i="1"/>
  <c r="BK211" i="1" s="1"/>
  <c r="BM211" i="1" s="1"/>
  <c r="AL205" i="1"/>
  <c r="AR205" i="1" s="1"/>
  <c r="AG205" i="1"/>
  <c r="AI212" i="1" s="1"/>
  <c r="N205" i="1"/>
  <c r="S206" i="2"/>
  <c r="K206" i="2"/>
  <c r="Q206" i="2" s="1"/>
  <c r="S205" i="2"/>
  <c r="D255" i="1"/>
  <c r="H255" i="1" s="1"/>
  <c r="BG205" i="1" l="1"/>
  <c r="U206" i="2"/>
  <c r="M206" i="2"/>
  <c r="BE204" i="1"/>
  <c r="BA204" i="1"/>
  <c r="BK210" i="1" s="1"/>
  <c r="BM210" i="1" s="1"/>
  <c r="AL204" i="1"/>
  <c r="AR204" i="1" s="1"/>
  <c r="AG204" i="1"/>
  <c r="AI211" i="1" s="1"/>
  <c r="N204" i="1"/>
  <c r="K205" i="2"/>
  <c r="M205" i="2" s="1"/>
  <c r="BG204" i="1" l="1"/>
  <c r="U205" i="2"/>
  <c r="Q205" i="2"/>
  <c r="O228" i="1" l="1"/>
  <c r="AA228" i="1"/>
  <c r="AA229" i="1" s="1"/>
  <c r="W228" i="1"/>
  <c r="W229" i="1" s="1"/>
  <c r="S204" i="2"/>
  <c r="BE203" i="1" l="1"/>
  <c r="BA203" i="1"/>
  <c r="AL203" i="1"/>
  <c r="AR203" i="1" s="1"/>
  <c r="AG203" i="1"/>
  <c r="AI210" i="1" s="1"/>
  <c r="N203" i="1"/>
  <c r="K204" i="2"/>
  <c r="Q204" i="2" s="1"/>
  <c r="BK209" i="1" l="1"/>
  <c r="BG203" i="1"/>
  <c r="U204" i="2"/>
  <c r="M204" i="2"/>
  <c r="BM209" i="1" l="1"/>
  <c r="BE202" i="1"/>
  <c r="BA202" i="1"/>
  <c r="AL202" i="1"/>
  <c r="AR202" i="1" s="1"/>
  <c r="AG202" i="1"/>
  <c r="N202" i="1"/>
  <c r="S203" i="2"/>
  <c r="K203" i="2"/>
  <c r="M203" i="2" s="1"/>
  <c r="S202" i="2"/>
  <c r="BE201" i="1"/>
  <c r="BA201" i="1"/>
  <c r="AL201" i="1"/>
  <c r="AR201" i="1" s="1"/>
  <c r="AG201" i="1"/>
  <c r="N201" i="1"/>
  <c r="AP274" i="1" s="1"/>
  <c r="K202" i="2"/>
  <c r="Q202" i="2" s="1"/>
  <c r="AI209" i="1" l="1"/>
  <c r="BK207" i="1"/>
  <c r="BM207" i="1" s="1"/>
  <c r="BK208" i="1"/>
  <c r="BM208" i="1" s="1"/>
  <c r="AI208" i="1"/>
  <c r="BG202" i="1"/>
  <c r="U203" i="2"/>
  <c r="Q203" i="2"/>
  <c r="BG201" i="1"/>
  <c r="U202" i="2"/>
  <c r="M202" i="2"/>
  <c r="BE200" i="1" l="1"/>
  <c r="BA200" i="1"/>
  <c r="AL200" i="1"/>
  <c r="AR200" i="1" s="1"/>
  <c r="AG200" i="1"/>
  <c r="N200" i="1"/>
  <c r="S201" i="2"/>
  <c r="U201" i="2"/>
  <c r="K201" i="2"/>
  <c r="Q201" i="2" s="1"/>
  <c r="BG200" i="1" l="1"/>
  <c r="AI207" i="1"/>
  <c r="BK206" i="1"/>
  <c r="BM206" i="1" s="1"/>
  <c r="M201" i="2"/>
  <c r="S200" i="2" l="1"/>
  <c r="BE199" i="1" l="1"/>
  <c r="BA199" i="1"/>
  <c r="AL199" i="1"/>
  <c r="AR199" i="1" s="1"/>
  <c r="AG199" i="1"/>
  <c r="N199" i="1"/>
  <c r="K200" i="2"/>
  <c r="Q200" i="2" s="1"/>
  <c r="S199" i="2"/>
  <c r="AI206" i="1" l="1"/>
  <c r="BK205" i="1"/>
  <c r="BM205" i="1" s="1"/>
  <c r="U200" i="2"/>
  <c r="BG199" i="1"/>
  <c r="M200" i="2"/>
  <c r="BE198" i="1" l="1"/>
  <c r="BA198" i="1"/>
  <c r="AL198" i="1"/>
  <c r="AR198" i="1" s="1"/>
  <c r="AG198" i="1"/>
  <c r="N198" i="1"/>
  <c r="V226" i="2"/>
  <c r="K199" i="2"/>
  <c r="Q199" i="2" s="1"/>
  <c r="BK204" i="1" l="1"/>
  <c r="BM204" i="1" s="1"/>
  <c r="AI205" i="1"/>
  <c r="BG198" i="1"/>
  <c r="U199" i="2"/>
  <c r="M199" i="2"/>
  <c r="BE197" i="1"/>
  <c r="BA197" i="1"/>
  <c r="AL197" i="1"/>
  <c r="AR197" i="1" s="1"/>
  <c r="AG197" i="1"/>
  <c r="N197" i="1"/>
  <c r="S198" i="2"/>
  <c r="U198" i="2"/>
  <c r="K198" i="2"/>
  <c r="M198" i="2" s="1"/>
  <c r="BG197" i="1" l="1"/>
  <c r="BK203" i="1"/>
  <c r="BM203" i="1" s="1"/>
  <c r="AI204" i="1"/>
  <c r="Q198" i="2"/>
  <c r="S197" i="2"/>
  <c r="K197" i="2"/>
  <c r="Q197" i="2" s="1"/>
  <c r="AG196" i="1"/>
  <c r="BE196" i="1"/>
  <c r="BA196" i="1"/>
  <c r="AL196" i="1"/>
  <c r="N196" i="1"/>
  <c r="BK202" i="1" l="1"/>
  <c r="BM202" i="1" s="1"/>
  <c r="AI203" i="1"/>
  <c r="U197" i="2"/>
  <c r="M197" i="2"/>
  <c r="AR196" i="1"/>
  <c r="BG196" i="1"/>
  <c r="BE195" i="1"/>
  <c r="BA195" i="1"/>
  <c r="AL195" i="1"/>
  <c r="AR195" i="1" s="1"/>
  <c r="AG195" i="1"/>
  <c r="N195" i="1"/>
  <c r="BE194" i="1"/>
  <c r="BA194" i="1"/>
  <c r="AL194" i="1"/>
  <c r="AR194" i="1" s="1"/>
  <c r="AG194" i="1"/>
  <c r="N194" i="1"/>
  <c r="S196" i="2"/>
  <c r="K196" i="2"/>
  <c r="M196" i="2" s="1"/>
  <c r="AI202" i="1" l="1"/>
  <c r="AI201" i="1"/>
  <c r="BK200" i="1"/>
  <c r="BM200" i="1" s="1"/>
  <c r="BK201" i="1"/>
  <c r="BM201" i="1" s="1"/>
  <c r="BG195" i="1"/>
  <c r="BG194" i="1"/>
  <c r="U196" i="2"/>
  <c r="Q196" i="2"/>
  <c r="S195" i="2"/>
  <c r="K195" i="2"/>
  <c r="Q195" i="2" s="1"/>
  <c r="G225" i="1"/>
  <c r="G226" i="1" s="1"/>
  <c r="F225" i="1"/>
  <c r="F226" i="1" s="1"/>
  <c r="E225" i="1"/>
  <c r="E226" i="1" s="1"/>
  <c r="BE193" i="1"/>
  <c r="BA193" i="1"/>
  <c r="BK199" i="1" s="1"/>
  <c r="BM199" i="1" s="1"/>
  <c r="AL193" i="1"/>
  <c r="AR193" i="1" s="1"/>
  <c r="AG193" i="1"/>
  <c r="AI200" i="1" s="1"/>
  <c r="N193" i="1"/>
  <c r="S194" i="2"/>
  <c r="K194" i="2"/>
  <c r="M194" i="2" s="1"/>
  <c r="BE192" i="1"/>
  <c r="BA192" i="1"/>
  <c r="AL192" i="1"/>
  <c r="AR192" i="1" s="1"/>
  <c r="AG192" i="1"/>
  <c r="AI199" i="1" s="1"/>
  <c r="N192" i="1"/>
  <c r="S193" i="2"/>
  <c r="K193" i="2"/>
  <c r="Q193" i="2" s="1"/>
  <c r="BK198" i="1" l="1"/>
  <c r="BM198" i="1" s="1"/>
  <c r="U195" i="2"/>
  <c r="M195" i="2"/>
  <c r="BG193" i="1"/>
  <c r="U194" i="2"/>
  <c r="Q194" i="2"/>
  <c r="BG192" i="1"/>
  <c r="U193" i="2"/>
  <c r="M193" i="2"/>
  <c r="S192" i="2" l="1"/>
  <c r="BE191" i="1" l="1"/>
  <c r="BA191" i="1"/>
  <c r="AL191" i="1"/>
  <c r="AR191" i="1" s="1"/>
  <c r="AG191" i="1"/>
  <c r="N191" i="1"/>
  <c r="AI198" i="1" l="1"/>
  <c r="BK197" i="1"/>
  <c r="BM197" i="1" s="1"/>
  <c r="BG191" i="1"/>
  <c r="K192" i="2"/>
  <c r="M192" i="2" s="1"/>
  <c r="BE190" i="1"/>
  <c r="BA190" i="1"/>
  <c r="AL190" i="1"/>
  <c r="AR190" i="1" s="1"/>
  <c r="AG190" i="1"/>
  <c r="N190" i="1"/>
  <c r="S191" i="2"/>
  <c r="K191" i="2"/>
  <c r="M191" i="2" s="1"/>
  <c r="S190" i="2"/>
  <c r="AI197" i="1" l="1"/>
  <c r="BK196" i="1"/>
  <c r="BM196" i="1" s="1"/>
  <c r="U192" i="2"/>
  <c r="Q192" i="2"/>
  <c r="BG190" i="1"/>
  <c r="U191" i="2"/>
  <c r="Q191" i="2"/>
  <c r="BE189" i="1" l="1"/>
  <c r="BA189" i="1"/>
  <c r="BK195" i="1" s="1"/>
  <c r="BM195" i="1" s="1"/>
  <c r="AL189" i="1"/>
  <c r="AR189" i="1" s="1"/>
  <c r="AG189" i="1"/>
  <c r="AI196" i="1" s="1"/>
  <c r="N189" i="1"/>
  <c r="K190" i="2"/>
  <c r="Q190" i="2" s="1"/>
  <c r="S189" i="2"/>
  <c r="BG189" i="1" l="1"/>
  <c r="U190" i="2"/>
  <c r="M190" i="2"/>
  <c r="BE188" i="1" l="1"/>
  <c r="BA188" i="1"/>
  <c r="BK194" i="1" s="1"/>
  <c r="AL188" i="1"/>
  <c r="AG188" i="1"/>
  <c r="AI195" i="1" s="1"/>
  <c r="N188" i="1"/>
  <c r="K189" i="2"/>
  <c r="Q189" i="2" s="1"/>
  <c r="BM194" i="1" l="1"/>
  <c r="BK230" i="1"/>
  <c r="AR188" i="1"/>
  <c r="BG188" i="1"/>
  <c r="U189" i="2"/>
  <c r="M189" i="2"/>
  <c r="BE187" i="1"/>
  <c r="BA187" i="1"/>
  <c r="BK193" i="1" s="1"/>
  <c r="BM193" i="1" s="1"/>
  <c r="AL187" i="1"/>
  <c r="AR187" i="1" s="1"/>
  <c r="AG187" i="1"/>
  <c r="AI194" i="1" s="1"/>
  <c r="S188" i="2"/>
  <c r="K188" i="2"/>
  <c r="M188" i="2" s="1"/>
  <c r="N187" i="1"/>
  <c r="BE186" i="1"/>
  <c r="BA186" i="1"/>
  <c r="AL186" i="1"/>
  <c r="AR186" i="1" s="1"/>
  <c r="AG186" i="1"/>
  <c r="AI193" i="1" s="1"/>
  <c r="Q186" i="1"/>
  <c r="N186" i="1"/>
  <c r="S187" i="2"/>
  <c r="K187" i="2"/>
  <c r="Q187" i="2" s="1"/>
  <c r="BE185" i="1"/>
  <c r="BA185" i="1"/>
  <c r="AL185" i="1"/>
  <c r="AR185" i="1" s="1"/>
  <c r="AG185" i="1"/>
  <c r="AI192" i="1" s="1"/>
  <c r="Q185" i="1"/>
  <c r="N185" i="1"/>
  <c r="S186" i="2"/>
  <c r="K186" i="2"/>
  <c r="Q186" i="2" s="1"/>
  <c r="BK191" i="1" l="1"/>
  <c r="BM191" i="1" s="1"/>
  <c r="BK192" i="1"/>
  <c r="BM192" i="1" s="1"/>
  <c r="BG187" i="1"/>
  <c r="U188" i="2"/>
  <c r="Q188" i="2"/>
  <c r="BG186" i="1"/>
  <c r="U187" i="2"/>
  <c r="M187" i="2"/>
  <c r="BG185" i="1"/>
  <c r="U186" i="2"/>
  <c r="M186" i="2"/>
  <c r="BE184" i="1" l="1"/>
  <c r="BA184" i="1"/>
  <c r="BK190" i="1" s="1"/>
  <c r="BM190" i="1" s="1"/>
  <c r="AL184" i="1"/>
  <c r="AG184" i="1"/>
  <c r="AI191" i="1" s="1"/>
  <c r="Q184" i="1"/>
  <c r="N184" i="1"/>
  <c r="S185" i="2"/>
  <c r="K185" i="2"/>
  <c r="M185" i="2" s="1"/>
  <c r="BG184" i="1" l="1"/>
  <c r="AR184" i="1"/>
  <c r="U185" i="2"/>
  <c r="Q185" i="2"/>
  <c r="BE183" i="1" l="1"/>
  <c r="BA183" i="1"/>
  <c r="BK189" i="1" s="1"/>
  <c r="BM189" i="1" s="1"/>
  <c r="AL183" i="1"/>
  <c r="AR183" i="1" s="1"/>
  <c r="AG183" i="1"/>
  <c r="AI190" i="1" s="1"/>
  <c r="Q183" i="1"/>
  <c r="N183" i="1"/>
  <c r="S184" i="2"/>
  <c r="K184" i="2"/>
  <c r="Q184" i="2" s="1"/>
  <c r="BG183" i="1" l="1"/>
  <c r="U184" i="2"/>
  <c r="M184" i="2"/>
  <c r="S183" i="2"/>
  <c r="BE182" i="1" l="1"/>
  <c r="BA182" i="1"/>
  <c r="BK188" i="1" s="1"/>
  <c r="BM188" i="1" s="1"/>
  <c r="AL182" i="1"/>
  <c r="AR182" i="1" s="1"/>
  <c r="AG182" i="1"/>
  <c r="AI189" i="1" s="1"/>
  <c r="Q182" i="1"/>
  <c r="N182" i="1"/>
  <c r="K183" i="2"/>
  <c r="M183" i="2" s="1"/>
  <c r="BE181" i="1"/>
  <c r="BA181" i="1"/>
  <c r="AL181" i="1"/>
  <c r="AR181" i="1" s="1"/>
  <c r="AG181" i="1"/>
  <c r="AI188" i="1" s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BC230" i="1" l="1"/>
  <c r="BE230" i="1" s="1"/>
  <c r="S186" i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U183" i="2"/>
  <c r="BG182" i="1"/>
  <c r="Q183" i="2"/>
  <c r="BG181" i="1"/>
  <c r="Q182" i="2"/>
  <c r="BG180" i="1"/>
  <c r="U181" i="2"/>
  <c r="Q181" i="2"/>
  <c r="M180" i="2"/>
  <c r="Q180" i="2"/>
  <c r="BG179" i="1"/>
  <c r="BG178" i="1"/>
  <c r="U179" i="2"/>
  <c r="M179" i="2"/>
  <c r="BG177" i="1"/>
  <c r="U178" i="2"/>
  <c r="Q178" i="2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BK228" i="1" l="1"/>
  <c r="BK231" i="1"/>
  <c r="AI183" i="1"/>
  <c r="BM187" i="1"/>
  <c r="BK182" i="1"/>
  <c r="BM182" i="1" s="1"/>
  <c r="BG176" i="1"/>
  <c r="Q177" i="2"/>
  <c r="U177" i="2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BE174" i="1" l="1"/>
  <c r="BA174" i="1"/>
  <c r="AL174" i="1"/>
  <c r="AR174" i="1" s="1"/>
  <c r="AG174" i="1"/>
  <c r="Q174" i="1"/>
  <c r="S181" i="1" s="1"/>
  <c r="N174" i="1"/>
  <c r="K175" i="2"/>
  <c r="Q175" i="2" s="1"/>
  <c r="AI181" i="1" l="1"/>
  <c r="BK180" i="1"/>
  <c r="BG174" i="1"/>
  <c r="U175" i="2"/>
  <c r="M175" i="2"/>
  <c r="S174" i="2"/>
  <c r="BE173" i="1"/>
  <c r="BA173" i="1"/>
  <c r="AL173" i="1"/>
  <c r="AR173" i="1" s="1"/>
  <c r="AG173" i="1"/>
  <c r="Q173" i="1"/>
  <c r="N173" i="1"/>
  <c r="K174" i="2"/>
  <c r="Q174" i="2" s="1"/>
  <c r="S173" i="2"/>
  <c r="BA235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M180" i="1"/>
  <c r="AI179" i="1"/>
  <c r="BK178" i="1"/>
  <c r="BM178" i="1" s="1"/>
  <c r="AI180" i="1"/>
  <c r="S180" i="1"/>
  <c r="BG173" i="1"/>
  <c r="U174" i="2"/>
  <c r="M174" i="2"/>
  <c r="BG172" i="1"/>
  <c r="AR172" i="1"/>
  <c r="U173" i="2"/>
  <c r="M173" i="2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BE170" i="1" l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BE169" i="1" l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BE168" i="1" l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BE166" i="1" l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BG166" i="1"/>
  <c r="U166" i="2"/>
  <c r="Q166" i="2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75" i="1"/>
  <c r="AP276" i="1" s="1"/>
  <c r="U160" i="2"/>
  <c r="BG159" i="1"/>
  <c r="Q160" i="2"/>
  <c r="BG158" i="1"/>
  <c r="U159" i="2"/>
  <c r="M159" i="2"/>
  <c r="BM166" i="1" l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BE154" i="1" l="1"/>
  <c r="BA154" i="1"/>
  <c r="AL154" i="1"/>
  <c r="AG154" i="1"/>
  <c r="Q154" i="1"/>
  <c r="S161" i="1" s="1"/>
  <c r="K155" i="2"/>
  <c r="Q155" i="2" s="1"/>
  <c r="H270" i="1"/>
  <c r="H271" i="1"/>
  <c r="J271" i="1" s="1"/>
  <c r="H272" i="1"/>
  <c r="J272" i="1" s="1"/>
  <c r="S154" i="2"/>
  <c r="O272" i="1" l="1"/>
  <c r="AI154" i="1"/>
  <c r="AI161" i="1"/>
  <c r="BK160" i="1"/>
  <c r="BM160" i="1" s="1"/>
  <c r="AR154" i="1"/>
  <c r="BG154" i="1"/>
  <c r="U155" i="2"/>
  <c r="M155" i="2"/>
  <c r="J270" i="1"/>
  <c r="J277" i="1" s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O273" i="1" l="1"/>
  <c r="AA272" i="1"/>
  <c r="BG153" i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217" i="3"/>
  <c r="F216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C229" i="1" l="1"/>
  <c r="BE229" i="1" s="1"/>
  <c r="BK150" i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48" i="1" l="1"/>
  <c r="AR243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47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V209" i="1" l="1"/>
  <c r="V210" i="1" s="1"/>
  <c r="V211" i="1" s="1"/>
  <c r="V212" i="1" s="1"/>
  <c r="V213" i="1" s="1"/>
  <c r="BG135" i="1"/>
  <c r="U136" i="2"/>
  <c r="S135" i="2"/>
  <c r="V214" i="1" l="1"/>
  <c r="BE134" i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52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46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42" i="1" s="1"/>
  <c r="AH113" i="1"/>
  <c r="AP242" i="1" s="1"/>
  <c r="BE124" i="1"/>
  <c r="BA124" i="1"/>
  <c r="AL124" i="1"/>
  <c r="AG124" i="1"/>
  <c r="AI131" i="1" s="1"/>
  <c r="K125" i="2"/>
  <c r="S124" i="2"/>
  <c r="AV242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59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H229" i="1" s="1"/>
  <c r="AG246" i="1" l="1"/>
  <c r="AP243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43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BC231" i="1" s="1"/>
  <c r="BE231" i="1" s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98" i="3"/>
  <c r="AA197" i="3"/>
  <c r="AA196" i="3"/>
  <c r="AA195" i="3"/>
  <c r="AA194" i="3"/>
  <c r="AA193" i="3"/>
  <c r="AA192" i="3"/>
  <c r="AA191" i="3"/>
  <c r="AA190" i="3"/>
  <c r="AA189" i="3"/>
  <c r="AJ199" i="3"/>
  <c r="AJ202" i="3" s="1"/>
  <c r="Y199" i="3"/>
  <c r="W199" i="3"/>
  <c r="S107" i="2"/>
  <c r="AA199" i="3" l="1"/>
  <c r="AA202" i="3" s="1"/>
  <c r="U199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Q47" i="1"/>
  <c r="Q48" i="1" s="1"/>
  <c r="Q40" i="1"/>
  <c r="Q33" i="1"/>
  <c r="BE89" i="1"/>
  <c r="BA89" i="1"/>
  <c r="AL89" i="1"/>
  <c r="AR89" i="1" s="1"/>
  <c r="AG89" i="1"/>
  <c r="AI96" i="1" s="1"/>
  <c r="Q89" i="1"/>
  <c r="S54" i="1" l="1"/>
  <c r="S82" i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210" i="3"/>
  <c r="F213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41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M82" i="1" s="1"/>
  <c r="BK83" i="1"/>
  <c r="M78" i="2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41" i="1"/>
  <c r="I60" i="3"/>
  <c r="AH214" i="1" l="1"/>
  <c r="AH213" i="1"/>
  <c r="AH210" i="1"/>
  <c r="AH212" i="1"/>
  <c r="AH211" i="1"/>
  <c r="AH209" i="1"/>
  <c r="AH208" i="1"/>
  <c r="AH207" i="1"/>
  <c r="AH206" i="1"/>
  <c r="AH205" i="1"/>
  <c r="AH204" i="1"/>
  <c r="AH203" i="1"/>
  <c r="AH202" i="1"/>
  <c r="AH201" i="1"/>
  <c r="AH200" i="1"/>
  <c r="AH199" i="1"/>
  <c r="AH196" i="1"/>
  <c r="AH197" i="1"/>
  <c r="AH198" i="1"/>
  <c r="AH195" i="1"/>
  <c r="AH194" i="1"/>
  <c r="AH192" i="1"/>
  <c r="AH193" i="1"/>
  <c r="AH191" i="1"/>
  <c r="AH190" i="1"/>
  <c r="AH189" i="1"/>
  <c r="AH187" i="1"/>
  <c r="AH188" i="1"/>
  <c r="AH186" i="1"/>
  <c r="AH185" i="1"/>
  <c r="AH184" i="1"/>
  <c r="AH181" i="1"/>
  <c r="AH182" i="1"/>
  <c r="AH178" i="1"/>
  <c r="AH179" i="1"/>
  <c r="AH180" i="1"/>
  <c r="AH177" i="1"/>
  <c r="AH183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58" i="1"/>
  <c r="AH156" i="1"/>
  <c r="AH157" i="1"/>
  <c r="AH155" i="1"/>
  <c r="AH154" i="1"/>
  <c r="AH164" i="1"/>
  <c r="AH160" i="1"/>
  <c r="AH163" i="1"/>
  <c r="AH159" i="1"/>
  <c r="AH162" i="1"/>
  <c r="AH161" i="1"/>
  <c r="AH153" i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41" i="1"/>
  <c r="AV241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200" i="3" l="1"/>
  <c r="I197" i="3"/>
  <c r="L197" i="3" s="1"/>
  <c r="I78" i="3"/>
  <c r="I80" i="3" s="1"/>
  <c r="I77" i="3"/>
  <c r="BE64" i="1"/>
  <c r="BA64" i="1"/>
  <c r="AL64" i="1"/>
  <c r="AR64" i="1" s="1"/>
  <c r="K65" i="2"/>
  <c r="Y19" i="3"/>
  <c r="Q66" i="2" l="1"/>
  <c r="M66" i="2"/>
  <c r="L200" i="3"/>
  <c r="I79" i="3"/>
  <c r="I81" i="3" s="1"/>
  <c r="I82" i="3" s="1"/>
  <c r="BG64" i="1"/>
  <c r="U65" i="2"/>
  <c r="S64" i="2"/>
  <c r="N81" i="3" l="1"/>
  <c r="N82" i="3" s="1"/>
  <c r="I199" i="3"/>
  <c r="L199" i="3" s="1"/>
  <c r="K64" i="2"/>
  <c r="BE63" i="1"/>
  <c r="BA63" i="1"/>
  <c r="AL63" i="1"/>
  <c r="AR63" i="1" s="1"/>
  <c r="Y18" i="3"/>
  <c r="Q65" i="2" l="1"/>
  <c r="M65" i="2"/>
  <c r="I201" i="3"/>
  <c r="U64" i="2"/>
  <c r="BG63" i="1"/>
  <c r="L190" i="3" l="1"/>
  <c r="L201" i="3"/>
  <c r="L189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38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U157" i="3" l="1"/>
  <c r="U158" i="3" s="1"/>
  <c r="U159" i="3" s="1"/>
  <c r="U160" i="3" s="1"/>
  <c r="U161" i="3" s="1"/>
  <c r="U162" i="3" s="1"/>
  <c r="U181" i="3" s="1"/>
  <c r="C167" i="2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83" i="1"/>
  <c r="B286" i="1"/>
  <c r="C196" i="2" l="1"/>
  <c r="C197" i="2" s="1"/>
  <c r="C198" i="2" s="1"/>
  <c r="C199" i="2" s="1"/>
  <c r="C200" i="2" s="1"/>
  <c r="C201" i="2" s="1"/>
  <c r="W147" i="2"/>
  <c r="W148" i="2" s="1"/>
  <c r="BM54" i="1"/>
  <c r="BW19" i="1"/>
  <c r="AX18" i="1"/>
  <c r="BG48" i="1"/>
  <c r="BE47" i="1"/>
  <c r="BA47" i="1"/>
  <c r="AL47" i="1"/>
  <c r="AR47" i="1" s="1"/>
  <c r="C202" i="2" l="1"/>
  <c r="C203" i="2" s="1"/>
  <c r="C204" i="2" s="1"/>
  <c r="C205" i="2" s="1"/>
  <c r="C206" i="2" s="1"/>
  <c r="W149" i="2"/>
  <c r="BW20" i="1"/>
  <c r="AX19" i="1"/>
  <c r="BG47" i="1"/>
  <c r="BE46" i="1"/>
  <c r="BA46" i="1"/>
  <c r="AL46" i="1"/>
  <c r="AR46" i="1" s="1"/>
  <c r="C207" i="2" l="1"/>
  <c r="C208" i="2" s="1"/>
  <c r="C209" i="2" s="1"/>
  <c r="C210" i="2" s="1"/>
  <c r="C211" i="2" s="1"/>
  <c r="C212" i="2" s="1"/>
  <c r="C213" i="2" s="1"/>
  <c r="C214" i="2" s="1"/>
  <c r="C215" i="2" s="1"/>
  <c r="W150" i="2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W202" i="2" s="1"/>
  <c r="W203" i="2" s="1"/>
  <c r="W204" i="2" s="1"/>
  <c r="W205" i="2" s="1"/>
  <c r="W206" i="2" s="1"/>
  <c r="BW33" i="1"/>
  <c r="AX32" i="1"/>
  <c r="BE37" i="1"/>
  <c r="BA37" i="1"/>
  <c r="AL37" i="1"/>
  <c r="AR37" i="1" s="1"/>
  <c r="BE36" i="1"/>
  <c r="BA36" i="1"/>
  <c r="AL36" i="1"/>
  <c r="AR36" i="1" s="1"/>
  <c r="W207" i="2" l="1"/>
  <c r="W208" i="2" s="1"/>
  <c r="W209" i="2" s="1"/>
  <c r="W210" i="2" s="1"/>
  <c r="W211" i="2" s="1"/>
  <c r="W212" i="2" s="1"/>
  <c r="W213" i="2" s="1"/>
  <c r="W214" i="2" s="1"/>
  <c r="W215" i="2" s="1"/>
  <c r="W224" i="2" s="1"/>
  <c r="BW34" i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40" i="1"/>
  <c r="BW43" i="1"/>
  <c r="BN43" i="1" s="1"/>
  <c r="AX42" i="1"/>
  <c r="BE24" i="1"/>
  <c r="BC24" i="1"/>
  <c r="AR245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47" i="1" l="1"/>
  <c r="AV247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40" i="1" l="1"/>
  <c r="AV240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206" i="1" l="1"/>
  <c r="B207" i="1" s="1"/>
  <c r="B208" i="1" s="1"/>
  <c r="B209" i="1" s="1"/>
  <c r="B210" i="1" s="1"/>
  <c r="B211" i="1" s="1"/>
  <c r="B212" i="1" s="1"/>
  <c r="B213" i="1" s="1"/>
  <c r="B214" i="1" s="1"/>
  <c r="BW60" i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37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201" i="3"/>
  <c r="Y202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201" i="3"/>
  <c r="W202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H114" i="1" s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J238" i="1"/>
  <c r="J239" i="1" s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W196" i="1" s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197" i="1" l="1"/>
  <c r="AX196" i="1"/>
  <c r="BN196" i="1"/>
  <c r="BN195" i="1"/>
  <c r="AX195" i="1"/>
  <c r="BR179" i="1"/>
  <c r="BP180" i="1"/>
  <c r="AA161" i="1"/>
  <c r="AE160" i="1"/>
  <c r="J130" i="1"/>
  <c r="H130" i="1"/>
  <c r="O129" i="1"/>
  <c r="AV129" i="1"/>
  <c r="AC129" i="1"/>
  <c r="BW198" i="1" l="1"/>
  <c r="AX197" i="1"/>
  <c r="BN197" i="1"/>
  <c r="BR180" i="1"/>
  <c r="BP181" i="1"/>
  <c r="BP182" i="1" s="1"/>
  <c r="AE161" i="1"/>
  <c r="AA162" i="1"/>
  <c r="AA163" i="1" s="1"/>
  <c r="AV130" i="1"/>
  <c r="J131" i="1"/>
  <c r="H131" i="1"/>
  <c r="O130" i="1"/>
  <c r="AC130" i="1"/>
  <c r="BW199" i="1" l="1"/>
  <c r="BN198" i="1"/>
  <c r="AX198" i="1"/>
  <c r="BP183" i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N199" i="1" l="1"/>
  <c r="BW200" i="1"/>
  <c r="AX199" i="1"/>
  <c r="BP184" i="1"/>
  <c r="BP185" i="1" s="1"/>
  <c r="BR183" i="1"/>
  <c r="AA165" i="1"/>
  <c r="AE164" i="1"/>
  <c r="J133" i="1"/>
  <c r="H133" i="1"/>
  <c r="O132" i="1"/>
  <c r="AV132" i="1"/>
  <c r="AC132" i="1"/>
  <c r="AX200" i="1" l="1"/>
  <c r="BW201" i="1"/>
  <c r="BN200" i="1"/>
  <c r="BP186" i="1"/>
  <c r="BR185" i="1"/>
  <c r="BR184" i="1"/>
  <c r="AE165" i="1"/>
  <c r="AA166" i="1"/>
  <c r="AV133" i="1"/>
  <c r="H134" i="1"/>
  <c r="J134" i="1"/>
  <c r="O133" i="1"/>
  <c r="AC133" i="1"/>
  <c r="AX201" i="1" l="1"/>
  <c r="BW202" i="1"/>
  <c r="BN201" i="1"/>
  <c r="BR186" i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N202" i="1" l="1"/>
  <c r="AX202" i="1"/>
  <c r="BW203" i="1"/>
  <c r="BR188" i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W204" i="1" l="1"/>
  <c r="BN203" i="1"/>
  <c r="AX203" i="1"/>
  <c r="BR189" i="1"/>
  <c r="BP190" i="1"/>
  <c r="AE170" i="1"/>
  <c r="AA171" i="1"/>
  <c r="O136" i="1"/>
  <c r="J137" i="1"/>
  <c r="H137" i="1"/>
  <c r="AV136" i="1"/>
  <c r="AC136" i="1"/>
  <c r="AX204" i="1" l="1"/>
  <c r="BW205" i="1"/>
  <c r="BW206" i="1" s="1"/>
  <c r="BN204" i="1"/>
  <c r="BR190" i="1"/>
  <c r="BP191" i="1"/>
  <c r="AA172" i="1"/>
  <c r="AE171" i="1"/>
  <c r="AV137" i="1"/>
  <c r="J138" i="1"/>
  <c r="H138" i="1"/>
  <c r="O137" i="1"/>
  <c r="AC137" i="1"/>
  <c r="AX206" i="1" l="1"/>
  <c r="BW207" i="1"/>
  <c r="BN206" i="1"/>
  <c r="BN205" i="1"/>
  <c r="AX205" i="1"/>
  <c r="BR191" i="1"/>
  <c r="BP192" i="1"/>
  <c r="AE172" i="1"/>
  <c r="AA173" i="1"/>
  <c r="AA174" i="1" s="1"/>
  <c r="J139" i="1"/>
  <c r="H139" i="1"/>
  <c r="AV138" i="1"/>
  <c r="O138" i="1"/>
  <c r="AC138" i="1"/>
  <c r="BN207" i="1" l="1"/>
  <c r="AX207" i="1"/>
  <c r="BW208" i="1"/>
  <c r="BP193" i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W209" i="1" l="1"/>
  <c r="AX208" i="1"/>
  <c r="BN208" i="1"/>
  <c r="BR193" i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N209" i="1" l="1"/>
  <c r="AX209" i="1"/>
  <c r="BW210" i="1"/>
  <c r="BR194" i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W211" i="1" l="1"/>
  <c r="AX210" i="1"/>
  <c r="BN210" i="1"/>
  <c r="BR196" i="1"/>
  <c r="BP197" i="1"/>
  <c r="BR195" i="1"/>
  <c r="AE177" i="1"/>
  <c r="AA178" i="1"/>
  <c r="H143" i="1"/>
  <c r="J143" i="1"/>
  <c r="O142" i="1"/>
  <c r="AV142" i="1"/>
  <c r="AC142" i="1"/>
  <c r="AA96" i="3"/>
  <c r="AA97" i="3"/>
  <c r="BW212" i="1" l="1"/>
  <c r="AX211" i="1"/>
  <c r="BN211" i="1"/>
  <c r="BR197" i="1"/>
  <c r="BP198" i="1"/>
  <c r="AE178" i="1"/>
  <c r="AA179" i="1"/>
  <c r="O143" i="1"/>
  <c r="J144" i="1"/>
  <c r="H144" i="1"/>
  <c r="AV143" i="1"/>
  <c r="AC143" i="1"/>
  <c r="AX212" i="1" l="1"/>
  <c r="BN212" i="1"/>
  <c r="BW213" i="1"/>
  <c r="BR198" i="1"/>
  <c r="BP199" i="1"/>
  <c r="BP200" i="1" s="1"/>
  <c r="AA180" i="1"/>
  <c r="AE179" i="1"/>
  <c r="O144" i="1"/>
  <c r="H145" i="1"/>
  <c r="J145" i="1"/>
  <c r="AV144" i="1"/>
  <c r="AC144" i="1"/>
  <c r="BW214" i="1" l="1"/>
  <c r="BN213" i="1"/>
  <c r="AX213" i="1"/>
  <c r="BR200" i="1"/>
  <c r="BP201" i="1"/>
  <c r="BR199" i="1"/>
  <c r="AE180" i="1"/>
  <c r="AA181" i="1"/>
  <c r="AA182" i="1" s="1"/>
  <c r="J146" i="1"/>
  <c r="H146" i="1"/>
  <c r="AV145" i="1"/>
  <c r="O145" i="1"/>
  <c r="AC145" i="1"/>
  <c r="BW223" i="1" l="1"/>
  <c r="BN214" i="1"/>
  <c r="AX214" i="1"/>
  <c r="BR201" i="1"/>
  <c r="BP202" i="1"/>
  <c r="AE182" i="1"/>
  <c r="AA183" i="1"/>
  <c r="AE181" i="1"/>
  <c r="J147" i="1"/>
  <c r="H147" i="1"/>
  <c r="O146" i="1"/>
  <c r="AV146" i="1"/>
  <c r="AC146" i="1"/>
  <c r="BR202" i="1" l="1"/>
  <c r="BP203" i="1"/>
  <c r="AA184" i="1"/>
  <c r="AA185" i="1" s="1"/>
  <c r="AE183" i="1"/>
  <c r="AV147" i="1"/>
  <c r="H148" i="1"/>
  <c r="J148" i="1"/>
  <c r="O147" i="1"/>
  <c r="AC147" i="1"/>
  <c r="BR203" i="1" l="1"/>
  <c r="BP204" i="1"/>
  <c r="AE185" i="1"/>
  <c r="AA186" i="1"/>
  <c r="AE184" i="1"/>
  <c r="O148" i="1"/>
  <c r="J149" i="1"/>
  <c r="H149" i="1"/>
  <c r="AV148" i="1"/>
  <c r="AC148" i="1"/>
  <c r="AA103" i="3"/>
  <c r="AA100" i="3"/>
  <c r="BR204" i="1" l="1"/>
  <c r="BP205" i="1"/>
  <c r="BP206" i="1" s="1"/>
  <c r="AA187" i="1"/>
  <c r="AA188" i="1" s="1"/>
  <c r="AE186" i="1"/>
  <c r="H150" i="1"/>
  <c r="J150" i="1"/>
  <c r="O149" i="1"/>
  <c r="AV149" i="1"/>
  <c r="AC149" i="1"/>
  <c r="AA101" i="3"/>
  <c r="AA102" i="3"/>
  <c r="BR206" i="1" l="1"/>
  <c r="BP207" i="1"/>
  <c r="BR205" i="1"/>
  <c r="AE188" i="1"/>
  <c r="AA189" i="1"/>
  <c r="AE187" i="1"/>
  <c r="J151" i="1"/>
  <c r="H151" i="1"/>
  <c r="O150" i="1"/>
  <c r="AV150" i="1"/>
  <c r="AC150" i="1"/>
  <c r="BP208" i="1" l="1"/>
  <c r="BR207" i="1"/>
  <c r="AE189" i="1"/>
  <c r="AA190" i="1"/>
  <c r="O151" i="1"/>
  <c r="AV151" i="1"/>
  <c r="J152" i="1"/>
  <c r="H152" i="1"/>
  <c r="AC151" i="1"/>
  <c r="BR208" i="1" l="1"/>
  <c r="BP209" i="1"/>
  <c r="BP210" i="1" s="1"/>
  <c r="AE190" i="1"/>
  <c r="AA191" i="1"/>
  <c r="J153" i="1"/>
  <c r="H153" i="1"/>
  <c r="O152" i="1"/>
  <c r="AV152" i="1"/>
  <c r="AC152" i="1"/>
  <c r="AA105" i="3"/>
  <c r="AA106" i="3"/>
  <c r="AA104" i="3"/>
  <c r="BR210" i="1" l="1"/>
  <c r="BP211" i="1"/>
  <c r="BR209" i="1"/>
  <c r="AA192" i="1"/>
  <c r="AE191" i="1"/>
  <c r="J154" i="1"/>
  <c r="H154" i="1"/>
  <c r="O153" i="1"/>
  <c r="AV153" i="1"/>
  <c r="AC153" i="1"/>
  <c r="BR211" i="1" l="1"/>
  <c r="BP212" i="1"/>
  <c r="AE192" i="1"/>
  <c r="AA193" i="1"/>
  <c r="AV154" i="1"/>
  <c r="J155" i="1"/>
  <c r="H155" i="1"/>
  <c r="O154" i="1"/>
  <c r="AC154" i="1"/>
  <c r="BR212" i="1" l="1"/>
  <c r="BP213" i="1"/>
  <c r="AE193" i="1"/>
  <c r="AA194" i="1"/>
  <c r="J156" i="1"/>
  <c r="H156" i="1"/>
  <c r="AV155" i="1"/>
  <c r="O155" i="1"/>
  <c r="AC155" i="1"/>
  <c r="AA108" i="3"/>
  <c r="AA109" i="3"/>
  <c r="AA107" i="3"/>
  <c r="BR213" i="1" l="1"/>
  <c r="BP214" i="1"/>
  <c r="AE194" i="1"/>
  <c r="AA195" i="1"/>
  <c r="AA196" i="1" s="1"/>
  <c r="AV156" i="1"/>
  <c r="J157" i="1"/>
  <c r="H157" i="1"/>
  <c r="O156" i="1"/>
  <c r="AC156" i="1"/>
  <c r="BR214" i="1" l="1"/>
  <c r="AE196" i="1"/>
  <c r="AA197" i="1"/>
  <c r="AE195" i="1"/>
  <c r="O157" i="1"/>
  <c r="J158" i="1"/>
  <c r="H158" i="1"/>
  <c r="AV157" i="1"/>
  <c r="AC157" i="1"/>
  <c r="AA198" i="1" l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A199" i="1" l="1"/>
  <c r="AA200" i="1" s="1"/>
  <c r="AE198" i="1"/>
  <c r="AV159" i="1"/>
  <c r="J160" i="1"/>
  <c r="H160" i="1"/>
  <c r="O159" i="1"/>
  <c r="AC159" i="1"/>
  <c r="AA201" i="1" l="1"/>
  <c r="AE200" i="1"/>
  <c r="AE199" i="1"/>
  <c r="O160" i="1"/>
  <c r="H161" i="1"/>
  <c r="J161" i="1"/>
  <c r="AV160" i="1"/>
  <c r="AC160" i="1"/>
  <c r="AE201" i="1" l="1"/>
  <c r="AA202" i="1"/>
  <c r="O161" i="1"/>
  <c r="H162" i="1"/>
  <c r="J162" i="1"/>
  <c r="AV161" i="1"/>
  <c r="AC161" i="1"/>
  <c r="AA203" i="1" l="1"/>
  <c r="AE202" i="1"/>
  <c r="J163" i="1"/>
  <c r="H163" i="1"/>
  <c r="O162" i="1"/>
  <c r="AV162" i="1"/>
  <c r="AC162" i="1"/>
  <c r="AA204" i="1" l="1"/>
  <c r="AE203" i="1"/>
  <c r="O163" i="1"/>
  <c r="J164" i="1"/>
  <c r="H164" i="1"/>
  <c r="AV163" i="1"/>
  <c r="AC163" i="1"/>
  <c r="AA205" i="1" l="1"/>
  <c r="AA206" i="1" s="1"/>
  <c r="H256" i="1"/>
  <c r="AE204" i="1"/>
  <c r="O164" i="1"/>
  <c r="H165" i="1"/>
  <c r="AV164" i="1"/>
  <c r="J165" i="1"/>
  <c r="AC164" i="1"/>
  <c r="AE206" i="1" l="1"/>
  <c r="AA207" i="1"/>
  <c r="AE205" i="1"/>
  <c r="O165" i="1"/>
  <c r="AV165" i="1"/>
  <c r="H166" i="1"/>
  <c r="J166" i="1"/>
  <c r="AC165" i="1"/>
  <c r="AA121" i="3"/>
  <c r="AA119" i="3"/>
  <c r="AA120" i="3"/>
  <c r="AA118" i="3"/>
  <c r="AE207" i="1" l="1"/>
  <c r="AA208" i="1"/>
  <c r="J167" i="1"/>
  <c r="O166" i="1"/>
  <c r="AV166" i="1"/>
  <c r="H167" i="1"/>
  <c r="AC166" i="1"/>
  <c r="AA209" i="1" l="1"/>
  <c r="AA210" i="1" s="1"/>
  <c r="AE208" i="1"/>
  <c r="H168" i="1"/>
  <c r="J168" i="1"/>
  <c r="O167" i="1"/>
  <c r="AV167" i="1"/>
  <c r="AC167" i="1"/>
  <c r="AE210" i="1" l="1"/>
  <c r="AA211" i="1"/>
  <c r="AE209" i="1"/>
  <c r="J169" i="1"/>
  <c r="H169" i="1"/>
  <c r="AV168" i="1"/>
  <c r="O168" i="1"/>
  <c r="AC168" i="1"/>
  <c r="AE211" i="1" l="1"/>
  <c r="AA212" i="1"/>
  <c r="O169" i="1"/>
  <c r="J170" i="1"/>
  <c r="H170" i="1"/>
  <c r="AV169" i="1"/>
  <c r="AC169" i="1"/>
  <c r="AE212" i="1" l="1"/>
  <c r="AA213" i="1"/>
  <c r="AV170" i="1"/>
  <c r="H171" i="1"/>
  <c r="J171" i="1"/>
  <c r="O170" i="1"/>
  <c r="AC170" i="1"/>
  <c r="AA127" i="3"/>
  <c r="AA128" i="3"/>
  <c r="AA125" i="3"/>
  <c r="AA126" i="3"/>
  <c r="AA123" i="3"/>
  <c r="AA124" i="3"/>
  <c r="AA122" i="3"/>
  <c r="AE213" i="1" l="1"/>
  <c r="AA214" i="1"/>
  <c r="O171" i="1"/>
  <c r="J172" i="1"/>
  <c r="H172" i="1"/>
  <c r="AV171" i="1"/>
  <c r="AC171" i="1"/>
  <c r="AE214" i="1" l="1"/>
  <c r="O172" i="1"/>
  <c r="J173" i="1"/>
  <c r="H173" i="1"/>
  <c r="AV172" i="1"/>
  <c r="AC172" i="1"/>
  <c r="I21" i="3" l="1"/>
  <c r="I35" i="3" s="1"/>
  <c r="AD49" i="2"/>
  <c r="AD51" i="2" s="1"/>
  <c r="AD53" i="2" s="1"/>
  <c r="AD55" i="2" s="1"/>
  <c r="AD57" i="2" s="1"/>
  <c r="AJ21" i="2"/>
  <c r="J174" i="1"/>
  <c r="H174" i="1"/>
  <c r="O173" i="1"/>
  <c r="AV173" i="1"/>
  <c r="AC173" i="1"/>
  <c r="O174" i="1" l="1"/>
  <c r="J175" i="1"/>
  <c r="H175" i="1"/>
  <c r="AV174" i="1"/>
  <c r="AC174" i="1"/>
  <c r="AV175" i="1" l="1"/>
  <c r="J176" i="1"/>
  <c r="H176" i="1"/>
  <c r="O175" i="1"/>
  <c r="AC175" i="1"/>
  <c r="O176" i="1" l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V177" i="1" l="1"/>
  <c r="H178" i="1"/>
  <c r="J178" i="1"/>
  <c r="O177" i="1"/>
  <c r="AC177" i="1"/>
  <c r="AV178" i="1" l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H188" i="1" l="1"/>
  <c r="J188" i="1"/>
  <c r="O187" i="1"/>
  <c r="AV187" i="1"/>
  <c r="AC187" i="1"/>
  <c r="AA140" i="3"/>
  <c r="AA141" i="3"/>
  <c r="AA139" i="3"/>
  <c r="AV188" i="1" l="1"/>
  <c r="J189" i="1"/>
  <c r="H189" i="1"/>
  <c r="O188" i="1"/>
  <c r="AC188" i="1"/>
  <c r="O189" i="1" l="1"/>
  <c r="J190" i="1"/>
  <c r="H190" i="1"/>
  <c r="AV189" i="1"/>
  <c r="AC189" i="1"/>
  <c r="O190" i="1" l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AV191" i="1" l="1"/>
  <c r="J192" i="1"/>
  <c r="H192" i="1"/>
  <c r="O191" i="1"/>
  <c r="AC191" i="1"/>
  <c r="J193" i="1" l="1"/>
  <c r="H193" i="1"/>
  <c r="AV192" i="1"/>
  <c r="O192" i="1"/>
  <c r="AC192" i="1"/>
  <c r="J194" i="1" l="1"/>
  <c r="H194" i="1"/>
  <c r="O193" i="1"/>
  <c r="AV193" i="1"/>
  <c r="AC193" i="1"/>
  <c r="AV194" i="1" l="1"/>
  <c r="J195" i="1"/>
  <c r="H195" i="1"/>
  <c r="O194" i="1"/>
  <c r="AC194" i="1"/>
  <c r="H196" i="1" l="1"/>
  <c r="J196" i="1"/>
  <c r="AV195" i="1"/>
  <c r="O195" i="1"/>
  <c r="AC195" i="1"/>
  <c r="AV196" i="1" l="1"/>
  <c r="J197" i="1"/>
  <c r="H197" i="1"/>
  <c r="O196" i="1"/>
  <c r="AC196" i="1"/>
  <c r="H198" i="1" l="1"/>
  <c r="J198" i="1"/>
  <c r="O197" i="1"/>
  <c r="AV197" i="1"/>
  <c r="AC197" i="1"/>
  <c r="J199" i="1" l="1"/>
  <c r="O198" i="1"/>
  <c r="H199" i="1"/>
  <c r="AV198" i="1"/>
  <c r="AC198" i="1"/>
  <c r="AA151" i="3"/>
  <c r="AA150" i="3"/>
  <c r="J200" i="1" l="1"/>
  <c r="H200" i="1"/>
  <c r="AV199" i="1"/>
  <c r="O199" i="1"/>
  <c r="AC199" i="1"/>
  <c r="AA152" i="3"/>
  <c r="AA153" i="3"/>
  <c r="O200" i="1" l="1"/>
  <c r="H201" i="1"/>
  <c r="J201" i="1"/>
  <c r="AV200" i="1"/>
  <c r="AC200" i="1"/>
  <c r="AV201" i="1" l="1"/>
  <c r="J202" i="1"/>
  <c r="H202" i="1"/>
  <c r="O201" i="1"/>
  <c r="AC201" i="1"/>
  <c r="AV202" i="1" l="1"/>
  <c r="H203" i="1"/>
  <c r="J203" i="1"/>
  <c r="O202" i="1"/>
  <c r="AC202" i="1"/>
  <c r="AA159" i="3"/>
  <c r="AA160" i="3"/>
  <c r="AA157" i="3"/>
  <c r="AA158" i="3"/>
  <c r="AA155" i="3"/>
  <c r="AA156" i="3"/>
  <c r="AA154" i="3"/>
  <c r="AV203" i="1" l="1"/>
  <c r="H204" i="1"/>
  <c r="J204" i="1"/>
  <c r="O203" i="1"/>
  <c r="AC203" i="1"/>
  <c r="AV204" i="1" l="1"/>
  <c r="H205" i="1"/>
  <c r="I20" i="3" s="1"/>
  <c r="I23" i="3" s="1"/>
  <c r="I25" i="3" s="1"/>
  <c r="I27" i="3" s="1"/>
  <c r="J205" i="1"/>
  <c r="O204" i="1"/>
  <c r="AC204" i="1"/>
  <c r="I34" i="3" l="1"/>
  <c r="N27" i="3"/>
  <c r="N28" i="3" s="1"/>
  <c r="H206" i="1"/>
  <c r="J206" i="1"/>
  <c r="AV205" i="1"/>
  <c r="O205" i="1"/>
  <c r="AC205" i="1"/>
  <c r="AV206" i="1" l="1"/>
  <c r="H207" i="1"/>
  <c r="J207" i="1"/>
  <c r="O206" i="1"/>
  <c r="AC206" i="1"/>
  <c r="O207" i="1" l="1"/>
  <c r="J208" i="1"/>
  <c r="H208" i="1"/>
  <c r="AV207" i="1"/>
  <c r="AC207" i="1"/>
  <c r="J209" i="1" l="1"/>
  <c r="H209" i="1"/>
  <c r="AV208" i="1"/>
  <c r="O208" i="1"/>
  <c r="AC208" i="1"/>
  <c r="AA162" i="3"/>
  <c r="AA163" i="3"/>
  <c r="AA161" i="3"/>
  <c r="J210" i="1" l="1"/>
  <c r="H210" i="1"/>
  <c r="AV209" i="1"/>
  <c r="O209" i="1"/>
  <c r="AC209" i="1"/>
  <c r="O210" i="1" l="1"/>
  <c r="H211" i="1"/>
  <c r="J211" i="1"/>
  <c r="AV210" i="1"/>
  <c r="AC210" i="1"/>
  <c r="O211" i="1" l="1"/>
  <c r="J212" i="1"/>
  <c r="H212" i="1"/>
  <c r="AV211" i="1"/>
  <c r="AC211" i="1"/>
  <c r="AV212" i="1" l="1"/>
  <c r="J213" i="1"/>
  <c r="H213" i="1"/>
  <c r="O212" i="1"/>
  <c r="AC212" i="1"/>
  <c r="AA169" i="3"/>
  <c r="AA167" i="3"/>
  <c r="AA168" i="3"/>
  <c r="AA165" i="3"/>
  <c r="AA166" i="3"/>
  <c r="AA164" i="3"/>
  <c r="AV213" i="1" l="1"/>
  <c r="J214" i="1"/>
  <c r="H214" i="1"/>
  <c r="O213" i="1"/>
  <c r="AC213" i="1"/>
  <c r="O214" i="1" l="1"/>
  <c r="AV214" i="1"/>
  <c r="AC214" i="1"/>
  <c r="I32" i="3" l="1"/>
  <c r="AF21" i="2"/>
  <c r="I36" i="3" l="1"/>
  <c r="L35" i="3"/>
  <c r="I28" i="3"/>
  <c r="L34" i="3"/>
  <c r="L32" i="3"/>
  <c r="L36" i="3" l="1"/>
  <c r="W170" i="3"/>
  <c r="AA170" i="3" s="1"/>
  <c r="Y170" i="3" l="1"/>
  <c r="Y12" i="3"/>
  <c r="Y121" i="3"/>
</calcChain>
</file>

<file path=xl/sharedStrings.xml><?xml version="1.0" encoding="utf-8"?>
<sst xmlns="http://schemas.openxmlformats.org/spreadsheetml/2006/main" count="294" uniqueCount="169">
  <si>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</si>
  <si>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</si>
  <si>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</si>
  <si>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</si>
  <si>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</si>
  <si>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</si>
  <si>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</si>
  <si>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</si>
  <si>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</si>
  <si>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</si>
  <si>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</si>
  <si>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</si>
  <si>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</si>
  <si>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</si>
  <si>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</si>
  <si>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</si>
  <si>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</si>
  <si>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</si>
  <si>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</si>
  <si>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</si>
  <si>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</si>
  <si>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</si>
  <si>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</si>
  <si>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</si>
  <si>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</si>
  <si>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</si>
  <si>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</si>
  <si>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</si>
  <si>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</si>
  <si>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</si>
  <si>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</si>
  <si>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</si>
  <si>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</si>
  <si>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</si>
  <si>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</si>
  <si>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</si>
  <si>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</si>
  <si>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</si>
  <si>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</si>
  <si>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</si>
  <si>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</si>
  <si>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</si>
  <si>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</si>
  <si>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</si>
  <si>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</si>
  <si>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</si>
  <si>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</si>
  <si>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</si>
  <si>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</si>
  <si>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</si>
  <si>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</si>
  <si>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</si>
  <si>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</si>
  <si>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</si>
  <si>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</si>
  <si>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</si>
  <si>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</si>
  <si>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</si>
  <si>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</si>
  <si>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</si>
  <si>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</si>
  <si>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</si>
  <si>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</si>
  <si>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</si>
  <si>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</si>
  <si>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</si>
  <si>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</si>
  <si>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</si>
  <si>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</si>
  <si>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</si>
  <si>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</si>
  <si>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</si>
  <si>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</si>
  <si>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</si>
  <si>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</si>
  <si>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</si>
  <si>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</si>
  <si>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</si>
  <si>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</si>
  <si>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</si>
  <si>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</si>
  <si>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</si>
  <si>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</si>
  <si>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</si>
  <si>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</si>
  <si>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</si>
  <si>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</si>
  <si>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</si>
  <si>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</si>
  <si>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</si>
  <si>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</si>
  <si>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</si>
  <si>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</si>
  <si>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</si>
  <si>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</si>
  <si>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</si>
  <si>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</si>
  <si>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</si>
  <si>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</si>
  <si>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</si>
  <si>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</si>
  <si>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</si>
  <si>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</si>
  <si>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</si>
  <si>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</si>
  <si>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</si>
  <si>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</si>
  <si>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</si>
  <si>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</si>
  <si>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</si>
  <si>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</si>
  <si>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</si>
  <si>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</si>
  <si>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</si>
  <si>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</si>
  <si>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</si>
  <si>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</si>
  <si>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</si>
  <si>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</si>
  <si>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</si>
  <si>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</si>
  <si>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</si>
  <si>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</si>
  <si>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</si>
  <si>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</si>
  <si>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</si>
  <si>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</si>
  <si>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</si>
  <si>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</si>
  <si>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</si>
  <si>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</si>
  <si>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</si>
  <si>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</si>
  <si>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</si>
  <si>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</si>
  <si>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</si>
  <si>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</si>
  <si>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</si>
  <si>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</si>
  <si>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</si>
  <si>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</si>
  <si>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</si>
  <si>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</si>
  <si>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</si>
  <si>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</si>
  <si>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</si>
  <si>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</si>
  <si>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</si>
  <si>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</si>
  <si>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</si>
  <si>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</si>
  <si>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</si>
  <si>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</si>
  <si>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</si>
  <si>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</si>
  <si>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</si>
  <si>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</si>
  <si>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</si>
  <si>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</si>
  <si>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</si>
  <si>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</si>
  <si>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</si>
  <si>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</si>
  <si>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</si>
  <si>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</si>
  <si>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</si>
  <si>
    <t>sep</t>
  </si>
  <si>
    <t>july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</si>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</sst>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41" fontId="0" fillId="0" borderId="0" xfId="4" applyFont="1"/>
    <xf numFmtId="16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Lit>
              <c:ptCount val="28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pt idx="9">
                <c:v>64</c:v>
              </c:pt>
              <c:pt idx="10">
                <c:v>71</c:v>
              </c:pt>
              <c:pt idx="11">
                <c:v>78</c:v>
              </c:pt>
              <c:pt idx="12">
                <c:v>85</c:v>
              </c:pt>
              <c:pt idx="13">
                <c:v>92</c:v>
              </c:pt>
              <c:pt idx="14">
                <c:v>99</c:v>
              </c:pt>
              <c:pt idx="15">
                <c:v>106</c:v>
              </c:pt>
              <c:pt idx="16">
                <c:v>113</c:v>
              </c:pt>
              <c:pt idx="17">
                <c:v>120</c:v>
              </c:pt>
              <c:pt idx="18">
                <c:v>127</c:v>
              </c:pt>
              <c:pt idx="19">
                <c:v>134</c:v>
              </c:pt>
              <c:pt idx="20">
                <c:v>141</c:v>
              </c:pt>
              <c:pt idx="21">
                <c:v>148</c:v>
              </c:pt>
              <c:pt idx="22">
                <c:v>155</c:v>
              </c:pt>
              <c:pt idx="23">
                <c:v>162</c:v>
              </c:pt>
              <c:pt idx="24">
                <c:v>169</c:v>
              </c:pt>
              <c:pt idx="25">
                <c:v>176</c:v>
              </c:pt>
              <c:pt idx="26">
                <c:v>183</c:v>
              </c:pt>
              <c:pt idx="27">
                <c:v>190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Table'!$AG$26:$AG$215</c15:sqref>
                  </c15:fullRef>
                </c:ext>
              </c:extLst>
              <c:f>('Main Table'!$AG$26,'Main Table'!$AG$33,'Main Table'!$AG$40,'Main Table'!$AG$47,'Main Table'!$AG$54,'Main Table'!$AG$61,'Main Table'!$AG$68,'Main Table'!$AG$75,'Main Table'!$AG$82,'Main Table'!$AG$89,'Main Table'!$AG$96,'Main Table'!$AG$103,'Main Table'!$AG$110,'Main Table'!$AG$117,'Main Table'!$AG$124,'Main Table'!$AG$131,'Main Table'!$AG$138,'Main Table'!$AG$145,'Main Table'!$AG$152,'Main Table'!$AG$159,'Main Table'!$AG$166,'Main Table'!$AG$173,'Main Table'!$AG$180,'Main Table'!$AG$187,'Main Table'!$AG$194,'Main Table'!$AG$201,'Main Table'!$AG$208,'Main Table'!$AG$215)</c:f>
              <c:numCache>
                <c:formatCode>_(* #,##0_);_(* \(#,##0\);_(* "-"??_);_(@_)</c:formatCode>
                <c:ptCount val="28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  <c:pt idx="9">
                  <c:v>6201</c:v>
                </c:pt>
                <c:pt idx="10">
                  <c:v>5389</c:v>
                </c:pt>
                <c:pt idx="11">
                  <c:v>4386</c:v>
                </c:pt>
                <c:pt idx="12">
                  <c:v>4166</c:v>
                </c:pt>
                <c:pt idx="13">
                  <c:v>3460</c:v>
                </c:pt>
                <c:pt idx="14">
                  <c:v>5181</c:v>
                </c:pt>
                <c:pt idx="15">
                  <c:v>5537</c:v>
                </c:pt>
                <c:pt idx="16">
                  <c:v>6580</c:v>
                </c:pt>
                <c:pt idx="17">
                  <c:v>7843</c:v>
                </c:pt>
                <c:pt idx="18">
                  <c:v>7243</c:v>
                </c:pt>
                <c:pt idx="19">
                  <c:v>7456</c:v>
                </c:pt>
                <c:pt idx="20">
                  <c:v>6902</c:v>
                </c:pt>
                <c:pt idx="21">
                  <c:v>6651</c:v>
                </c:pt>
                <c:pt idx="22">
                  <c:v>6050</c:v>
                </c:pt>
                <c:pt idx="23">
                  <c:v>5272</c:v>
                </c:pt>
                <c:pt idx="24">
                  <c:v>5617</c:v>
                </c:pt>
                <c:pt idx="25">
                  <c:v>5328</c:v>
                </c:pt>
                <c:pt idx="26">
                  <c:v>5158</c:v>
                </c:pt>
                <c:pt idx="27">
                  <c:v>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26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pt idx="18">
                <c:v> 127 </c:v>
              </c:pt>
              <c:pt idx="19">
                <c:v> 134 </c:v>
              </c:pt>
              <c:pt idx="20">
                <c:v> 141 </c:v>
              </c:pt>
              <c:pt idx="21">
                <c:v> 148 </c:v>
              </c:pt>
              <c:pt idx="22">
                <c:v> 155 </c:v>
              </c:pt>
              <c:pt idx="23">
                <c:v> 162 </c:v>
              </c:pt>
              <c:pt idx="24">
                <c:v> 169 </c:v>
              </c:pt>
              <c:pt idx="25">
                <c:v> 176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Table'!$BK$40:$BK$215</c15:sqref>
                  </c15:fullRef>
                </c:ext>
              </c:extLst>
              <c:f>('Main Table'!$BK$40,'Main Table'!$BK$47,'Main Table'!$BK$54,'Main Table'!$BK$61,'Main Table'!$BK$68,'Main Table'!$BK$75,'Main Table'!$BK$82,'Main Table'!$BK$89,'Main Table'!$BK$96,'Main Table'!$BK$103,'Main Table'!$BK$110,'Main Table'!$BK$117,'Main Table'!$BK$124,'Main Table'!$BK$131,'Main Table'!$BK$138,'Main Table'!$BK$145,'Main Table'!$BK$152,'Main Table'!$BK$159,'Main Table'!$BK$166,'Main Table'!$BK$173,'Main Table'!$BK$180,'Main Table'!$BK$187,'Main Table'!$BK$194,'Main Table'!$BK$201,'Main Table'!$BK$208,'Main Table'!$BK$215)</c:f>
              <c:numCache>
                <c:formatCode>_(* #,##0_);_(* \(#,##0\);_(* "-"??_);_(@_)</c:formatCode>
                <c:ptCount val="26"/>
                <c:pt idx="0">
                  <c:v>1029291</c:v>
                </c:pt>
                <c:pt idx="1">
                  <c:v>1608915</c:v>
                </c:pt>
                <c:pt idx="2">
                  <c:v>1726276</c:v>
                </c:pt>
                <c:pt idx="3">
                  <c:v>2247785</c:v>
                </c:pt>
                <c:pt idx="4">
                  <c:v>2431055</c:v>
                </c:pt>
                <c:pt idx="5">
                  <c:v>2874176</c:v>
                </c:pt>
                <c:pt idx="6">
                  <c:v>2922811</c:v>
                </c:pt>
                <c:pt idx="7">
                  <c:v>3619110</c:v>
                </c:pt>
                <c:pt idx="8">
                  <c:v>3499254</c:v>
                </c:pt>
                <c:pt idx="9">
                  <c:v>3701059</c:v>
                </c:pt>
                <c:pt idx="10">
                  <c:v>4100378</c:v>
                </c:pt>
                <c:pt idx="11">
                  <c:v>4994441</c:v>
                </c:pt>
                <c:pt idx="12">
                  <c:v>4882798</c:v>
                </c:pt>
                <c:pt idx="13">
                  <c:v>5872128</c:v>
                </c:pt>
                <c:pt idx="14">
                  <c:v>5877840</c:v>
                </c:pt>
                <c:pt idx="15">
                  <c:v>5705709</c:v>
                </c:pt>
                <c:pt idx="16">
                  <c:v>5507967</c:v>
                </c:pt>
                <c:pt idx="17">
                  <c:v>5527379</c:v>
                </c:pt>
                <c:pt idx="18">
                  <c:v>5198748</c:v>
                </c:pt>
                <c:pt idx="19">
                  <c:v>5670701</c:v>
                </c:pt>
                <c:pt idx="20">
                  <c:v>5644840</c:v>
                </c:pt>
                <c:pt idx="21">
                  <c:v>4928581</c:v>
                </c:pt>
                <c:pt idx="22">
                  <c:v>5763109</c:v>
                </c:pt>
                <c:pt idx="23">
                  <c:v>6168553</c:v>
                </c:pt>
                <c:pt idx="24">
                  <c:v>7135104</c:v>
                </c:pt>
                <c:pt idx="25">
                  <c:v>7016632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pt idx="9">
                <c:v>64</c:v>
              </c:pt>
              <c:pt idx="10">
                <c:v>71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228</xdr:row>
      <xdr:rowOff>0</xdr:rowOff>
    </xdr:from>
    <xdr:to>
      <xdr:col>54</xdr:col>
      <xdr:colOff>160020</xdr:colOff>
      <xdr:row>228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229</xdr:row>
      <xdr:rowOff>0</xdr:rowOff>
    </xdr:from>
    <xdr:to>
      <xdr:col>54</xdr:col>
      <xdr:colOff>160020</xdr:colOff>
      <xdr:row>229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238</xdr:row>
      <xdr:rowOff>99060</xdr:rowOff>
    </xdr:from>
    <xdr:to>
      <xdr:col>22</xdr:col>
      <xdr:colOff>312420</xdr:colOff>
      <xdr:row>239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238</xdr:row>
      <xdr:rowOff>129540</xdr:rowOff>
    </xdr:from>
    <xdr:to>
      <xdr:col>23</xdr:col>
      <xdr:colOff>68580</xdr:colOff>
      <xdr:row>239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22</xdr:col>
      <xdr:colOff>480060</xdr:colOff>
      <xdr:row>6</xdr:row>
      <xdr:rowOff>121920</xdr:rowOff>
    </xdr:from>
    <xdr:to>
      <xdr:col>34</xdr:col>
      <xdr:colOff>464820</xdr:colOff>
      <xdr:row>24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76200</xdr:colOff>
      <xdr:row>5</xdr:row>
      <xdr:rowOff>137160</xdr:rowOff>
    </xdr:from>
    <xdr:to>
      <xdr:col>52</xdr:col>
      <xdr:colOff>198120</xdr:colOff>
      <xdr:row>23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253</xdr:row>
      <xdr:rowOff>125730</xdr:rowOff>
    </xdr:from>
    <xdr:to>
      <xdr:col>54</xdr:col>
      <xdr:colOff>213360</xdr:colOff>
      <xdr:row>268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3" name="Arrow: Down 1542">
          <a:extLst>
            <a:ext uri="{FF2B5EF4-FFF2-40B4-BE49-F238E27FC236}">
              <a16:creationId xmlns:a16="http://schemas.microsoft.com/office/drawing/2014/main" id="{754B9A8C-4250-42A9-9BA1-7CB403463399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4" name="Arrow: Down 1543">
          <a:extLst>
            <a:ext uri="{FF2B5EF4-FFF2-40B4-BE49-F238E27FC236}">
              <a16:creationId xmlns:a16="http://schemas.microsoft.com/office/drawing/2014/main" id="{96487D1D-DC44-4BEB-805E-353986E454A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5" name="Arrow: Down 1544">
          <a:extLst>
            <a:ext uri="{FF2B5EF4-FFF2-40B4-BE49-F238E27FC236}">
              <a16:creationId xmlns:a16="http://schemas.microsoft.com/office/drawing/2014/main" id="{331B3736-3005-4EC0-BE54-B5C6D2510B25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6" name="Arrow: Down 1545">
          <a:extLst>
            <a:ext uri="{FF2B5EF4-FFF2-40B4-BE49-F238E27FC236}">
              <a16:creationId xmlns:a16="http://schemas.microsoft.com/office/drawing/2014/main" id="{D84702AD-2EE7-49D2-933D-30C54438BF3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202</xdr:row>
      <xdr:rowOff>0</xdr:rowOff>
    </xdr:from>
    <xdr:to>
      <xdr:col>5</xdr:col>
      <xdr:colOff>83820</xdr:colOff>
      <xdr:row>202</xdr:row>
      <xdr:rowOff>114300</xdr:rowOff>
    </xdr:to>
    <xdr:sp macro="" textlink="">
      <xdr:nvSpPr>
        <xdr:cNvPr id="1549" name="Arrow: Down 1548">
          <a:extLst>
            <a:ext uri="{FF2B5EF4-FFF2-40B4-BE49-F238E27FC236}">
              <a16:creationId xmlns:a16="http://schemas.microsoft.com/office/drawing/2014/main" id="{964E831A-E9AF-4D50-9E90-05AC043CF507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202</xdr:row>
      <xdr:rowOff>0</xdr:rowOff>
    </xdr:from>
    <xdr:to>
      <xdr:col>11</xdr:col>
      <xdr:colOff>83820</xdr:colOff>
      <xdr:row>202</xdr:row>
      <xdr:rowOff>114300</xdr:rowOff>
    </xdr:to>
    <xdr:sp macro="" textlink="">
      <xdr:nvSpPr>
        <xdr:cNvPr id="1550" name="Arrow: Down 1549">
          <a:extLst>
            <a:ext uri="{FF2B5EF4-FFF2-40B4-BE49-F238E27FC236}">
              <a16:creationId xmlns:a16="http://schemas.microsoft.com/office/drawing/2014/main" id="{6A85FA02-9598-48C1-BAC6-DB1D4C6F3AEA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202</xdr:row>
      <xdr:rowOff>0</xdr:rowOff>
    </xdr:from>
    <xdr:to>
      <xdr:col>24</xdr:col>
      <xdr:colOff>83820</xdr:colOff>
      <xdr:row>202</xdr:row>
      <xdr:rowOff>114300</xdr:rowOff>
    </xdr:to>
    <xdr:sp macro="" textlink="">
      <xdr:nvSpPr>
        <xdr:cNvPr id="1551" name="Arrow: Down 1550">
          <a:extLst>
            <a:ext uri="{FF2B5EF4-FFF2-40B4-BE49-F238E27FC236}">
              <a16:creationId xmlns:a16="http://schemas.microsoft.com/office/drawing/2014/main" id="{499FA77D-F975-442E-8986-0537AFF744FF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202</xdr:row>
      <xdr:rowOff>0</xdr:rowOff>
    </xdr:from>
    <xdr:to>
      <xdr:col>39</xdr:col>
      <xdr:colOff>83820</xdr:colOff>
      <xdr:row>202</xdr:row>
      <xdr:rowOff>114300</xdr:rowOff>
    </xdr:to>
    <xdr:sp macro="" textlink="">
      <xdr:nvSpPr>
        <xdr:cNvPr id="1552" name="Arrow: Down 1551">
          <a:extLst>
            <a:ext uri="{FF2B5EF4-FFF2-40B4-BE49-F238E27FC236}">
              <a16:creationId xmlns:a16="http://schemas.microsoft.com/office/drawing/2014/main" id="{4B1F74AB-D170-4153-B4B6-409400BDADA7}"/>
            </a:ext>
          </a:extLst>
        </xdr:cNvPr>
        <xdr:cNvSpPr/>
      </xdr:nvSpPr>
      <xdr:spPr>
        <a:xfrm>
          <a:off x="1184910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202</xdr:row>
      <xdr:rowOff>0</xdr:rowOff>
    </xdr:from>
    <xdr:to>
      <xdr:col>60</xdr:col>
      <xdr:colOff>83820</xdr:colOff>
      <xdr:row>202</xdr:row>
      <xdr:rowOff>114300</xdr:rowOff>
    </xdr:to>
    <xdr:sp macro="" textlink="">
      <xdr:nvSpPr>
        <xdr:cNvPr id="1554" name="Arrow: Down 1553">
          <a:extLst>
            <a:ext uri="{FF2B5EF4-FFF2-40B4-BE49-F238E27FC236}">
              <a16:creationId xmlns:a16="http://schemas.microsoft.com/office/drawing/2014/main" id="{46E65A08-6741-461F-B5E8-B8E10A754CA7}"/>
            </a:ext>
          </a:extLst>
        </xdr:cNvPr>
        <xdr:cNvSpPr/>
      </xdr:nvSpPr>
      <xdr:spPr>
        <a:xfrm rot="10800000">
          <a:off x="1846326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5" name="Arrow: Down 1564">
          <a:extLst>
            <a:ext uri="{FF2B5EF4-FFF2-40B4-BE49-F238E27FC236}">
              <a16:creationId xmlns:a16="http://schemas.microsoft.com/office/drawing/2014/main" id="{71B4D63D-4780-4AD6-BA21-3B67936DD1E6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6" name="Arrow: Down 1565">
          <a:extLst>
            <a:ext uri="{FF2B5EF4-FFF2-40B4-BE49-F238E27FC236}">
              <a16:creationId xmlns:a16="http://schemas.microsoft.com/office/drawing/2014/main" id="{74E28FD7-418A-4E31-BD6F-230DE013B4D8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7" name="Arrow: Down 1566">
          <a:extLst>
            <a:ext uri="{FF2B5EF4-FFF2-40B4-BE49-F238E27FC236}">
              <a16:creationId xmlns:a16="http://schemas.microsoft.com/office/drawing/2014/main" id="{91DB2CD2-1294-462C-9E1B-F463F689FDD3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8" name="Arrow: Down 1567">
          <a:extLst>
            <a:ext uri="{FF2B5EF4-FFF2-40B4-BE49-F238E27FC236}">
              <a16:creationId xmlns:a16="http://schemas.microsoft.com/office/drawing/2014/main" id="{87F4672A-AC6A-41C8-A655-85337C5CEEC2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83820</xdr:colOff>
      <xdr:row>203</xdr:row>
      <xdr:rowOff>114300</xdr:rowOff>
    </xdr:to>
    <xdr:sp macro="" textlink="">
      <xdr:nvSpPr>
        <xdr:cNvPr id="1411" name="Arrow: Down 1410">
          <a:extLst>
            <a:ext uri="{FF2B5EF4-FFF2-40B4-BE49-F238E27FC236}">
              <a16:creationId xmlns:a16="http://schemas.microsoft.com/office/drawing/2014/main" id="{4C192A43-192C-402E-99F7-8D14D9B05FE8}"/>
            </a:ext>
          </a:extLst>
        </xdr:cNvPr>
        <xdr:cNvSpPr/>
      </xdr:nvSpPr>
      <xdr:spPr>
        <a:xfrm>
          <a:off x="19278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83820</xdr:colOff>
      <xdr:row>203</xdr:row>
      <xdr:rowOff>114300</xdr:rowOff>
    </xdr:to>
    <xdr:sp macro="" textlink="">
      <xdr:nvSpPr>
        <xdr:cNvPr id="1412" name="Arrow: Down 1411">
          <a:extLst>
            <a:ext uri="{FF2B5EF4-FFF2-40B4-BE49-F238E27FC236}">
              <a16:creationId xmlns:a16="http://schemas.microsoft.com/office/drawing/2014/main" id="{00ED1DCC-9F69-4D1B-AFA5-21B7AC2D3D77}"/>
            </a:ext>
          </a:extLst>
        </xdr:cNvPr>
        <xdr:cNvSpPr/>
      </xdr:nvSpPr>
      <xdr:spPr>
        <a:xfrm>
          <a:off x="36195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203</xdr:row>
      <xdr:rowOff>0</xdr:rowOff>
    </xdr:from>
    <xdr:to>
      <xdr:col>24</xdr:col>
      <xdr:colOff>83820</xdr:colOff>
      <xdr:row>203</xdr:row>
      <xdr:rowOff>114300</xdr:rowOff>
    </xdr:to>
    <xdr:sp macro="" textlink="">
      <xdr:nvSpPr>
        <xdr:cNvPr id="1414" name="Arrow: Down 1413">
          <a:extLst>
            <a:ext uri="{FF2B5EF4-FFF2-40B4-BE49-F238E27FC236}">
              <a16:creationId xmlns:a16="http://schemas.microsoft.com/office/drawing/2014/main" id="{84F9A811-1470-4637-B720-CB496DAC9679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203</xdr:row>
      <xdr:rowOff>0</xdr:rowOff>
    </xdr:from>
    <xdr:to>
      <xdr:col>60</xdr:col>
      <xdr:colOff>83820</xdr:colOff>
      <xdr:row>203</xdr:row>
      <xdr:rowOff>114300</xdr:rowOff>
    </xdr:to>
    <xdr:sp macro="" textlink="">
      <xdr:nvSpPr>
        <xdr:cNvPr id="1447" name="Arrow: Down 1446">
          <a:extLst>
            <a:ext uri="{FF2B5EF4-FFF2-40B4-BE49-F238E27FC236}">
              <a16:creationId xmlns:a16="http://schemas.microsoft.com/office/drawing/2014/main" id="{B8F8E0FF-D511-4059-B9B6-DD742BA6D102}"/>
            </a:ext>
          </a:extLst>
        </xdr:cNvPr>
        <xdr:cNvSpPr/>
      </xdr:nvSpPr>
      <xdr:spPr>
        <a:xfrm>
          <a:off x="161391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497" name="Arrow: Down 1496">
          <a:extLst>
            <a:ext uri="{FF2B5EF4-FFF2-40B4-BE49-F238E27FC236}">
              <a16:creationId xmlns:a16="http://schemas.microsoft.com/office/drawing/2014/main" id="{B4CAE8A5-7718-4CBD-B11D-3AC2E3FB1E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0" name="Arrow: Down 1499">
          <a:extLst>
            <a:ext uri="{FF2B5EF4-FFF2-40B4-BE49-F238E27FC236}">
              <a16:creationId xmlns:a16="http://schemas.microsoft.com/office/drawing/2014/main" id="{3B7356DF-94FA-484D-855C-DD7A0ED666C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502" name="Arrow: Down 1501">
          <a:extLst>
            <a:ext uri="{FF2B5EF4-FFF2-40B4-BE49-F238E27FC236}">
              <a16:creationId xmlns:a16="http://schemas.microsoft.com/office/drawing/2014/main" id="{F75A4B36-98E9-4153-BFDC-F7C68CCA64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5" name="Arrow: Down 1504">
          <a:extLst>
            <a:ext uri="{FF2B5EF4-FFF2-40B4-BE49-F238E27FC236}">
              <a16:creationId xmlns:a16="http://schemas.microsoft.com/office/drawing/2014/main" id="{53CEC494-0057-404D-A88D-5880E901BC2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204</xdr:row>
      <xdr:rowOff>0</xdr:rowOff>
    </xdr:from>
    <xdr:to>
      <xdr:col>24</xdr:col>
      <xdr:colOff>83820</xdr:colOff>
      <xdr:row>204</xdr:row>
      <xdr:rowOff>114300</xdr:rowOff>
    </xdr:to>
    <xdr:sp macro="" textlink="">
      <xdr:nvSpPr>
        <xdr:cNvPr id="1508" name="Arrow: Down 1507">
          <a:extLst>
            <a:ext uri="{FF2B5EF4-FFF2-40B4-BE49-F238E27FC236}">
              <a16:creationId xmlns:a16="http://schemas.microsoft.com/office/drawing/2014/main" id="{961B3582-8391-45CB-8AE6-3EA4AE43EF0B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204</xdr:row>
      <xdr:rowOff>0</xdr:rowOff>
    </xdr:from>
    <xdr:to>
      <xdr:col>11</xdr:col>
      <xdr:colOff>83820</xdr:colOff>
      <xdr:row>204</xdr:row>
      <xdr:rowOff>114300</xdr:rowOff>
    </xdr:to>
    <xdr:sp macro="" textlink="">
      <xdr:nvSpPr>
        <xdr:cNvPr id="1511" name="Arrow: Down 1510">
          <a:extLst>
            <a:ext uri="{FF2B5EF4-FFF2-40B4-BE49-F238E27FC236}">
              <a16:creationId xmlns:a16="http://schemas.microsoft.com/office/drawing/2014/main" id="{E65AAB5B-65B9-452B-B5BB-61874EFC7766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204</xdr:row>
      <xdr:rowOff>0</xdr:rowOff>
    </xdr:from>
    <xdr:to>
      <xdr:col>5</xdr:col>
      <xdr:colOff>83820</xdr:colOff>
      <xdr:row>204</xdr:row>
      <xdr:rowOff>114300</xdr:rowOff>
    </xdr:to>
    <xdr:sp macro="" textlink="">
      <xdr:nvSpPr>
        <xdr:cNvPr id="1512" name="Arrow: Down 1511">
          <a:extLst>
            <a:ext uri="{FF2B5EF4-FFF2-40B4-BE49-F238E27FC236}">
              <a16:creationId xmlns:a16="http://schemas.microsoft.com/office/drawing/2014/main" id="{D9BBF3AE-659B-465D-AE76-2A8599373A0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204</xdr:row>
      <xdr:rowOff>0</xdr:rowOff>
    </xdr:from>
    <xdr:to>
      <xdr:col>60</xdr:col>
      <xdr:colOff>83820</xdr:colOff>
      <xdr:row>204</xdr:row>
      <xdr:rowOff>114300</xdr:rowOff>
    </xdr:to>
    <xdr:sp macro="" textlink="">
      <xdr:nvSpPr>
        <xdr:cNvPr id="1514" name="Arrow: Down 1513">
          <a:extLst>
            <a:ext uri="{FF2B5EF4-FFF2-40B4-BE49-F238E27FC236}">
              <a16:creationId xmlns:a16="http://schemas.microsoft.com/office/drawing/2014/main" id="{B45A744B-BA33-4F16-97FD-90BDB036A6D9}"/>
            </a:ext>
          </a:extLst>
        </xdr:cNvPr>
        <xdr:cNvSpPr/>
      </xdr:nvSpPr>
      <xdr:spPr>
        <a:xfrm rot="10800000">
          <a:off x="161391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204</xdr:row>
      <xdr:rowOff>0</xdr:rowOff>
    </xdr:from>
    <xdr:to>
      <xdr:col>39</xdr:col>
      <xdr:colOff>83820</xdr:colOff>
      <xdr:row>204</xdr:row>
      <xdr:rowOff>114300</xdr:rowOff>
    </xdr:to>
    <xdr:sp macro="" textlink="">
      <xdr:nvSpPr>
        <xdr:cNvPr id="1519" name="Arrow: Down 1518">
          <a:extLst>
            <a:ext uri="{FF2B5EF4-FFF2-40B4-BE49-F238E27FC236}">
              <a16:creationId xmlns:a16="http://schemas.microsoft.com/office/drawing/2014/main" id="{D1E432FE-06E6-4BFD-9B0B-BE7DAA052B4E}"/>
            </a:ext>
          </a:extLst>
        </xdr:cNvPr>
        <xdr:cNvSpPr/>
      </xdr:nvSpPr>
      <xdr:spPr>
        <a:xfrm>
          <a:off x="95250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23" name="Arrow: Down 1522">
          <a:extLst>
            <a:ext uri="{FF2B5EF4-FFF2-40B4-BE49-F238E27FC236}">
              <a16:creationId xmlns:a16="http://schemas.microsoft.com/office/drawing/2014/main" id="{F895504C-86F0-4983-B34C-A4FCE30CCE00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0" name="Arrow: Down 1529">
          <a:extLst>
            <a:ext uri="{FF2B5EF4-FFF2-40B4-BE49-F238E27FC236}">
              <a16:creationId xmlns:a16="http://schemas.microsoft.com/office/drawing/2014/main" id="{006D58BA-6DD6-4EF1-8D77-10F65528DC22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31" name="Arrow: Down 1530">
          <a:extLst>
            <a:ext uri="{FF2B5EF4-FFF2-40B4-BE49-F238E27FC236}">
              <a16:creationId xmlns:a16="http://schemas.microsoft.com/office/drawing/2014/main" id="{8E69E520-80C7-440D-B5DB-AD47585E3D8A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2" name="Arrow: Down 1531">
          <a:extLst>
            <a:ext uri="{FF2B5EF4-FFF2-40B4-BE49-F238E27FC236}">
              <a16:creationId xmlns:a16="http://schemas.microsoft.com/office/drawing/2014/main" id="{930E46C0-3436-40F6-8F29-030261364EF5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205</xdr:row>
      <xdr:rowOff>0</xdr:rowOff>
    </xdr:from>
    <xdr:to>
      <xdr:col>24</xdr:col>
      <xdr:colOff>83820</xdr:colOff>
      <xdr:row>205</xdr:row>
      <xdr:rowOff>114300</xdr:rowOff>
    </xdr:to>
    <xdr:sp macro="" textlink="">
      <xdr:nvSpPr>
        <xdr:cNvPr id="1533" name="Arrow: Down 1532">
          <a:extLst>
            <a:ext uri="{FF2B5EF4-FFF2-40B4-BE49-F238E27FC236}">
              <a16:creationId xmlns:a16="http://schemas.microsoft.com/office/drawing/2014/main" id="{B1030B3F-6CE2-4DFD-AC55-F901E6AEB2A6}"/>
            </a:ext>
          </a:extLst>
        </xdr:cNvPr>
        <xdr:cNvSpPr/>
      </xdr:nvSpPr>
      <xdr:spPr>
        <a:xfrm>
          <a:off x="636270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83820</xdr:colOff>
      <xdr:row>205</xdr:row>
      <xdr:rowOff>114300</xdr:rowOff>
    </xdr:to>
    <xdr:sp macro="" textlink="">
      <xdr:nvSpPr>
        <xdr:cNvPr id="1534" name="Arrow: Down 1533">
          <a:extLst>
            <a:ext uri="{FF2B5EF4-FFF2-40B4-BE49-F238E27FC236}">
              <a16:creationId xmlns:a16="http://schemas.microsoft.com/office/drawing/2014/main" id="{EE71379C-D34E-47C8-A84A-9C444F67D519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205</xdr:row>
      <xdr:rowOff>0</xdr:rowOff>
    </xdr:from>
    <xdr:to>
      <xdr:col>5</xdr:col>
      <xdr:colOff>83820</xdr:colOff>
      <xdr:row>205</xdr:row>
      <xdr:rowOff>114300</xdr:rowOff>
    </xdr:to>
    <xdr:sp macro="" textlink="">
      <xdr:nvSpPr>
        <xdr:cNvPr id="1535" name="Arrow: Down 1534">
          <a:extLst>
            <a:ext uri="{FF2B5EF4-FFF2-40B4-BE49-F238E27FC236}">
              <a16:creationId xmlns:a16="http://schemas.microsoft.com/office/drawing/2014/main" id="{3A5CE941-C353-4E9C-955B-E705C0D11E4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205</xdr:row>
      <xdr:rowOff>0</xdr:rowOff>
    </xdr:from>
    <xdr:to>
      <xdr:col>60</xdr:col>
      <xdr:colOff>83820</xdr:colOff>
      <xdr:row>205</xdr:row>
      <xdr:rowOff>114300</xdr:rowOff>
    </xdr:to>
    <xdr:sp macro="" textlink="">
      <xdr:nvSpPr>
        <xdr:cNvPr id="1553" name="Arrow: Down 1552">
          <a:extLst>
            <a:ext uri="{FF2B5EF4-FFF2-40B4-BE49-F238E27FC236}">
              <a16:creationId xmlns:a16="http://schemas.microsoft.com/office/drawing/2014/main" id="{118E539B-0AC7-4FC2-A601-D7534CD953E3}"/>
            </a:ext>
          </a:extLst>
        </xdr:cNvPr>
        <xdr:cNvSpPr/>
      </xdr:nvSpPr>
      <xdr:spPr>
        <a:xfrm>
          <a:off x="1613916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64" name="Arrow: Down 1563">
          <a:extLst>
            <a:ext uri="{FF2B5EF4-FFF2-40B4-BE49-F238E27FC236}">
              <a16:creationId xmlns:a16="http://schemas.microsoft.com/office/drawing/2014/main" id="{BF49C1B5-7257-4433-8CC7-0C96DAD34C12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4" name="Arrow: Down 1573">
          <a:extLst>
            <a:ext uri="{FF2B5EF4-FFF2-40B4-BE49-F238E27FC236}">
              <a16:creationId xmlns:a16="http://schemas.microsoft.com/office/drawing/2014/main" id="{0639FC7D-6A52-47FC-9AB7-F006B5EE982E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75" name="Arrow: Down 1574">
          <a:extLst>
            <a:ext uri="{FF2B5EF4-FFF2-40B4-BE49-F238E27FC236}">
              <a16:creationId xmlns:a16="http://schemas.microsoft.com/office/drawing/2014/main" id="{134E5F0C-502A-45EC-AE23-B64CE8C74DAC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6" name="Arrow: Down 1575">
          <a:extLst>
            <a:ext uri="{FF2B5EF4-FFF2-40B4-BE49-F238E27FC236}">
              <a16:creationId xmlns:a16="http://schemas.microsoft.com/office/drawing/2014/main" id="{5C3BECFC-B8DC-4503-AA4B-60DD2FACFA22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206</xdr:row>
      <xdr:rowOff>0</xdr:rowOff>
    </xdr:from>
    <xdr:to>
      <xdr:col>24</xdr:col>
      <xdr:colOff>83820</xdr:colOff>
      <xdr:row>206</xdr:row>
      <xdr:rowOff>114300</xdr:rowOff>
    </xdr:to>
    <xdr:sp macro="" textlink="">
      <xdr:nvSpPr>
        <xdr:cNvPr id="1577" name="Arrow: Down 1576">
          <a:extLst>
            <a:ext uri="{FF2B5EF4-FFF2-40B4-BE49-F238E27FC236}">
              <a16:creationId xmlns:a16="http://schemas.microsoft.com/office/drawing/2014/main" id="{634DDD09-0BD1-4383-A17B-21DC71DA1DC6}"/>
            </a:ext>
          </a:extLst>
        </xdr:cNvPr>
        <xdr:cNvSpPr/>
      </xdr:nvSpPr>
      <xdr:spPr>
        <a:xfrm>
          <a:off x="63627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206</xdr:row>
      <xdr:rowOff>0</xdr:rowOff>
    </xdr:from>
    <xdr:to>
      <xdr:col>60</xdr:col>
      <xdr:colOff>83820</xdr:colOff>
      <xdr:row>206</xdr:row>
      <xdr:rowOff>114300</xdr:rowOff>
    </xdr:to>
    <xdr:sp macro="" textlink="">
      <xdr:nvSpPr>
        <xdr:cNvPr id="1437" name="Arrow: Down 1436">
          <a:extLst>
            <a:ext uri="{FF2B5EF4-FFF2-40B4-BE49-F238E27FC236}">
              <a16:creationId xmlns:a16="http://schemas.microsoft.com/office/drawing/2014/main" id="{BC545588-6C85-43C6-9751-034063ADE962}"/>
            </a:ext>
          </a:extLst>
        </xdr:cNvPr>
        <xdr:cNvSpPr/>
      </xdr:nvSpPr>
      <xdr:spPr>
        <a:xfrm rot="10800000">
          <a:off x="16139160" y="3777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206</xdr:row>
      <xdr:rowOff>0</xdr:rowOff>
    </xdr:from>
    <xdr:to>
      <xdr:col>39</xdr:col>
      <xdr:colOff>83820</xdr:colOff>
      <xdr:row>206</xdr:row>
      <xdr:rowOff>114300</xdr:rowOff>
    </xdr:to>
    <xdr:sp macro="" textlink="">
      <xdr:nvSpPr>
        <xdr:cNvPr id="1463" name="Arrow: Down 1462">
          <a:extLst>
            <a:ext uri="{FF2B5EF4-FFF2-40B4-BE49-F238E27FC236}">
              <a16:creationId xmlns:a16="http://schemas.microsoft.com/office/drawing/2014/main" id="{91CD7412-8086-421E-9F7D-4558AF87818E}"/>
            </a:ext>
          </a:extLst>
        </xdr:cNvPr>
        <xdr:cNvSpPr/>
      </xdr:nvSpPr>
      <xdr:spPr>
        <a:xfrm rot="10800000">
          <a:off x="95250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203</xdr:row>
      <xdr:rowOff>0</xdr:rowOff>
    </xdr:from>
    <xdr:to>
      <xdr:col>39</xdr:col>
      <xdr:colOff>83820</xdr:colOff>
      <xdr:row>203</xdr:row>
      <xdr:rowOff>114300</xdr:rowOff>
    </xdr:to>
    <xdr:sp macro="" textlink="">
      <xdr:nvSpPr>
        <xdr:cNvPr id="1464" name="Arrow: Down 1463">
          <a:extLst>
            <a:ext uri="{FF2B5EF4-FFF2-40B4-BE49-F238E27FC236}">
              <a16:creationId xmlns:a16="http://schemas.microsoft.com/office/drawing/2014/main" id="{9BC7965E-99E1-4A01-8429-97D215CE4480}"/>
            </a:ext>
          </a:extLst>
        </xdr:cNvPr>
        <xdr:cNvSpPr/>
      </xdr:nvSpPr>
      <xdr:spPr>
        <a:xfrm rot="10800000">
          <a:off x="95250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205</xdr:row>
      <xdr:rowOff>0</xdr:rowOff>
    </xdr:from>
    <xdr:to>
      <xdr:col>39</xdr:col>
      <xdr:colOff>83820</xdr:colOff>
      <xdr:row>205</xdr:row>
      <xdr:rowOff>114300</xdr:rowOff>
    </xdr:to>
    <xdr:sp macro="" textlink="">
      <xdr:nvSpPr>
        <xdr:cNvPr id="1465" name="Arrow: Down 1464">
          <a:extLst>
            <a:ext uri="{FF2B5EF4-FFF2-40B4-BE49-F238E27FC236}">
              <a16:creationId xmlns:a16="http://schemas.microsoft.com/office/drawing/2014/main" id="{9E34E8AC-6B49-412E-B145-54843A40F6E8}"/>
            </a:ext>
          </a:extLst>
        </xdr:cNvPr>
        <xdr:cNvSpPr/>
      </xdr:nvSpPr>
      <xdr:spPr>
        <a:xfrm rot="10800000">
          <a:off x="95250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5</xdr:col>
      <xdr:colOff>83820</xdr:colOff>
      <xdr:row>206</xdr:row>
      <xdr:rowOff>114300</xdr:rowOff>
    </xdr:to>
    <xdr:sp macro="" textlink="">
      <xdr:nvSpPr>
        <xdr:cNvPr id="1474" name="Arrow: Down 1473">
          <a:extLst>
            <a:ext uri="{FF2B5EF4-FFF2-40B4-BE49-F238E27FC236}">
              <a16:creationId xmlns:a16="http://schemas.microsoft.com/office/drawing/2014/main" id="{3330E4F3-D285-4805-B19D-FC4E98D63B4C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206</xdr:row>
      <xdr:rowOff>0</xdr:rowOff>
    </xdr:from>
    <xdr:to>
      <xdr:col>11</xdr:col>
      <xdr:colOff>83820</xdr:colOff>
      <xdr:row>206</xdr:row>
      <xdr:rowOff>114300</xdr:rowOff>
    </xdr:to>
    <xdr:sp macro="" textlink="">
      <xdr:nvSpPr>
        <xdr:cNvPr id="1485" name="Arrow: Down 1484">
          <a:extLst>
            <a:ext uri="{FF2B5EF4-FFF2-40B4-BE49-F238E27FC236}">
              <a16:creationId xmlns:a16="http://schemas.microsoft.com/office/drawing/2014/main" id="{5B6D8476-5959-44E5-B033-FFA7EB000060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490" name="Arrow: Down 1489">
          <a:extLst>
            <a:ext uri="{FF2B5EF4-FFF2-40B4-BE49-F238E27FC236}">
              <a16:creationId xmlns:a16="http://schemas.microsoft.com/office/drawing/2014/main" id="{A15049DE-C368-4357-84FF-947CC8CE7F03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496" name="Arrow: Down 1495">
          <a:extLst>
            <a:ext uri="{FF2B5EF4-FFF2-40B4-BE49-F238E27FC236}">
              <a16:creationId xmlns:a16="http://schemas.microsoft.com/office/drawing/2014/main" id="{69F9CE32-6FC5-4BE2-8CD4-FBE9CB027B16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506" name="Arrow: Down 1505">
          <a:extLst>
            <a:ext uri="{FF2B5EF4-FFF2-40B4-BE49-F238E27FC236}">
              <a16:creationId xmlns:a16="http://schemas.microsoft.com/office/drawing/2014/main" id="{590E9475-FE17-4F36-8E8C-BA25069FF51A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507" name="Arrow: Down 1506">
          <a:extLst>
            <a:ext uri="{FF2B5EF4-FFF2-40B4-BE49-F238E27FC236}">
              <a16:creationId xmlns:a16="http://schemas.microsoft.com/office/drawing/2014/main" id="{85A42CEA-5B89-4390-97E3-0B760FA44C99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207</xdr:row>
      <xdr:rowOff>0</xdr:rowOff>
    </xdr:from>
    <xdr:to>
      <xdr:col>24</xdr:col>
      <xdr:colOff>83820</xdr:colOff>
      <xdr:row>207</xdr:row>
      <xdr:rowOff>114300</xdr:rowOff>
    </xdr:to>
    <xdr:sp macro="" textlink="">
      <xdr:nvSpPr>
        <xdr:cNvPr id="1509" name="Arrow: Down 1508">
          <a:extLst>
            <a:ext uri="{FF2B5EF4-FFF2-40B4-BE49-F238E27FC236}">
              <a16:creationId xmlns:a16="http://schemas.microsoft.com/office/drawing/2014/main" id="{09694832-7F7C-4BF6-A2E1-C01EA8508459}"/>
            </a:ext>
          </a:extLst>
        </xdr:cNvPr>
        <xdr:cNvSpPr/>
      </xdr:nvSpPr>
      <xdr:spPr>
        <a:xfrm>
          <a:off x="63627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83820</xdr:colOff>
      <xdr:row>207</xdr:row>
      <xdr:rowOff>114300</xdr:rowOff>
    </xdr:to>
    <xdr:sp macro="" textlink="">
      <xdr:nvSpPr>
        <xdr:cNvPr id="1539" name="Arrow: Down 1538">
          <a:extLst>
            <a:ext uri="{FF2B5EF4-FFF2-40B4-BE49-F238E27FC236}">
              <a16:creationId xmlns:a16="http://schemas.microsoft.com/office/drawing/2014/main" id="{9D83E71C-3AF6-4D23-AEEC-3304BBE4A2A8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207</xdr:row>
      <xdr:rowOff>0</xdr:rowOff>
    </xdr:from>
    <xdr:to>
      <xdr:col>11</xdr:col>
      <xdr:colOff>83820</xdr:colOff>
      <xdr:row>207</xdr:row>
      <xdr:rowOff>114300</xdr:rowOff>
    </xdr:to>
    <xdr:sp macro="" textlink="">
      <xdr:nvSpPr>
        <xdr:cNvPr id="1541" name="Arrow: Down 1540">
          <a:extLst>
            <a:ext uri="{FF2B5EF4-FFF2-40B4-BE49-F238E27FC236}">
              <a16:creationId xmlns:a16="http://schemas.microsoft.com/office/drawing/2014/main" id="{34E0CE6D-8FBF-423A-A9D4-35E31A2F5179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207</xdr:row>
      <xdr:rowOff>0</xdr:rowOff>
    </xdr:from>
    <xdr:to>
      <xdr:col>60</xdr:col>
      <xdr:colOff>83820</xdr:colOff>
      <xdr:row>207</xdr:row>
      <xdr:rowOff>114300</xdr:rowOff>
    </xdr:to>
    <xdr:sp macro="" textlink="">
      <xdr:nvSpPr>
        <xdr:cNvPr id="1555" name="Arrow: Down 1554">
          <a:extLst>
            <a:ext uri="{FF2B5EF4-FFF2-40B4-BE49-F238E27FC236}">
              <a16:creationId xmlns:a16="http://schemas.microsoft.com/office/drawing/2014/main" id="{FDB6E449-91C2-46E6-9807-1704AA857B6E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207</xdr:row>
      <xdr:rowOff>0</xdr:rowOff>
    </xdr:from>
    <xdr:to>
      <xdr:col>39</xdr:col>
      <xdr:colOff>83820</xdr:colOff>
      <xdr:row>207</xdr:row>
      <xdr:rowOff>114300</xdr:rowOff>
    </xdr:to>
    <xdr:sp macro="" textlink="">
      <xdr:nvSpPr>
        <xdr:cNvPr id="1556" name="Arrow: Down 1555">
          <a:extLst>
            <a:ext uri="{FF2B5EF4-FFF2-40B4-BE49-F238E27FC236}">
              <a16:creationId xmlns:a16="http://schemas.microsoft.com/office/drawing/2014/main" id="{42C77985-B24B-43F9-89D9-5212200A52AD}"/>
            </a:ext>
          </a:extLst>
        </xdr:cNvPr>
        <xdr:cNvSpPr/>
      </xdr:nvSpPr>
      <xdr:spPr>
        <a:xfrm>
          <a:off x="9525000" y="3795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7" name="Arrow: Down 1556">
          <a:extLst>
            <a:ext uri="{FF2B5EF4-FFF2-40B4-BE49-F238E27FC236}">
              <a16:creationId xmlns:a16="http://schemas.microsoft.com/office/drawing/2014/main" id="{78A14097-7ACB-4B05-A1FF-D7F506546763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58" name="Arrow: Down 1557">
          <a:extLst>
            <a:ext uri="{FF2B5EF4-FFF2-40B4-BE49-F238E27FC236}">
              <a16:creationId xmlns:a16="http://schemas.microsoft.com/office/drawing/2014/main" id="{F621FF92-827C-4A7B-B9EB-B2C125173105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9" name="Arrow: Down 1558">
          <a:extLst>
            <a:ext uri="{FF2B5EF4-FFF2-40B4-BE49-F238E27FC236}">
              <a16:creationId xmlns:a16="http://schemas.microsoft.com/office/drawing/2014/main" id="{8040DA70-C318-4F44-BC3F-184099D6418C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60" name="Arrow: Down 1559">
          <a:extLst>
            <a:ext uri="{FF2B5EF4-FFF2-40B4-BE49-F238E27FC236}">
              <a16:creationId xmlns:a16="http://schemas.microsoft.com/office/drawing/2014/main" id="{54F10EE8-6EEA-46F7-B2E3-76FDA3A53459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208</xdr:row>
      <xdr:rowOff>0</xdr:rowOff>
    </xdr:from>
    <xdr:to>
      <xdr:col>60</xdr:col>
      <xdr:colOff>83820</xdr:colOff>
      <xdr:row>208</xdr:row>
      <xdr:rowOff>114300</xdr:rowOff>
    </xdr:to>
    <xdr:sp macro="" textlink="">
      <xdr:nvSpPr>
        <xdr:cNvPr id="1569" name="Arrow: Down 1568">
          <a:extLst>
            <a:ext uri="{FF2B5EF4-FFF2-40B4-BE49-F238E27FC236}">
              <a16:creationId xmlns:a16="http://schemas.microsoft.com/office/drawing/2014/main" id="{752643D6-05FD-4DFA-B2C2-635110A027B4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208</xdr:row>
      <xdr:rowOff>0</xdr:rowOff>
    </xdr:from>
    <xdr:to>
      <xdr:col>24</xdr:col>
      <xdr:colOff>83820</xdr:colOff>
      <xdr:row>208</xdr:row>
      <xdr:rowOff>114300</xdr:rowOff>
    </xdr:to>
    <xdr:sp macro="" textlink="">
      <xdr:nvSpPr>
        <xdr:cNvPr id="1572" name="Arrow: Down 1571">
          <a:extLst>
            <a:ext uri="{FF2B5EF4-FFF2-40B4-BE49-F238E27FC236}">
              <a16:creationId xmlns:a16="http://schemas.microsoft.com/office/drawing/2014/main" id="{357A49E1-B412-4E81-B909-B2753379CA93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208</xdr:row>
      <xdr:rowOff>0</xdr:rowOff>
    </xdr:from>
    <xdr:to>
      <xdr:col>5</xdr:col>
      <xdr:colOff>83820</xdr:colOff>
      <xdr:row>208</xdr:row>
      <xdr:rowOff>114300</xdr:rowOff>
    </xdr:to>
    <xdr:sp macro="" textlink="">
      <xdr:nvSpPr>
        <xdr:cNvPr id="1582" name="Arrow: Down 1581">
          <a:extLst>
            <a:ext uri="{FF2B5EF4-FFF2-40B4-BE49-F238E27FC236}">
              <a16:creationId xmlns:a16="http://schemas.microsoft.com/office/drawing/2014/main" id="{2C46E994-21A8-4716-B11D-48B16C76720C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208</xdr:row>
      <xdr:rowOff>0</xdr:rowOff>
    </xdr:from>
    <xdr:to>
      <xdr:col>11</xdr:col>
      <xdr:colOff>83820</xdr:colOff>
      <xdr:row>208</xdr:row>
      <xdr:rowOff>114300</xdr:rowOff>
    </xdr:to>
    <xdr:sp macro="" textlink="">
      <xdr:nvSpPr>
        <xdr:cNvPr id="1583" name="Arrow: Down 1582">
          <a:extLst>
            <a:ext uri="{FF2B5EF4-FFF2-40B4-BE49-F238E27FC236}">
              <a16:creationId xmlns:a16="http://schemas.microsoft.com/office/drawing/2014/main" id="{5D0FC389-6051-40CF-AC34-9FE6DAC9A187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208</xdr:row>
      <xdr:rowOff>0</xdr:rowOff>
    </xdr:from>
    <xdr:to>
      <xdr:col>39</xdr:col>
      <xdr:colOff>83820</xdr:colOff>
      <xdr:row>208</xdr:row>
      <xdr:rowOff>114300</xdr:rowOff>
    </xdr:to>
    <xdr:sp macro="" textlink="">
      <xdr:nvSpPr>
        <xdr:cNvPr id="1585" name="Arrow: Down 1584">
          <a:extLst>
            <a:ext uri="{FF2B5EF4-FFF2-40B4-BE49-F238E27FC236}">
              <a16:creationId xmlns:a16="http://schemas.microsoft.com/office/drawing/2014/main" id="{319DEC7D-7111-41A3-8898-267D689A383E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456" name="Arrow: Down 1455">
          <a:extLst>
            <a:ext uri="{FF2B5EF4-FFF2-40B4-BE49-F238E27FC236}">
              <a16:creationId xmlns:a16="http://schemas.microsoft.com/office/drawing/2014/main" id="{03308E95-B8D4-45E4-9ABE-4AC11DFFEC5C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479" name="Arrow: Down 1478">
          <a:extLst>
            <a:ext uri="{FF2B5EF4-FFF2-40B4-BE49-F238E27FC236}">
              <a16:creationId xmlns:a16="http://schemas.microsoft.com/office/drawing/2014/main" id="{8C8323CE-BB2A-4A27-AFED-1BF78EA26350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510" name="Arrow: Down 1509">
          <a:extLst>
            <a:ext uri="{FF2B5EF4-FFF2-40B4-BE49-F238E27FC236}">
              <a16:creationId xmlns:a16="http://schemas.microsoft.com/office/drawing/2014/main" id="{8A0B627F-183D-44B8-9282-F80BAD475DB2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513" name="Arrow: Down 1512">
          <a:extLst>
            <a:ext uri="{FF2B5EF4-FFF2-40B4-BE49-F238E27FC236}">
              <a16:creationId xmlns:a16="http://schemas.microsoft.com/office/drawing/2014/main" id="{1DC5190F-CE41-49AB-A62F-FED742F2F105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209</xdr:row>
      <xdr:rowOff>0</xdr:rowOff>
    </xdr:from>
    <xdr:to>
      <xdr:col>24</xdr:col>
      <xdr:colOff>83820</xdr:colOff>
      <xdr:row>209</xdr:row>
      <xdr:rowOff>114300</xdr:rowOff>
    </xdr:to>
    <xdr:sp macro="" textlink="">
      <xdr:nvSpPr>
        <xdr:cNvPr id="1548" name="Arrow: Down 1547">
          <a:extLst>
            <a:ext uri="{FF2B5EF4-FFF2-40B4-BE49-F238E27FC236}">
              <a16:creationId xmlns:a16="http://schemas.microsoft.com/office/drawing/2014/main" id="{610DAC6A-BF61-48E5-A2F4-5FBB3F736C4B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209</xdr:row>
      <xdr:rowOff>0</xdr:rowOff>
    </xdr:from>
    <xdr:to>
      <xdr:col>5</xdr:col>
      <xdr:colOff>83820</xdr:colOff>
      <xdr:row>209</xdr:row>
      <xdr:rowOff>114300</xdr:rowOff>
    </xdr:to>
    <xdr:sp macro="" textlink="">
      <xdr:nvSpPr>
        <xdr:cNvPr id="1561" name="Arrow: Down 1560">
          <a:extLst>
            <a:ext uri="{FF2B5EF4-FFF2-40B4-BE49-F238E27FC236}">
              <a16:creationId xmlns:a16="http://schemas.microsoft.com/office/drawing/2014/main" id="{7337E330-E215-4BE5-A50C-5FB2EEA39929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83820</xdr:colOff>
      <xdr:row>209</xdr:row>
      <xdr:rowOff>114300</xdr:rowOff>
    </xdr:to>
    <xdr:sp macro="" textlink="">
      <xdr:nvSpPr>
        <xdr:cNvPr id="1562" name="Arrow: Down 1561">
          <a:extLst>
            <a:ext uri="{FF2B5EF4-FFF2-40B4-BE49-F238E27FC236}">
              <a16:creationId xmlns:a16="http://schemas.microsoft.com/office/drawing/2014/main" id="{1A372C3B-EE02-4F99-8404-9ED0671F3388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209</xdr:row>
      <xdr:rowOff>0</xdr:rowOff>
    </xdr:from>
    <xdr:to>
      <xdr:col>39</xdr:col>
      <xdr:colOff>83820</xdr:colOff>
      <xdr:row>209</xdr:row>
      <xdr:rowOff>114300</xdr:rowOff>
    </xdr:to>
    <xdr:sp macro="" textlink="">
      <xdr:nvSpPr>
        <xdr:cNvPr id="1563" name="Arrow: Down 1562">
          <a:extLst>
            <a:ext uri="{FF2B5EF4-FFF2-40B4-BE49-F238E27FC236}">
              <a16:creationId xmlns:a16="http://schemas.microsoft.com/office/drawing/2014/main" id="{794A9FAF-18F0-42D4-9D75-C84ED215C59F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209</xdr:row>
      <xdr:rowOff>0</xdr:rowOff>
    </xdr:from>
    <xdr:to>
      <xdr:col>60</xdr:col>
      <xdr:colOff>83820</xdr:colOff>
      <xdr:row>209</xdr:row>
      <xdr:rowOff>114300</xdr:rowOff>
    </xdr:to>
    <xdr:sp macro="" textlink="">
      <xdr:nvSpPr>
        <xdr:cNvPr id="1570" name="Arrow: Down 1569">
          <a:extLst>
            <a:ext uri="{FF2B5EF4-FFF2-40B4-BE49-F238E27FC236}">
              <a16:creationId xmlns:a16="http://schemas.microsoft.com/office/drawing/2014/main" id="{138D37A6-1BC3-4162-A538-1B313F7906D4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1" name="Arrow: Down 1570">
          <a:extLst>
            <a:ext uri="{FF2B5EF4-FFF2-40B4-BE49-F238E27FC236}">
              <a16:creationId xmlns:a16="http://schemas.microsoft.com/office/drawing/2014/main" id="{C20FD012-F8B2-4556-BF8E-8F8FE9C60846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3" name="Arrow: Down 1572">
          <a:extLst>
            <a:ext uri="{FF2B5EF4-FFF2-40B4-BE49-F238E27FC236}">
              <a16:creationId xmlns:a16="http://schemas.microsoft.com/office/drawing/2014/main" id="{3521FE54-86D1-4952-A66A-D89A9EA3F6CF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8" name="Arrow: Down 1577">
          <a:extLst>
            <a:ext uri="{FF2B5EF4-FFF2-40B4-BE49-F238E27FC236}">
              <a16:creationId xmlns:a16="http://schemas.microsoft.com/office/drawing/2014/main" id="{BCAF6AC7-B5D8-45F6-B3BD-A4B909DAEA94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9" name="Arrow: Down 1578">
          <a:extLst>
            <a:ext uri="{FF2B5EF4-FFF2-40B4-BE49-F238E27FC236}">
              <a16:creationId xmlns:a16="http://schemas.microsoft.com/office/drawing/2014/main" id="{477FC467-A576-4C4A-BF4C-FC07453315C1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210</xdr:row>
      <xdr:rowOff>0</xdr:rowOff>
    </xdr:from>
    <xdr:to>
      <xdr:col>24</xdr:col>
      <xdr:colOff>83820</xdr:colOff>
      <xdr:row>210</xdr:row>
      <xdr:rowOff>114300</xdr:rowOff>
    </xdr:to>
    <xdr:sp macro="" textlink="">
      <xdr:nvSpPr>
        <xdr:cNvPr id="1580" name="Arrow: Down 1579">
          <a:extLst>
            <a:ext uri="{FF2B5EF4-FFF2-40B4-BE49-F238E27FC236}">
              <a16:creationId xmlns:a16="http://schemas.microsoft.com/office/drawing/2014/main" id="{2B9450B7-9BB8-46C4-B51B-33C07A58513D}"/>
            </a:ext>
          </a:extLst>
        </xdr:cNvPr>
        <xdr:cNvSpPr/>
      </xdr:nvSpPr>
      <xdr:spPr>
        <a:xfrm rot="10800000">
          <a:off x="63627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5</xdr:col>
      <xdr:colOff>83820</xdr:colOff>
      <xdr:row>210</xdr:row>
      <xdr:rowOff>114300</xdr:rowOff>
    </xdr:to>
    <xdr:sp macro="" textlink="">
      <xdr:nvSpPr>
        <xdr:cNvPr id="1581" name="Arrow: Down 1580">
          <a:extLst>
            <a:ext uri="{FF2B5EF4-FFF2-40B4-BE49-F238E27FC236}">
              <a16:creationId xmlns:a16="http://schemas.microsoft.com/office/drawing/2014/main" id="{2A1306E7-714F-4784-82CD-E513CEB26E57}"/>
            </a:ext>
          </a:extLst>
        </xdr:cNvPr>
        <xdr:cNvSpPr/>
      </xdr:nvSpPr>
      <xdr:spPr>
        <a:xfrm rot="10800000">
          <a:off x="19278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210</xdr:row>
      <xdr:rowOff>0</xdr:rowOff>
    </xdr:from>
    <xdr:to>
      <xdr:col>11</xdr:col>
      <xdr:colOff>83820</xdr:colOff>
      <xdr:row>210</xdr:row>
      <xdr:rowOff>114300</xdr:rowOff>
    </xdr:to>
    <xdr:sp macro="" textlink="">
      <xdr:nvSpPr>
        <xdr:cNvPr id="1584" name="Arrow: Down 1583">
          <a:extLst>
            <a:ext uri="{FF2B5EF4-FFF2-40B4-BE49-F238E27FC236}">
              <a16:creationId xmlns:a16="http://schemas.microsoft.com/office/drawing/2014/main" id="{2F8C34D7-AF2B-4C48-8FEB-4168CD83B1FE}"/>
            </a:ext>
          </a:extLst>
        </xdr:cNvPr>
        <xdr:cNvSpPr/>
      </xdr:nvSpPr>
      <xdr:spPr>
        <a:xfrm rot="10800000">
          <a:off x="36195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210</xdr:row>
      <xdr:rowOff>0</xdr:rowOff>
    </xdr:from>
    <xdr:to>
      <xdr:col>39</xdr:col>
      <xdr:colOff>83820</xdr:colOff>
      <xdr:row>210</xdr:row>
      <xdr:rowOff>114300</xdr:rowOff>
    </xdr:to>
    <xdr:sp macro="" textlink="">
      <xdr:nvSpPr>
        <xdr:cNvPr id="1586" name="Arrow: Down 1585">
          <a:extLst>
            <a:ext uri="{FF2B5EF4-FFF2-40B4-BE49-F238E27FC236}">
              <a16:creationId xmlns:a16="http://schemas.microsoft.com/office/drawing/2014/main" id="{A1777B41-C8F3-4194-879B-750CCA492373}"/>
            </a:ext>
          </a:extLst>
        </xdr:cNvPr>
        <xdr:cNvSpPr/>
      </xdr:nvSpPr>
      <xdr:spPr>
        <a:xfrm rot="10800000">
          <a:off x="952500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210</xdr:row>
      <xdr:rowOff>0</xdr:rowOff>
    </xdr:from>
    <xdr:to>
      <xdr:col>60</xdr:col>
      <xdr:colOff>83820</xdr:colOff>
      <xdr:row>210</xdr:row>
      <xdr:rowOff>114300</xdr:rowOff>
    </xdr:to>
    <xdr:sp macro="" textlink="">
      <xdr:nvSpPr>
        <xdr:cNvPr id="1587" name="Arrow: Down 1586">
          <a:extLst>
            <a:ext uri="{FF2B5EF4-FFF2-40B4-BE49-F238E27FC236}">
              <a16:creationId xmlns:a16="http://schemas.microsoft.com/office/drawing/2014/main" id="{FB8518C1-9E8D-46B8-A348-4E38376F4D5C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88" name="Arrow: Down 1587">
          <a:extLst>
            <a:ext uri="{FF2B5EF4-FFF2-40B4-BE49-F238E27FC236}">
              <a16:creationId xmlns:a16="http://schemas.microsoft.com/office/drawing/2014/main" id="{F94EB5A7-DD1C-43E8-931E-E4AF74091E08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89" name="Arrow: Down 1588">
          <a:extLst>
            <a:ext uri="{FF2B5EF4-FFF2-40B4-BE49-F238E27FC236}">
              <a16:creationId xmlns:a16="http://schemas.microsoft.com/office/drawing/2014/main" id="{1D09D61D-F5DC-4762-B677-31C267F1175C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90" name="Arrow: Down 1589">
          <a:extLst>
            <a:ext uri="{FF2B5EF4-FFF2-40B4-BE49-F238E27FC236}">
              <a16:creationId xmlns:a16="http://schemas.microsoft.com/office/drawing/2014/main" id="{C8A8A951-4854-47AE-8854-33B836A07E29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91" name="Arrow: Down 1590">
          <a:extLst>
            <a:ext uri="{FF2B5EF4-FFF2-40B4-BE49-F238E27FC236}">
              <a16:creationId xmlns:a16="http://schemas.microsoft.com/office/drawing/2014/main" id="{23D23EE5-3972-4AD7-9BC5-0100EE297340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211</xdr:row>
      <xdr:rowOff>0</xdr:rowOff>
    </xdr:from>
    <xdr:to>
      <xdr:col>24</xdr:col>
      <xdr:colOff>83820</xdr:colOff>
      <xdr:row>211</xdr:row>
      <xdr:rowOff>114300</xdr:rowOff>
    </xdr:to>
    <xdr:sp macro="" textlink="">
      <xdr:nvSpPr>
        <xdr:cNvPr id="1592" name="Arrow: Down 1591">
          <a:extLst>
            <a:ext uri="{FF2B5EF4-FFF2-40B4-BE49-F238E27FC236}">
              <a16:creationId xmlns:a16="http://schemas.microsoft.com/office/drawing/2014/main" id="{26B2BF7B-CD99-4A9C-9EA2-444B9AE0726B}"/>
            </a:ext>
          </a:extLst>
        </xdr:cNvPr>
        <xdr:cNvSpPr/>
      </xdr:nvSpPr>
      <xdr:spPr>
        <a:xfrm rot="10800000">
          <a:off x="63627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211</xdr:row>
      <xdr:rowOff>0</xdr:rowOff>
    </xdr:from>
    <xdr:to>
      <xdr:col>5</xdr:col>
      <xdr:colOff>83820</xdr:colOff>
      <xdr:row>211</xdr:row>
      <xdr:rowOff>114300</xdr:rowOff>
    </xdr:to>
    <xdr:sp macro="" textlink="">
      <xdr:nvSpPr>
        <xdr:cNvPr id="1593" name="Arrow: Down 1592">
          <a:extLst>
            <a:ext uri="{FF2B5EF4-FFF2-40B4-BE49-F238E27FC236}">
              <a16:creationId xmlns:a16="http://schemas.microsoft.com/office/drawing/2014/main" id="{47E4880F-501E-4B32-B8F2-775F8D1D8E91}"/>
            </a:ext>
          </a:extLst>
        </xdr:cNvPr>
        <xdr:cNvSpPr/>
      </xdr:nvSpPr>
      <xdr:spPr>
        <a:xfrm rot="10800000">
          <a:off x="192786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211</xdr:row>
      <xdr:rowOff>0</xdr:rowOff>
    </xdr:from>
    <xdr:to>
      <xdr:col>11</xdr:col>
      <xdr:colOff>83820</xdr:colOff>
      <xdr:row>211</xdr:row>
      <xdr:rowOff>114300</xdr:rowOff>
    </xdr:to>
    <xdr:sp macro="" textlink="">
      <xdr:nvSpPr>
        <xdr:cNvPr id="1594" name="Arrow: Down 1593">
          <a:extLst>
            <a:ext uri="{FF2B5EF4-FFF2-40B4-BE49-F238E27FC236}">
              <a16:creationId xmlns:a16="http://schemas.microsoft.com/office/drawing/2014/main" id="{2BE218AA-AD73-455C-B86D-896BC02F38D3}"/>
            </a:ext>
          </a:extLst>
        </xdr:cNvPr>
        <xdr:cNvSpPr/>
      </xdr:nvSpPr>
      <xdr:spPr>
        <a:xfrm rot="10800000">
          <a:off x="36195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211</xdr:row>
      <xdr:rowOff>0</xdr:rowOff>
    </xdr:from>
    <xdr:to>
      <xdr:col>39</xdr:col>
      <xdr:colOff>83820</xdr:colOff>
      <xdr:row>211</xdr:row>
      <xdr:rowOff>114300</xdr:rowOff>
    </xdr:to>
    <xdr:sp macro="" textlink="">
      <xdr:nvSpPr>
        <xdr:cNvPr id="1547" name="Arrow: Down 1546">
          <a:extLst>
            <a:ext uri="{FF2B5EF4-FFF2-40B4-BE49-F238E27FC236}">
              <a16:creationId xmlns:a16="http://schemas.microsoft.com/office/drawing/2014/main" id="{4D43725C-65E0-4688-B1B8-EC704B9E723A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211</xdr:row>
      <xdr:rowOff>0</xdr:rowOff>
    </xdr:from>
    <xdr:to>
      <xdr:col>60</xdr:col>
      <xdr:colOff>83820</xdr:colOff>
      <xdr:row>211</xdr:row>
      <xdr:rowOff>114300</xdr:rowOff>
    </xdr:to>
    <xdr:sp macro="" textlink="">
      <xdr:nvSpPr>
        <xdr:cNvPr id="1598" name="Arrow: Down 1597">
          <a:extLst>
            <a:ext uri="{FF2B5EF4-FFF2-40B4-BE49-F238E27FC236}">
              <a16:creationId xmlns:a16="http://schemas.microsoft.com/office/drawing/2014/main" id="{F4021127-0932-4A0A-9705-26E4B9205B2D}"/>
            </a:ext>
          </a:extLst>
        </xdr:cNvPr>
        <xdr:cNvSpPr/>
      </xdr:nvSpPr>
      <xdr:spPr>
        <a:xfrm>
          <a:off x="1613916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599" name="Arrow: Down 1598">
          <a:extLst>
            <a:ext uri="{FF2B5EF4-FFF2-40B4-BE49-F238E27FC236}">
              <a16:creationId xmlns:a16="http://schemas.microsoft.com/office/drawing/2014/main" id="{405FA598-497F-4290-89D9-53168029C32C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0" name="Arrow: Down 1599">
          <a:extLst>
            <a:ext uri="{FF2B5EF4-FFF2-40B4-BE49-F238E27FC236}">
              <a16:creationId xmlns:a16="http://schemas.microsoft.com/office/drawing/2014/main" id="{75C72E09-255D-4C52-B6B6-C8C802A6B851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601" name="Arrow: Down 1600">
          <a:extLst>
            <a:ext uri="{FF2B5EF4-FFF2-40B4-BE49-F238E27FC236}">
              <a16:creationId xmlns:a16="http://schemas.microsoft.com/office/drawing/2014/main" id="{7EC27ED6-C88D-4502-82CA-8DE9AC496CED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2" name="Arrow: Down 1601">
          <a:extLst>
            <a:ext uri="{FF2B5EF4-FFF2-40B4-BE49-F238E27FC236}">
              <a16:creationId xmlns:a16="http://schemas.microsoft.com/office/drawing/2014/main" id="{9B8FF465-994E-4ABB-A4DE-2D169972FAB5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212</xdr:row>
      <xdr:rowOff>0</xdr:rowOff>
    </xdr:from>
    <xdr:to>
      <xdr:col>24</xdr:col>
      <xdr:colOff>83820</xdr:colOff>
      <xdr:row>212</xdr:row>
      <xdr:rowOff>114300</xdr:rowOff>
    </xdr:to>
    <xdr:sp macro="" textlink="">
      <xdr:nvSpPr>
        <xdr:cNvPr id="1603" name="Arrow: Down 1602">
          <a:extLst>
            <a:ext uri="{FF2B5EF4-FFF2-40B4-BE49-F238E27FC236}">
              <a16:creationId xmlns:a16="http://schemas.microsoft.com/office/drawing/2014/main" id="{8C80A46D-C374-4006-9B84-DDC6F28D548B}"/>
            </a:ext>
          </a:extLst>
        </xdr:cNvPr>
        <xdr:cNvSpPr/>
      </xdr:nvSpPr>
      <xdr:spPr>
        <a:xfrm rot="10800000">
          <a:off x="63627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212</xdr:row>
      <xdr:rowOff>0</xdr:rowOff>
    </xdr:from>
    <xdr:to>
      <xdr:col>5</xdr:col>
      <xdr:colOff>83820</xdr:colOff>
      <xdr:row>212</xdr:row>
      <xdr:rowOff>114300</xdr:rowOff>
    </xdr:to>
    <xdr:sp macro="" textlink="">
      <xdr:nvSpPr>
        <xdr:cNvPr id="1604" name="Arrow: Down 1603">
          <a:extLst>
            <a:ext uri="{FF2B5EF4-FFF2-40B4-BE49-F238E27FC236}">
              <a16:creationId xmlns:a16="http://schemas.microsoft.com/office/drawing/2014/main" id="{69D120EE-5ABA-4BF2-909A-0829444150E8}"/>
            </a:ext>
          </a:extLst>
        </xdr:cNvPr>
        <xdr:cNvSpPr/>
      </xdr:nvSpPr>
      <xdr:spPr>
        <a:xfrm rot="10800000">
          <a:off x="192786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212</xdr:row>
      <xdr:rowOff>0</xdr:rowOff>
    </xdr:from>
    <xdr:to>
      <xdr:col>11</xdr:col>
      <xdr:colOff>83820</xdr:colOff>
      <xdr:row>212</xdr:row>
      <xdr:rowOff>114300</xdr:rowOff>
    </xdr:to>
    <xdr:sp macro="" textlink="">
      <xdr:nvSpPr>
        <xdr:cNvPr id="1605" name="Arrow: Down 1604">
          <a:extLst>
            <a:ext uri="{FF2B5EF4-FFF2-40B4-BE49-F238E27FC236}">
              <a16:creationId xmlns:a16="http://schemas.microsoft.com/office/drawing/2014/main" id="{676CD082-CB39-4C38-89B9-6E9C60FACBC0}"/>
            </a:ext>
          </a:extLst>
        </xdr:cNvPr>
        <xdr:cNvSpPr/>
      </xdr:nvSpPr>
      <xdr:spPr>
        <a:xfrm rot="10800000">
          <a:off x="36195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212</xdr:row>
      <xdr:rowOff>0</xdr:rowOff>
    </xdr:from>
    <xdr:to>
      <xdr:col>39</xdr:col>
      <xdr:colOff>83820</xdr:colOff>
      <xdr:row>212</xdr:row>
      <xdr:rowOff>114300</xdr:rowOff>
    </xdr:to>
    <xdr:sp macro="" textlink="">
      <xdr:nvSpPr>
        <xdr:cNvPr id="1606" name="Arrow: Down 1605">
          <a:extLst>
            <a:ext uri="{FF2B5EF4-FFF2-40B4-BE49-F238E27FC236}">
              <a16:creationId xmlns:a16="http://schemas.microsoft.com/office/drawing/2014/main" id="{79523E88-BBF6-4FEF-BDC2-776378B99657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212</xdr:row>
      <xdr:rowOff>0</xdr:rowOff>
    </xdr:from>
    <xdr:to>
      <xdr:col>60</xdr:col>
      <xdr:colOff>83820</xdr:colOff>
      <xdr:row>212</xdr:row>
      <xdr:rowOff>114300</xdr:rowOff>
    </xdr:to>
    <xdr:sp macro="" textlink="">
      <xdr:nvSpPr>
        <xdr:cNvPr id="1608" name="Arrow: Down 1607">
          <a:extLst>
            <a:ext uri="{FF2B5EF4-FFF2-40B4-BE49-F238E27FC236}">
              <a16:creationId xmlns:a16="http://schemas.microsoft.com/office/drawing/2014/main" id="{64DAF5D9-BC8E-44D3-90B5-90A0806AAE6C}"/>
            </a:ext>
          </a:extLst>
        </xdr:cNvPr>
        <xdr:cNvSpPr/>
      </xdr:nvSpPr>
      <xdr:spPr>
        <a:xfrm rot="10800000">
          <a:off x="1613916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18" name="Arrow: Down 1617">
          <a:extLst>
            <a:ext uri="{FF2B5EF4-FFF2-40B4-BE49-F238E27FC236}">
              <a16:creationId xmlns:a16="http://schemas.microsoft.com/office/drawing/2014/main" id="{A881ED72-D5C3-4638-83BC-0FEF594FD5FD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19" name="Arrow: Down 1618">
          <a:extLst>
            <a:ext uri="{FF2B5EF4-FFF2-40B4-BE49-F238E27FC236}">
              <a16:creationId xmlns:a16="http://schemas.microsoft.com/office/drawing/2014/main" id="{C5B89BDC-FA6D-42EF-9CB8-DD56AC2978AA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20" name="Arrow: Down 1619">
          <a:extLst>
            <a:ext uri="{FF2B5EF4-FFF2-40B4-BE49-F238E27FC236}">
              <a16:creationId xmlns:a16="http://schemas.microsoft.com/office/drawing/2014/main" id="{F451E384-F374-474D-B303-D73E1A64F2EC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21" name="Arrow: Down 1620">
          <a:extLst>
            <a:ext uri="{FF2B5EF4-FFF2-40B4-BE49-F238E27FC236}">
              <a16:creationId xmlns:a16="http://schemas.microsoft.com/office/drawing/2014/main" id="{2307EF3E-DBFB-481C-8806-0AF0766A02D0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213</xdr:row>
      <xdr:rowOff>0</xdr:rowOff>
    </xdr:from>
    <xdr:to>
      <xdr:col>39</xdr:col>
      <xdr:colOff>83820</xdr:colOff>
      <xdr:row>213</xdr:row>
      <xdr:rowOff>114300</xdr:rowOff>
    </xdr:to>
    <xdr:sp macro="" textlink="">
      <xdr:nvSpPr>
        <xdr:cNvPr id="1625" name="Arrow: Down 1624">
          <a:extLst>
            <a:ext uri="{FF2B5EF4-FFF2-40B4-BE49-F238E27FC236}">
              <a16:creationId xmlns:a16="http://schemas.microsoft.com/office/drawing/2014/main" id="{9566A823-FF13-4DB5-9C50-90014452E5EC}"/>
            </a:ext>
          </a:extLst>
        </xdr:cNvPr>
        <xdr:cNvSpPr/>
      </xdr:nvSpPr>
      <xdr:spPr>
        <a:xfrm>
          <a:off x="952500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213</xdr:row>
      <xdr:rowOff>0</xdr:rowOff>
    </xdr:from>
    <xdr:to>
      <xdr:col>5</xdr:col>
      <xdr:colOff>83820</xdr:colOff>
      <xdr:row>213</xdr:row>
      <xdr:rowOff>114300</xdr:rowOff>
    </xdr:to>
    <xdr:sp macro="" textlink="">
      <xdr:nvSpPr>
        <xdr:cNvPr id="1627" name="Arrow: Down 1626">
          <a:extLst>
            <a:ext uri="{FF2B5EF4-FFF2-40B4-BE49-F238E27FC236}">
              <a16:creationId xmlns:a16="http://schemas.microsoft.com/office/drawing/2014/main" id="{8C676FE3-99AE-42C4-B782-6D1B5A03E642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213</xdr:row>
      <xdr:rowOff>0</xdr:rowOff>
    </xdr:from>
    <xdr:to>
      <xdr:col>11</xdr:col>
      <xdr:colOff>83820</xdr:colOff>
      <xdr:row>213</xdr:row>
      <xdr:rowOff>114300</xdr:rowOff>
    </xdr:to>
    <xdr:sp macro="" textlink="">
      <xdr:nvSpPr>
        <xdr:cNvPr id="1628" name="Arrow: Down 1627">
          <a:extLst>
            <a:ext uri="{FF2B5EF4-FFF2-40B4-BE49-F238E27FC236}">
              <a16:creationId xmlns:a16="http://schemas.microsoft.com/office/drawing/2014/main" id="{E1E6DCFA-E99C-4D53-AC87-DB5677769592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213</xdr:row>
      <xdr:rowOff>0</xdr:rowOff>
    </xdr:from>
    <xdr:to>
      <xdr:col>24</xdr:col>
      <xdr:colOff>83820</xdr:colOff>
      <xdr:row>213</xdr:row>
      <xdr:rowOff>114300</xdr:rowOff>
    </xdr:to>
    <xdr:sp macro="" textlink="">
      <xdr:nvSpPr>
        <xdr:cNvPr id="1630" name="Arrow: Down 1629">
          <a:extLst>
            <a:ext uri="{FF2B5EF4-FFF2-40B4-BE49-F238E27FC236}">
              <a16:creationId xmlns:a16="http://schemas.microsoft.com/office/drawing/2014/main" id="{3716B35E-C675-4FA9-BC62-6A39429B0ECC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213</xdr:row>
      <xdr:rowOff>0</xdr:rowOff>
    </xdr:from>
    <xdr:to>
      <xdr:col>60</xdr:col>
      <xdr:colOff>83820</xdr:colOff>
      <xdr:row>213</xdr:row>
      <xdr:rowOff>114300</xdr:rowOff>
    </xdr:to>
    <xdr:sp macro="" textlink="">
      <xdr:nvSpPr>
        <xdr:cNvPr id="1632" name="Arrow: Down 1631">
          <a:extLst>
            <a:ext uri="{FF2B5EF4-FFF2-40B4-BE49-F238E27FC236}">
              <a16:creationId xmlns:a16="http://schemas.microsoft.com/office/drawing/2014/main" id="{0602E895-52CB-4B1B-BD71-6D963C686C8A}"/>
            </a:ext>
          </a:extLst>
        </xdr:cNvPr>
        <xdr:cNvSpPr/>
      </xdr:nvSpPr>
      <xdr:spPr>
        <a:xfrm>
          <a:off x="161391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3" name="Arrow: Down 1632">
          <a:extLst>
            <a:ext uri="{FF2B5EF4-FFF2-40B4-BE49-F238E27FC236}">
              <a16:creationId xmlns:a16="http://schemas.microsoft.com/office/drawing/2014/main" id="{3639EDFD-3CA5-45F3-A23D-70E46F4A4669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4" name="Arrow: Down 1633">
          <a:extLst>
            <a:ext uri="{FF2B5EF4-FFF2-40B4-BE49-F238E27FC236}">
              <a16:creationId xmlns:a16="http://schemas.microsoft.com/office/drawing/2014/main" id="{4346E9DF-5556-4E92-9FE4-7E44C98FA192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5" name="Arrow: Down 1634">
          <a:extLst>
            <a:ext uri="{FF2B5EF4-FFF2-40B4-BE49-F238E27FC236}">
              <a16:creationId xmlns:a16="http://schemas.microsoft.com/office/drawing/2014/main" id="{A514A329-C6BB-4E47-AC3D-26ECB6A40FE1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6" name="Arrow: Down 1635">
          <a:extLst>
            <a:ext uri="{FF2B5EF4-FFF2-40B4-BE49-F238E27FC236}">
              <a16:creationId xmlns:a16="http://schemas.microsoft.com/office/drawing/2014/main" id="{6E228DE0-925E-4FB3-9C1C-CD4C7E49841B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83820</xdr:colOff>
      <xdr:row>214</xdr:row>
      <xdr:rowOff>114300</xdr:rowOff>
    </xdr:to>
    <xdr:sp macro="" textlink="">
      <xdr:nvSpPr>
        <xdr:cNvPr id="1638" name="Arrow: Down 1637">
          <a:extLst>
            <a:ext uri="{FF2B5EF4-FFF2-40B4-BE49-F238E27FC236}">
              <a16:creationId xmlns:a16="http://schemas.microsoft.com/office/drawing/2014/main" id="{74448102-A034-407B-90AC-1CE9301F12B4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214</xdr:row>
      <xdr:rowOff>0</xdr:rowOff>
    </xdr:from>
    <xdr:to>
      <xdr:col>11</xdr:col>
      <xdr:colOff>83820</xdr:colOff>
      <xdr:row>214</xdr:row>
      <xdr:rowOff>114300</xdr:rowOff>
    </xdr:to>
    <xdr:sp macro="" textlink="">
      <xdr:nvSpPr>
        <xdr:cNvPr id="1639" name="Arrow: Down 1638">
          <a:extLst>
            <a:ext uri="{FF2B5EF4-FFF2-40B4-BE49-F238E27FC236}">
              <a16:creationId xmlns:a16="http://schemas.microsoft.com/office/drawing/2014/main" id="{5FA8E31A-E0E1-4BD8-A8D0-AFB1ABB99C84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214</xdr:row>
      <xdr:rowOff>0</xdr:rowOff>
    </xdr:from>
    <xdr:to>
      <xdr:col>24</xdr:col>
      <xdr:colOff>83820</xdr:colOff>
      <xdr:row>214</xdr:row>
      <xdr:rowOff>114300</xdr:rowOff>
    </xdr:to>
    <xdr:sp macro="" textlink="">
      <xdr:nvSpPr>
        <xdr:cNvPr id="1640" name="Arrow: Down 1639">
          <a:extLst>
            <a:ext uri="{FF2B5EF4-FFF2-40B4-BE49-F238E27FC236}">
              <a16:creationId xmlns:a16="http://schemas.microsoft.com/office/drawing/2014/main" id="{6A15328A-AD9B-4D2D-BBDC-81669C0DF96E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214</xdr:row>
      <xdr:rowOff>0</xdr:rowOff>
    </xdr:from>
    <xdr:to>
      <xdr:col>39</xdr:col>
      <xdr:colOff>83820</xdr:colOff>
      <xdr:row>214</xdr:row>
      <xdr:rowOff>114300</xdr:rowOff>
    </xdr:to>
    <xdr:sp macro="" textlink="">
      <xdr:nvSpPr>
        <xdr:cNvPr id="1642" name="Arrow: Down 1641">
          <a:extLst>
            <a:ext uri="{FF2B5EF4-FFF2-40B4-BE49-F238E27FC236}">
              <a16:creationId xmlns:a16="http://schemas.microsoft.com/office/drawing/2014/main" id="{D461EF47-2315-45EB-ADF6-F04F3F82EFB2}"/>
            </a:ext>
          </a:extLst>
        </xdr:cNvPr>
        <xdr:cNvSpPr/>
      </xdr:nvSpPr>
      <xdr:spPr>
        <a:xfrm rot="10800000">
          <a:off x="118491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214</xdr:row>
      <xdr:rowOff>0</xdr:rowOff>
    </xdr:from>
    <xdr:to>
      <xdr:col>60</xdr:col>
      <xdr:colOff>83820</xdr:colOff>
      <xdr:row>214</xdr:row>
      <xdr:rowOff>114300</xdr:rowOff>
    </xdr:to>
    <xdr:sp macro="" textlink="">
      <xdr:nvSpPr>
        <xdr:cNvPr id="1644" name="Arrow: Down 1643">
          <a:extLst>
            <a:ext uri="{FF2B5EF4-FFF2-40B4-BE49-F238E27FC236}">
              <a16:creationId xmlns:a16="http://schemas.microsoft.com/office/drawing/2014/main" id="{C412BA3B-2114-4438-AF78-00E0CC36EFC8}"/>
            </a:ext>
          </a:extLst>
        </xdr:cNvPr>
        <xdr:cNvSpPr/>
      </xdr:nvSpPr>
      <xdr:spPr>
        <a:xfrm rot="10800000">
          <a:off x="18463260" y="3923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0.66667</cdr:x>
      <cdr:y>0.46047</cdr:y>
    </cdr:from>
    <cdr:to>
      <cdr:x>0.95238</cdr:x>
      <cdr:y>0.5814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238F2D0-5CC7-44BA-808D-8EEC52658841}"/>
            </a:ext>
          </a:extLst>
        </cdr:cNvPr>
        <cdr:cNvCxnSpPr/>
      </cdr:nvCxnSpPr>
      <cdr:spPr>
        <a:xfrm xmlns:a="http://schemas.openxmlformats.org/drawingml/2006/main">
          <a:off x="2773680" y="1508760"/>
          <a:ext cx="1188720" cy="39624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0.81745</cdr:x>
      <cdr:y>0.21077</cdr:y>
    </cdr:from>
    <cdr:to>
      <cdr:x>0.96123</cdr:x>
      <cdr:y>0.36066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FA295117-56DC-49EC-9C23-908A0FF25972}"/>
            </a:ext>
          </a:extLst>
        </cdr:cNvPr>
        <cdr:cNvCxnSpPr/>
      </cdr:nvCxnSpPr>
      <cdr:spPr>
        <a:xfrm xmlns:a="http://schemas.openxmlformats.org/drawingml/2006/main" flipV="1">
          <a:off x="3855720" y="685797"/>
          <a:ext cx="678174" cy="487683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203</xdr:row>
      <xdr:rowOff>0</xdr:rowOff>
    </xdr:from>
    <xdr:to>
      <xdr:col>14</xdr:col>
      <xdr:colOff>83820</xdr:colOff>
      <xdr:row>203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801C72CE-D790-40BE-8BA5-DAE49647536D}"/>
            </a:ext>
          </a:extLst>
        </xdr:cNvPr>
        <xdr:cNvSpPr/>
      </xdr:nvSpPr>
      <xdr:spPr>
        <a:xfrm>
          <a:off x="5158740" y="37322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204</xdr:row>
      <xdr:rowOff>0</xdr:rowOff>
    </xdr:from>
    <xdr:to>
      <xdr:col>14</xdr:col>
      <xdr:colOff>83820</xdr:colOff>
      <xdr:row>204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C2267D1D-29CF-4B1B-946D-E99A408BC44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83820</xdr:colOff>
      <xdr:row>205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6196483-CD6A-4247-B4E0-D8F36381C69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206</xdr:row>
      <xdr:rowOff>0</xdr:rowOff>
    </xdr:from>
    <xdr:to>
      <xdr:col>14</xdr:col>
      <xdr:colOff>83820</xdr:colOff>
      <xdr:row>206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A5253AA0-B2E7-4459-A92C-81B02314A181}"/>
            </a:ext>
          </a:extLst>
        </xdr:cNvPr>
        <xdr:cNvSpPr/>
      </xdr:nvSpPr>
      <xdr:spPr>
        <a:xfrm rot="10800000">
          <a:off x="5158740" y="3768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207</xdr:row>
      <xdr:rowOff>0</xdr:rowOff>
    </xdr:from>
    <xdr:to>
      <xdr:col>14</xdr:col>
      <xdr:colOff>83820</xdr:colOff>
      <xdr:row>207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74F487D1-6B2C-40EC-BAFD-A2398CDBDA26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208</xdr:row>
      <xdr:rowOff>0</xdr:rowOff>
    </xdr:from>
    <xdr:to>
      <xdr:col>14</xdr:col>
      <xdr:colOff>83820</xdr:colOff>
      <xdr:row>208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DD8D356-D63C-497A-954D-54D7CFA9DCFD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209</xdr:row>
      <xdr:rowOff>0</xdr:rowOff>
    </xdr:from>
    <xdr:to>
      <xdr:col>14</xdr:col>
      <xdr:colOff>83820</xdr:colOff>
      <xdr:row>209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6BE15D06-9ED4-458D-B8E6-89F7AC4C99F0}"/>
            </a:ext>
          </a:extLst>
        </xdr:cNvPr>
        <xdr:cNvSpPr/>
      </xdr:nvSpPr>
      <xdr:spPr>
        <a:xfrm>
          <a:off x="5158740" y="38420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210</xdr:row>
      <xdr:rowOff>0</xdr:rowOff>
    </xdr:from>
    <xdr:to>
      <xdr:col>14</xdr:col>
      <xdr:colOff>83820</xdr:colOff>
      <xdr:row>210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16ADE023-130F-446E-A2D3-FFC812356961}"/>
            </a:ext>
          </a:extLst>
        </xdr:cNvPr>
        <xdr:cNvSpPr/>
      </xdr:nvSpPr>
      <xdr:spPr>
        <a:xfrm rot="10800000">
          <a:off x="5158740" y="38602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211</xdr:row>
      <xdr:rowOff>0</xdr:rowOff>
    </xdr:from>
    <xdr:to>
      <xdr:col>14</xdr:col>
      <xdr:colOff>83820</xdr:colOff>
      <xdr:row>211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37C51709-245A-4485-A2E2-8B145AAB9212}"/>
            </a:ext>
          </a:extLst>
        </xdr:cNvPr>
        <xdr:cNvSpPr/>
      </xdr:nvSpPr>
      <xdr:spPr>
        <a:xfrm>
          <a:off x="5158740" y="3878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212</xdr:row>
      <xdr:rowOff>0</xdr:rowOff>
    </xdr:from>
    <xdr:to>
      <xdr:col>14</xdr:col>
      <xdr:colOff>83820</xdr:colOff>
      <xdr:row>212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9B4E6632-65E7-4BB8-A523-75A71C719CDF}"/>
            </a:ext>
          </a:extLst>
        </xdr:cNvPr>
        <xdr:cNvSpPr/>
      </xdr:nvSpPr>
      <xdr:spPr>
        <a:xfrm rot="10800000">
          <a:off x="5158740" y="389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213</xdr:row>
      <xdr:rowOff>0</xdr:rowOff>
    </xdr:from>
    <xdr:to>
      <xdr:col>14</xdr:col>
      <xdr:colOff>83820</xdr:colOff>
      <xdr:row>213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F360C447-9969-4AB2-B2E5-10B0EF20E9E2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214</xdr:row>
      <xdr:rowOff>0</xdr:rowOff>
    </xdr:from>
    <xdr:to>
      <xdr:col>14</xdr:col>
      <xdr:colOff>83820</xdr:colOff>
      <xdr:row>214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131BC8CC-7722-4CAC-A266-683C1F1AC160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215</xdr:row>
      <xdr:rowOff>0</xdr:rowOff>
    </xdr:from>
    <xdr:to>
      <xdr:col>14</xdr:col>
      <xdr:colOff>83820</xdr:colOff>
      <xdr:row>215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0EE1B940-FE09-4B5F-808C-D91D33EB89F6}"/>
            </a:ext>
          </a:extLst>
        </xdr:cNvPr>
        <xdr:cNvSpPr/>
      </xdr:nvSpPr>
      <xdr:spPr>
        <a:xfrm rot="10800000">
          <a:off x="5158740" y="39517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157</xdr:row>
      <xdr:rowOff>0</xdr:rowOff>
    </xdr:from>
    <xdr:to>
      <xdr:col>28</xdr:col>
      <xdr:colOff>83820</xdr:colOff>
      <xdr:row>157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8B953CA8-E799-4FDA-AE4B-F34DC2BBF61F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158</xdr:row>
      <xdr:rowOff>0</xdr:rowOff>
    </xdr:from>
    <xdr:to>
      <xdr:col>28</xdr:col>
      <xdr:colOff>83820</xdr:colOff>
      <xdr:row>158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84F42571-3E5A-47C5-A388-55F8C759C553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159</xdr:row>
      <xdr:rowOff>0</xdr:rowOff>
    </xdr:from>
    <xdr:to>
      <xdr:col>28</xdr:col>
      <xdr:colOff>83820</xdr:colOff>
      <xdr:row>159</xdr:row>
      <xdr:rowOff>114300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1D2919D2-D6DB-4AFF-A642-916D4DFDCF26}"/>
            </a:ext>
          </a:extLst>
        </xdr:cNvPr>
        <xdr:cNvSpPr/>
      </xdr:nvSpPr>
      <xdr:spPr>
        <a:xfrm rot="10800000">
          <a:off x="11803380" y="2945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160</xdr:row>
      <xdr:rowOff>0</xdr:rowOff>
    </xdr:from>
    <xdr:to>
      <xdr:col>28</xdr:col>
      <xdr:colOff>83820</xdr:colOff>
      <xdr:row>160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9307F5B5-2799-458D-B3A9-92CC190A6735}"/>
            </a:ext>
          </a:extLst>
        </xdr:cNvPr>
        <xdr:cNvSpPr/>
      </xdr:nvSpPr>
      <xdr:spPr>
        <a:xfrm rot="10800000">
          <a:off x="11803380" y="2963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161</xdr:row>
      <xdr:rowOff>0</xdr:rowOff>
    </xdr:from>
    <xdr:to>
      <xdr:col>28</xdr:col>
      <xdr:colOff>83820</xdr:colOff>
      <xdr:row>161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A5C66E21-F383-41E1-938A-9C173B5B311B}"/>
            </a:ext>
          </a:extLst>
        </xdr:cNvPr>
        <xdr:cNvSpPr/>
      </xdr:nvSpPr>
      <xdr:spPr>
        <a:xfrm rot="10800000">
          <a:off x="11803380" y="2981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162</xdr:row>
      <xdr:rowOff>0</xdr:rowOff>
    </xdr:from>
    <xdr:to>
      <xdr:col>28</xdr:col>
      <xdr:colOff>83820</xdr:colOff>
      <xdr:row>162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44DF6A42-4D23-4023-9C7A-4B4189E480F3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163</xdr:row>
      <xdr:rowOff>0</xdr:rowOff>
    </xdr:from>
    <xdr:to>
      <xdr:col>28</xdr:col>
      <xdr:colOff>83820</xdr:colOff>
      <xdr:row>163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3DB92C4F-40AC-49CE-93F8-3227D2E8E6A2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164</xdr:row>
      <xdr:rowOff>0</xdr:rowOff>
    </xdr:from>
    <xdr:to>
      <xdr:col>28</xdr:col>
      <xdr:colOff>83820</xdr:colOff>
      <xdr:row>164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6634F015-3F6A-4B15-A235-D381FC2A00E6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165</xdr:row>
      <xdr:rowOff>0</xdr:rowOff>
    </xdr:from>
    <xdr:to>
      <xdr:col>28</xdr:col>
      <xdr:colOff>83820</xdr:colOff>
      <xdr:row>165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24BECBD3-EC78-470D-8F25-A76BBB646A21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166</xdr:row>
      <xdr:rowOff>0</xdr:rowOff>
    </xdr:from>
    <xdr:to>
      <xdr:col>28</xdr:col>
      <xdr:colOff>83820</xdr:colOff>
      <xdr:row>166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72360416-8DC6-4693-9DBE-49A3711109B2}"/>
            </a:ext>
          </a:extLst>
        </xdr:cNvPr>
        <xdr:cNvSpPr/>
      </xdr:nvSpPr>
      <xdr:spPr>
        <a:xfrm rot="10800000">
          <a:off x="11803380" y="3073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167</xdr:row>
      <xdr:rowOff>0</xdr:rowOff>
    </xdr:from>
    <xdr:to>
      <xdr:col>28</xdr:col>
      <xdr:colOff>83820</xdr:colOff>
      <xdr:row>167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298D79C9-882F-4E04-BB19-08055E82800B}"/>
            </a:ext>
          </a:extLst>
        </xdr:cNvPr>
        <xdr:cNvSpPr/>
      </xdr:nvSpPr>
      <xdr:spPr>
        <a:xfrm rot="10800000">
          <a:off x="11803380" y="3091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168</xdr:row>
      <xdr:rowOff>0</xdr:rowOff>
    </xdr:from>
    <xdr:to>
      <xdr:col>28</xdr:col>
      <xdr:colOff>83820</xdr:colOff>
      <xdr:row>168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F66E442-4B4C-4D76-BCA1-F6851F610760}"/>
            </a:ext>
          </a:extLst>
        </xdr:cNvPr>
        <xdr:cNvSpPr/>
      </xdr:nvSpPr>
      <xdr:spPr>
        <a:xfrm rot="10800000">
          <a:off x="11803380" y="3109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169</xdr:row>
      <xdr:rowOff>0</xdr:rowOff>
    </xdr:from>
    <xdr:to>
      <xdr:col>28</xdr:col>
      <xdr:colOff>83820</xdr:colOff>
      <xdr:row>169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268ABF79-0B72-4FBF-AD11-C25215DB7268}"/>
            </a:ext>
          </a:extLst>
        </xdr:cNvPr>
        <xdr:cNvSpPr/>
      </xdr:nvSpPr>
      <xdr:spPr>
        <a:xfrm>
          <a:off x="11803380" y="3146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303"/>
  <sheetViews>
    <sheetView tabSelected="1" topLeftCell="V190" zoomScaleNormal="100" workbookViewId="0">
      <selection activeCell="BX229" sqref="BX229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8.77734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customWidth="1" outlineLevel="1"/>
    <col min="34" max="34" width="11" customWidth="1" outlineLevel="1"/>
    <col min="35" max="35" width="8.109375" customWidth="1" outlineLevel="1"/>
    <col min="36" max="36" width="2.21875" customWidth="1" outlineLevel="1"/>
    <col min="37" max="37" width="3.5546875" customWidth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77734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customWidth="1" outlineLevel="1"/>
    <col min="63" max="63" width="15.109375" customWidth="1" outlineLevel="1"/>
    <col min="64" max="64" width="0.88671875" customWidth="1" outlineLevel="1"/>
    <col min="65" max="65" width="6.88671875" customWidth="1" outlineLevel="1"/>
    <col min="66" max="66" width="9.5546875" customWidth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1" t="s">
        <v>5</v>
      </c>
      <c r="C1" s="601"/>
      <c r="D1" s="601"/>
    </row>
    <row r="2" spans="2:90" ht="15.6" x14ac:dyDescent="0.3">
      <c r="B2" s="601" t="s">
        <v>6</v>
      </c>
      <c r="C2" s="601"/>
      <c r="D2" s="601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4" t="s">
        <v>13</v>
      </c>
      <c r="C3" s="604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2" t="s">
        <v>11</v>
      </c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  <c r="AD4" s="11"/>
      <c r="AE4" s="325"/>
      <c r="AF4" s="447"/>
      <c r="AG4" s="447"/>
      <c r="AH4" s="447"/>
      <c r="AI4" s="447"/>
      <c r="AJ4" s="12"/>
      <c r="AL4" s="580" t="s">
        <v>14</v>
      </c>
      <c r="AM4" s="581"/>
      <c r="AN4" s="581"/>
      <c r="AO4" s="581"/>
      <c r="AP4" s="581"/>
      <c r="AQ4" s="581"/>
      <c r="AR4" s="581"/>
      <c r="AS4" s="581"/>
      <c r="AT4" s="581"/>
      <c r="AU4" s="581"/>
      <c r="AV4" s="581"/>
      <c r="AW4" s="581"/>
      <c r="AX4" s="581"/>
      <c r="AY4" s="581"/>
      <c r="AZ4" s="581"/>
      <c r="BA4" s="581"/>
      <c r="BB4" s="581"/>
      <c r="BC4" s="581"/>
      <c r="BD4" s="581"/>
      <c r="BE4" s="581"/>
      <c r="BF4" s="581"/>
      <c r="BG4" s="581"/>
      <c r="BH4" s="581"/>
      <c r="BI4" s="581"/>
      <c r="BJ4" s="581"/>
      <c r="BK4" s="581"/>
      <c r="BL4" s="581"/>
      <c r="BM4" s="581"/>
      <c r="BN4" s="581"/>
      <c r="BO4" s="581"/>
      <c r="BP4" s="581"/>
      <c r="BQ4" s="581"/>
      <c r="BR4" s="581"/>
      <c r="BS4" s="581"/>
      <c r="BT4" s="581"/>
      <c r="BU4" s="582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5" t="s">
        <v>12</v>
      </c>
      <c r="G6" s="605"/>
      <c r="H6" s="605"/>
      <c r="I6" s="605"/>
      <c r="J6" s="605"/>
      <c r="K6" s="605"/>
      <c r="L6" s="605"/>
      <c r="M6" s="335"/>
      <c r="N6" s="543"/>
      <c r="O6" s="335"/>
      <c r="P6" s="336"/>
      <c r="Q6" s="611" t="s">
        <v>124</v>
      </c>
      <c r="R6" s="605"/>
      <c r="S6" s="605"/>
      <c r="T6" s="605"/>
      <c r="U6" s="612"/>
      <c r="V6" s="3"/>
      <c r="W6" s="8" t="s">
        <v>7</v>
      </c>
      <c r="X6" s="30"/>
      <c r="Y6" s="606">
        <v>1.2500000000000001E-2</v>
      </c>
      <c r="Z6" s="606"/>
      <c r="AA6" s="606"/>
      <c r="AB6" s="606"/>
      <c r="AC6" s="606"/>
      <c r="AD6" s="606"/>
      <c r="AE6" s="606"/>
      <c r="AF6" s="606"/>
      <c r="AG6" s="606"/>
      <c r="AH6" s="606"/>
      <c r="AI6" s="606"/>
      <c r="AJ6" s="607"/>
      <c r="AK6" s="3"/>
      <c r="AL6" s="589" t="s">
        <v>27</v>
      </c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90"/>
      <c r="AY6" s="591"/>
      <c r="AZ6" s="3"/>
      <c r="BA6" s="592" t="s">
        <v>7</v>
      </c>
      <c r="BB6" s="584"/>
      <c r="BC6" s="584"/>
      <c r="BD6" s="97"/>
      <c r="BE6" s="583" t="s">
        <v>26</v>
      </c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583"/>
      <c r="BQ6" s="583"/>
      <c r="BR6" s="584"/>
      <c r="BS6" s="584"/>
      <c r="BT6" s="584"/>
      <c r="BU6" s="585"/>
      <c r="BV6" s="3"/>
    </row>
    <row r="7" spans="2:90" ht="16.2" x14ac:dyDescent="0.3">
      <c r="D7" s="586" t="s">
        <v>20</v>
      </c>
      <c r="E7" s="587"/>
      <c r="F7" s="587"/>
      <c r="G7" s="587"/>
      <c r="H7" s="587"/>
      <c r="I7" s="587"/>
      <c r="J7" s="587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608" t="s">
        <v>35</v>
      </c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10"/>
      <c r="AK7" s="3"/>
      <c r="AL7" s="586" t="s">
        <v>76</v>
      </c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8"/>
      <c r="BA7" s="586" t="s">
        <v>25</v>
      </c>
      <c r="BB7" s="587"/>
      <c r="BC7" s="587"/>
      <c r="BD7" s="587"/>
      <c r="BE7" s="587"/>
      <c r="BF7" s="587"/>
      <c r="BG7" s="587"/>
      <c r="BH7" s="587"/>
      <c r="BI7" s="587"/>
      <c r="BJ7" s="587"/>
      <c r="BK7" s="587"/>
      <c r="BL7" s="587"/>
      <c r="BM7" s="587"/>
      <c r="BN7" s="587"/>
      <c r="BO7" s="587"/>
      <c r="BP7" s="587"/>
      <c r="BQ7" s="587"/>
      <c r="BR7" s="587"/>
      <c r="BS7" s="587"/>
      <c r="BT7" s="587"/>
      <c r="BU7" s="588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8" t="s">
        <v>1</v>
      </c>
      <c r="BB8" s="579"/>
      <c r="BC8" s="579"/>
      <c r="BD8" s="64"/>
      <c r="BE8" s="579" t="s">
        <v>24</v>
      </c>
      <c r="BF8" s="579"/>
      <c r="BG8" s="579"/>
      <c r="BH8" s="579"/>
      <c r="BI8" s="593"/>
      <c r="BJ8" s="594" t="s">
        <v>124</v>
      </c>
      <c r="BK8" s="595"/>
      <c r="BL8" s="595"/>
      <c r="BM8" s="596"/>
      <c r="BN8" s="578" t="s">
        <v>24</v>
      </c>
      <c r="BO8" s="579"/>
      <c r="BP8" s="579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+AA113+W114+670+642-57-19</f>
        <v>132665</v>
      </c>
      <c r="AB114" s="33"/>
      <c r="AC114" s="46">
        <f t="shared" si="73"/>
        <v>4.6066859362824827E-2</v>
      </c>
      <c r="AD114" s="33"/>
      <c r="AE114" s="33">
        <f t="shared" si="74"/>
        <v>1263.4761904761904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150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133281</v>
      </c>
      <c r="AB115" s="33"/>
      <c r="AC115" s="46">
        <f t="shared" si="73"/>
        <v>4.53656608894639E-2</v>
      </c>
      <c r="AD115" s="33"/>
      <c r="AE115" s="33">
        <f t="shared" si="74"/>
        <v>1257.367924528302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2987430</v>
      </c>
      <c r="I116" s="505" t="s">
        <v>150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27919.906542056076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133535</v>
      </c>
      <c r="AB116" s="33"/>
      <c r="AC116" s="46">
        <f t="shared" si="73"/>
        <v>4.4698955289328955E-2</v>
      </c>
      <c r="AD116" s="33"/>
      <c r="AE116" s="33">
        <f t="shared" si="74"/>
        <v>1247.9906542056074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0.42190277261726633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3031960</v>
      </c>
      <c r="I117" s="16"/>
      <c r="J117" s="38">
        <f t="shared" si="70"/>
        <v>1.4905788587515021E-2</v>
      </c>
      <c r="K117" s="16"/>
      <c r="L117" s="16"/>
      <c r="M117" s="16"/>
      <c r="N117" s="16">
        <f>SUM(D111:D117)</f>
        <v>350953</v>
      </c>
      <c r="O117" s="16">
        <f t="shared" si="71"/>
        <v>28073.703703703704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133786</v>
      </c>
      <c r="AB117" s="33"/>
      <c r="AC117" s="46">
        <f t="shared" si="73"/>
        <v>4.4125252312035776E-2</v>
      </c>
      <c r="AD117" s="33"/>
      <c r="AE117" s="33">
        <f t="shared" si="74"/>
        <v>1238.7592592592594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0.42400262536445071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3085572</v>
      </c>
      <c r="I118" s="16"/>
      <c r="J118" s="38">
        <f t="shared" si="70"/>
        <v>1.7682291323104525E-2</v>
      </c>
      <c r="K118" s="16"/>
      <c r="L118" s="16"/>
      <c r="M118" s="16"/>
      <c r="N118" s="16"/>
      <c r="O118" s="16">
        <f t="shared" si="71"/>
        <v>28308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134164</v>
      </c>
      <c r="AB118" s="33"/>
      <c r="AC118" s="46">
        <f t="shared" si="73"/>
        <v>4.3481079034940688E-2</v>
      </c>
      <c r="AD118" s="33"/>
      <c r="AE118" s="33">
        <f t="shared" si="74"/>
        <v>1230.8623853211009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0.42940077236894814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3141014</v>
      </c>
      <c r="I119" s="16"/>
      <c r="J119" s="38">
        <f t="shared" si="70"/>
        <v>1.7968143345869096E-2</v>
      </c>
      <c r="K119" s="16"/>
      <c r="L119" s="16"/>
      <c r="M119" s="16"/>
      <c r="N119" s="16"/>
      <c r="O119" s="16">
        <f t="shared" si="71"/>
        <v>28554.672727272726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135157</v>
      </c>
      <c r="AB119" s="33"/>
      <c r="AC119" s="46">
        <f t="shared" si="73"/>
        <v>4.3029734983670881E-2</v>
      </c>
      <c r="AD119" s="33"/>
      <c r="AE119" s="33">
        <f t="shared" si="74"/>
        <v>1228.7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0.43134573739563081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3202862</v>
      </c>
      <c r="I120" s="16"/>
      <c r="J120" s="38">
        <f t="shared" si="70"/>
        <v>1.9690456648712804E-2</v>
      </c>
      <c r="K120" s="16"/>
      <c r="L120" s="16"/>
      <c r="M120" s="16"/>
      <c r="N120" s="16"/>
      <c r="O120" s="16">
        <f t="shared" si="71"/>
        <v>28854.612612612611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136047</v>
      </c>
      <c r="AB120" s="33"/>
      <c r="AC120" s="46">
        <f t="shared" si="73"/>
        <v>4.2476697403759513E-2</v>
      </c>
      <c r="AD120" s="33"/>
      <c r="AE120" s="33">
        <f t="shared" si="74"/>
        <v>1225.6486486486488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0.43482329241784379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3263929</v>
      </c>
      <c r="I121" s="16"/>
      <c r="J121" s="38">
        <f t="shared" si="70"/>
        <v>1.9066385001913912E-2</v>
      </c>
      <c r="K121" s="16"/>
      <c r="L121" s="16"/>
      <c r="M121" s="16"/>
      <c r="N121" s="16"/>
      <c r="O121" s="16">
        <f t="shared" si="71"/>
        <v>29142.223214285714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137007</v>
      </c>
      <c r="AB121" s="33"/>
      <c r="AC121" s="46">
        <f t="shared" si="73"/>
        <v>4.1976096906519718E-2</v>
      </c>
      <c r="AD121" s="33"/>
      <c r="AE121" s="33">
        <f t="shared" si="74"/>
        <v>1223.2767857142858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0.43702788878066895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3335716</v>
      </c>
      <c r="I122" s="16"/>
      <c r="J122" s="38">
        <f t="shared" si="70"/>
        <v>2.1994044600847629E-2</v>
      </c>
      <c r="K122" s="16"/>
      <c r="L122" s="16"/>
      <c r="M122" s="16"/>
      <c r="N122" s="16"/>
      <c r="O122" s="16">
        <f t="shared" si="71"/>
        <v>29519.610619469026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137856</v>
      </c>
      <c r="AB122" s="33"/>
      <c r="AC122" s="46">
        <f t="shared" si="73"/>
        <v>4.132725927507018E-2</v>
      </c>
      <c r="AD122" s="33"/>
      <c r="AE122" s="33">
        <f t="shared" si="74"/>
        <v>1219.9646017699115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0.43783553515946799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3397435</v>
      </c>
      <c r="I123" s="16"/>
      <c r="J123" s="38">
        <f t="shared" si="70"/>
        <v>1.8502474431276523E-2</v>
      </c>
      <c r="K123" s="16"/>
      <c r="L123" s="16"/>
      <c r="M123" s="16"/>
      <c r="N123" s="16"/>
      <c r="O123" s="16">
        <f t="shared" si="71"/>
        <v>29802.061403508771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138587</v>
      </c>
      <c r="AB123" s="33"/>
      <c r="AC123" s="46">
        <f t="shared" si="73"/>
        <v>4.0791656058173295E-2</v>
      </c>
      <c r="AD123" s="33"/>
      <c r="AE123" s="33">
        <f t="shared" si="74"/>
        <v>1215.6754385964912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0.4386974290898869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3455784</v>
      </c>
      <c r="I124" s="16"/>
      <c r="J124" s="38">
        <f t="shared" si="70"/>
        <v>1.7174427178150577E-2</v>
      </c>
      <c r="K124" s="16"/>
      <c r="L124" s="16"/>
      <c r="M124" s="16"/>
      <c r="N124" s="16">
        <f>SUM(D118:D124)</f>
        <v>423824</v>
      </c>
      <c r="O124" s="16">
        <f t="shared" si="71"/>
        <v>30050.295652173914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138967</v>
      </c>
      <c r="AB124" s="33"/>
      <c r="AC124" s="46">
        <f t="shared" si="73"/>
        <v>4.0212872100802599E-2</v>
      </c>
      <c r="AD124" s="33"/>
      <c r="AE124" s="33">
        <f t="shared" si="74"/>
        <v>1208.4086956521739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0.43899850222120362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3521272</v>
      </c>
      <c r="I125" s="16"/>
      <c r="J125" s="38">
        <f t="shared" si="70"/>
        <v>1.8950258465228152E-2</v>
      </c>
      <c r="K125" s="16"/>
      <c r="L125" s="16"/>
      <c r="M125" s="16"/>
      <c r="N125" s="16"/>
      <c r="O125" s="16">
        <f t="shared" si="71"/>
        <v>30355.793103448275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139432</v>
      </c>
      <c r="AB125" s="33"/>
      <c r="AC125" s="46">
        <f t="shared" si="73"/>
        <v>3.9597054700687709E-2</v>
      </c>
      <c r="AD125" s="33"/>
      <c r="AE125" s="33">
        <f t="shared" si="74"/>
        <v>1202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0.44003104559943113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3587320</v>
      </c>
      <c r="I126" s="16"/>
      <c r="J126" s="38">
        <f t="shared" si="70"/>
        <v>1.8756858317108136E-2</v>
      </c>
      <c r="K126" s="16"/>
      <c r="L126" s="16"/>
      <c r="M126" s="16"/>
      <c r="N126" s="16"/>
      <c r="O126" s="16">
        <f t="shared" si="71"/>
        <v>30660.854700854699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140368</v>
      </c>
      <c r="AB126" s="33"/>
      <c r="AC126" s="46">
        <f t="shared" si="73"/>
        <v>3.9128931904597306E-2</v>
      </c>
      <c r="AD126" s="33"/>
      <c r="AE126" s="33">
        <f t="shared" si="74"/>
        <v>1199.7264957264956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0.44606976796048303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3659325</v>
      </c>
      <c r="I127" s="16"/>
      <c r="J127" s="38">
        <f t="shared" ref="J127:J164" si="90">+D127/H126</f>
        <v>2.0072087240614163E-2</v>
      </c>
      <c r="K127" s="16"/>
      <c r="L127" s="16"/>
      <c r="M127" s="16"/>
      <c r="N127" s="16"/>
      <c r="O127" s="16">
        <f t="shared" ref="O127:O150" si="91">+H127/BW127</f>
        <v>31011.228813559323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141370</v>
      </c>
      <c r="AB127" s="33"/>
      <c r="AC127" s="46">
        <f t="shared" ref="AC127:AC164" si="94">+AA127/H127</f>
        <v>3.8632807963217261E-2</v>
      </c>
      <c r="AD127" s="33"/>
      <c r="AE127" s="33">
        <f t="shared" ref="AE127:AE164" si="95">+AA127/BW127</f>
        <v>1198.050847457627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0.4497993482404542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3732713</v>
      </c>
      <c r="I128" s="16"/>
      <c r="J128" s="38">
        <f t="shared" si="90"/>
        <v>2.0055064800202221E-2</v>
      </c>
      <c r="K128" s="16"/>
      <c r="L128" s="16"/>
      <c r="M128" s="16"/>
      <c r="N128" s="16"/>
      <c r="O128" s="16">
        <f t="shared" si="91"/>
        <v>31367.336134453781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142333</v>
      </c>
      <c r="AB128" s="33"/>
      <c r="AC128" s="46">
        <f t="shared" si="94"/>
        <v>3.8131246629462268E-2</v>
      </c>
      <c r="AD128" s="33"/>
      <c r="AE128" s="33">
        <f t="shared" si="95"/>
        <v>1196.0756302521008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0.44997646483938092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3807700</v>
      </c>
      <c r="I129" s="16"/>
      <c r="J129" s="38">
        <f t="shared" si="90"/>
        <v>2.0089141597545806E-2</v>
      </c>
      <c r="K129" s="16"/>
      <c r="L129" s="16"/>
      <c r="M129" s="16"/>
      <c r="N129" s="16"/>
      <c r="O129" s="16">
        <f t="shared" si="91"/>
        <v>31730.833333333332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143279</v>
      </c>
      <c r="AB129" s="33"/>
      <c r="AC129" s="46">
        <f t="shared" si="94"/>
        <v>3.7628752265146941E-2</v>
      </c>
      <c r="AD129" s="33"/>
      <c r="AE129" s="33">
        <f t="shared" si="95"/>
        <v>1193.9916666666666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0.45729259132809835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3870959</v>
      </c>
      <c r="I130" s="16"/>
      <c r="J130" s="479">
        <f t="shared" si="90"/>
        <v>1.6613441184967302E-2</v>
      </c>
      <c r="K130" s="16"/>
      <c r="L130" s="16"/>
      <c r="M130" s="16"/>
      <c r="N130" s="16"/>
      <c r="O130" s="16">
        <f t="shared" si="91"/>
        <v>31991.396694214876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144092</v>
      </c>
      <c r="AB130" s="33"/>
      <c r="AC130" s="46">
        <f t="shared" si="94"/>
        <v>3.7223850730529563E-2</v>
      </c>
      <c r="AD130" s="33"/>
      <c r="AE130" s="33">
        <f t="shared" si="95"/>
        <v>1190.8429752066115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0.45856698559710912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3936238</v>
      </c>
      <c r="I131" s="16"/>
      <c r="J131" s="479">
        <f t="shared" si="90"/>
        <v>1.6863779750702603E-2</v>
      </c>
      <c r="K131" s="16"/>
      <c r="L131" s="16"/>
      <c r="M131" s="16"/>
      <c r="N131" s="16">
        <f>SUM(D125:D131)</f>
        <v>480454</v>
      </c>
      <c r="O131" s="16">
        <f t="shared" si="91"/>
        <v>32264.245901639344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144504</v>
      </c>
      <c r="AB131" s="33"/>
      <c r="AC131" s="46">
        <f t="shared" si="94"/>
        <v>3.6711194800720888E-2</v>
      </c>
      <c r="AD131" s="33"/>
      <c r="AE131" s="33">
        <f t="shared" si="95"/>
        <v>1184.4590163934427</v>
      </c>
      <c r="AF131" s="50"/>
      <c r="AG131" s="33">
        <f>SUM(W125:W131)</f>
        <v>5537</v>
      </c>
      <c r="AH131" s="33">
        <f>SUM(D102:D224)</f>
        <v>5616588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0.45788339018118313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3999117</v>
      </c>
      <c r="I132" s="16"/>
      <c r="J132" s="479">
        <f t="shared" si="90"/>
        <v>1.5974389759968781E-2</v>
      </c>
      <c r="K132" s="16"/>
      <c r="L132" s="16"/>
      <c r="M132" s="16"/>
      <c r="N132" s="16"/>
      <c r="O132" s="16">
        <f t="shared" si="91"/>
        <v>32513.146341463416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145049</v>
      </c>
      <c r="AB132" s="33"/>
      <c r="AC132" s="46">
        <f t="shared" si="94"/>
        <v>3.6270256659157507E-2</v>
      </c>
      <c r="AD132" s="33"/>
      <c r="AE132" s="33">
        <f t="shared" si="95"/>
        <v>1179.260162601626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0.46259936881066493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4066596</v>
      </c>
      <c r="I133" s="16"/>
      <c r="J133" s="479">
        <f t="shared" si="90"/>
        <v>1.6873474819566418E-2</v>
      </c>
      <c r="K133" s="16"/>
      <c r="L133" s="16"/>
      <c r="M133" s="16"/>
      <c r="N133" s="16"/>
      <c r="O133" s="16">
        <f t="shared" si="91"/>
        <v>32795.129032258068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146214</v>
      </c>
      <c r="AB133" s="33"/>
      <c r="AC133" s="46">
        <f t="shared" si="94"/>
        <v>3.5954887084923115E-2</v>
      </c>
      <c r="AD133" s="33"/>
      <c r="AE133" s="33">
        <f t="shared" si="95"/>
        <v>1179.1451612903227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0.4639219140529327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4138563</v>
      </c>
      <c r="I134" s="16"/>
      <c r="J134" s="479">
        <f t="shared" si="90"/>
        <v>1.7697110802253287E-2</v>
      </c>
      <c r="K134" s="16"/>
      <c r="L134" s="16"/>
      <c r="M134" s="16"/>
      <c r="N134" s="16"/>
      <c r="O134" s="16">
        <f t="shared" si="91"/>
        <v>33108.504000000001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147419</v>
      </c>
      <c r="AB134" s="33"/>
      <c r="AC134" s="46">
        <f t="shared" si="94"/>
        <v>3.5620818143882307E-2</v>
      </c>
      <c r="AD134" s="33"/>
      <c r="AE134" s="33">
        <f t="shared" si="95"/>
        <v>1179.3520000000001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0.46939891938337053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4208006</v>
      </c>
      <c r="I135" s="16"/>
      <c r="J135" s="479">
        <f t="shared" si="90"/>
        <v>1.6779495684854862E-2</v>
      </c>
      <c r="K135" s="16"/>
      <c r="L135" s="16"/>
      <c r="M135" s="16"/>
      <c r="N135" s="16"/>
      <c r="O135" s="16">
        <f t="shared" si="91"/>
        <v>33396.873015873018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148585</v>
      </c>
      <c r="AB135" s="33"/>
      <c r="AC135" s="46">
        <f t="shared" si="94"/>
        <v>3.5310073227081899E-2</v>
      </c>
      <c r="AD135" s="33"/>
      <c r="AE135" s="33">
        <f t="shared" si="95"/>
        <v>1179.2460317460318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0.47044063150100074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4285984</v>
      </c>
      <c r="I136" s="16"/>
      <c r="J136" s="479">
        <f t="shared" si="90"/>
        <v>1.8530867113782632E-2</v>
      </c>
      <c r="K136" s="16"/>
      <c r="L136" s="16"/>
      <c r="M136" s="16"/>
      <c r="N136" s="16"/>
      <c r="O136" s="16">
        <f t="shared" si="91"/>
        <v>33747.905511811026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149726</v>
      </c>
      <c r="AB136" s="33"/>
      <c r="AC136" s="46">
        <f t="shared" si="94"/>
        <v>3.493386816189701E-2</v>
      </c>
      <c r="AD136" s="33"/>
      <c r="AE136" s="33">
        <f t="shared" si="95"/>
        <v>1178.9448818897638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0.47314502340652698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4353397</v>
      </c>
      <c r="I137" s="16"/>
      <c r="J137" s="479">
        <f t="shared" si="90"/>
        <v>1.5728710139841867E-2</v>
      </c>
      <c r="K137" s="16"/>
      <c r="L137" s="16"/>
      <c r="M137" s="16"/>
      <c r="N137" s="16"/>
      <c r="O137" s="16">
        <f t="shared" si="91"/>
        <v>34010.9140625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150634</v>
      </c>
      <c r="AB137" s="33"/>
      <c r="AC137" s="46">
        <f t="shared" si="94"/>
        <v>3.4601484771547369E-2</v>
      </c>
      <c r="AD137" s="33"/>
      <c r="AE137" s="33">
        <f t="shared" si="95"/>
        <v>1176.828125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0.473582354193748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4409527</v>
      </c>
      <c r="I138" s="16"/>
      <c r="J138" s="479">
        <f t="shared" si="90"/>
        <v>1.2893379583805474E-2</v>
      </c>
      <c r="K138" s="16"/>
      <c r="L138" s="16"/>
      <c r="M138" s="16"/>
      <c r="N138" s="16">
        <f>SUM(D132:D138)</f>
        <v>473289</v>
      </c>
      <c r="O138" s="16">
        <f t="shared" si="91"/>
        <v>34182.379844961237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151084</v>
      </c>
      <c r="AB138" s="33"/>
      <c r="AC138" s="46">
        <f t="shared" si="94"/>
        <v>3.4263085360402602E-2</v>
      </c>
      <c r="AD138" s="33"/>
      <c r="AE138" s="33">
        <f t="shared" si="95"/>
        <v>1171.1937984496124</v>
      </c>
      <c r="AF138" s="50"/>
      <c r="AG138" s="33">
        <f>SUM(W132:W138)</f>
        <v>6580</v>
      </c>
      <c r="AH138" s="33">
        <f>SUM(D109:D231)</f>
        <v>8163096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0.47400299397191581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4471098</v>
      </c>
      <c r="I139" s="16"/>
      <c r="J139" s="479">
        <f t="shared" si="90"/>
        <v>1.3963175642194729E-2</v>
      </c>
      <c r="K139" s="16"/>
      <c r="L139" s="16"/>
      <c r="M139" s="16"/>
      <c r="N139" s="16"/>
      <c r="O139" s="16">
        <f t="shared" si="91"/>
        <v>34393.061538461538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151680</v>
      </c>
      <c r="AB139" s="33"/>
      <c r="AC139" s="46">
        <f t="shared" si="94"/>
        <v>3.3924552760865451E-2</v>
      </c>
      <c r="AD139" s="33"/>
      <c r="AE139" s="33">
        <f t="shared" si="95"/>
        <v>1166.7692307692307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0.47786986552296551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4535827</v>
      </c>
      <c r="I140" s="16"/>
      <c r="J140" s="479">
        <f t="shared" si="90"/>
        <v>1.4477204480868011E-2</v>
      </c>
      <c r="K140" s="16"/>
      <c r="L140" s="16"/>
      <c r="M140" s="16"/>
      <c r="N140" s="16"/>
      <c r="O140" s="16">
        <f t="shared" si="91"/>
        <v>34624.633587786258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15" si="109">+V139+1</f>
        <v>32</v>
      </c>
      <c r="W140" s="34">
        <v>1245</v>
      </c>
      <c r="X140" s="33"/>
      <c r="Y140" s="33"/>
      <c r="Z140" s="33"/>
      <c r="AA140" s="33">
        <f t="shared" si="93"/>
        <v>152925</v>
      </c>
      <c r="AB140" s="33"/>
      <c r="AC140" s="46">
        <f t="shared" si="94"/>
        <v>3.3714910202703938E-2</v>
      </c>
      <c r="AD140" s="33"/>
      <c r="AE140" s="33">
        <f t="shared" si="95"/>
        <v>1167.3664122137404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0.48191740998940213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4602748</v>
      </c>
      <c r="I141" s="16"/>
      <c r="J141" s="479">
        <f t="shared" si="90"/>
        <v>1.4753869581004744E-2</v>
      </c>
      <c r="K141" s="16"/>
      <c r="L141" s="16"/>
      <c r="M141" s="16"/>
      <c r="N141" s="16"/>
      <c r="O141" s="16">
        <f t="shared" si="91"/>
        <v>34869.303030303032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154410</v>
      </c>
      <c r="AB141" s="33"/>
      <c r="AC141" s="46">
        <f t="shared" si="94"/>
        <v>3.3547350408929623E-2</v>
      </c>
      <c r="AD141" s="33"/>
      <c r="AE141" s="33">
        <f t="shared" si="95"/>
        <v>1169.7727272727273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0.48776165890463696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4671317</v>
      </c>
      <c r="I142" s="16"/>
      <c r="J142" s="479">
        <f t="shared" si="90"/>
        <v>1.4897404767760476E-2</v>
      </c>
      <c r="K142" s="16"/>
      <c r="L142" s="16"/>
      <c r="M142" s="16"/>
      <c r="N142" s="16"/>
      <c r="O142" s="16">
        <f t="shared" si="91"/>
        <v>35122.684210526313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155875</v>
      </c>
      <c r="AB142" s="33"/>
      <c r="AC142" s="46">
        <f t="shared" si="94"/>
        <v>3.3368533970184425E-2</v>
      </c>
      <c r="AD142" s="33"/>
      <c r="AE142" s="33">
        <f t="shared" si="95"/>
        <v>1171.9924812030076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0.48914792123934214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4742400</v>
      </c>
      <c r="I143" s="16"/>
      <c r="J143" s="479">
        <f t="shared" si="90"/>
        <v>1.521690777996869E-2</v>
      </c>
      <c r="K143" s="16"/>
      <c r="L143" s="16"/>
      <c r="M143" s="16"/>
      <c r="N143" s="16"/>
      <c r="O143" s="16">
        <f t="shared" si="91"/>
        <v>35391.044776119401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157337</v>
      </c>
      <c r="AB143" s="33"/>
      <c r="AC143" s="46">
        <f t="shared" si="94"/>
        <v>3.3176661605937921E-2</v>
      </c>
      <c r="AD143" s="33"/>
      <c r="AE143" s="33">
        <f t="shared" si="95"/>
        <v>1174.1567164179105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0.49080043859649125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4800941</v>
      </c>
      <c r="I144" s="16"/>
      <c r="J144" s="479">
        <f t="shared" si="90"/>
        <v>1.2344171727395412E-2</v>
      </c>
      <c r="K144" s="16"/>
      <c r="L144" s="16"/>
      <c r="M144" s="16"/>
      <c r="N144" s="16"/>
      <c r="O144" s="16">
        <f t="shared" si="91"/>
        <v>35562.525925925926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158460</v>
      </c>
      <c r="AB144" s="33"/>
      <c r="AC144" s="46">
        <f t="shared" si="94"/>
        <v>3.3006029442977952E-2</v>
      </c>
      <c r="AD144" s="33"/>
      <c r="AE144" s="33">
        <f t="shared" si="95"/>
        <v>1173.7777777777778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0.49217497153162265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4849979</v>
      </c>
      <c r="I145" s="16"/>
      <c r="J145" s="479">
        <f t="shared" si="90"/>
        <v>1.0214247581880302E-2</v>
      </c>
      <c r="K145" s="16"/>
      <c r="L145" s="16"/>
      <c r="M145" s="16"/>
      <c r="N145" s="16">
        <f>SUM(D139:D145)</f>
        <v>440452</v>
      </c>
      <c r="O145" s="16">
        <f t="shared" si="91"/>
        <v>35661.61029411765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158927</v>
      </c>
      <c r="AB145" s="33"/>
      <c r="AC145" s="46">
        <f t="shared" si="94"/>
        <v>3.27685954928877E-2</v>
      </c>
      <c r="AD145" s="33"/>
      <c r="AE145" s="33">
        <f t="shared" si="95"/>
        <v>1168.5808823529412</v>
      </c>
      <c r="AF145" s="50"/>
      <c r="AG145" s="33">
        <f>SUM(W139:W145)</f>
        <v>7843</v>
      </c>
      <c r="AH145" s="33">
        <f>SUM(D116:D238)</f>
        <v>8824036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0.49076851672966004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4898625</v>
      </c>
      <c r="I146" s="16"/>
      <c r="J146" s="479">
        <f t="shared" si="90"/>
        <v>1.0030146522283911E-2</v>
      </c>
      <c r="K146" s="16"/>
      <c r="L146" s="16"/>
      <c r="M146" s="16"/>
      <c r="N146" s="16"/>
      <c r="O146" s="16">
        <f t="shared" si="91"/>
        <v>35756.386861313869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159489</v>
      </c>
      <c r="AB146" s="33"/>
      <c r="AC146" s="46">
        <f t="shared" si="94"/>
        <v>3.2557911658883873E-2</v>
      </c>
      <c r="AD146" s="33"/>
      <c r="AE146" s="33">
        <f t="shared" si="95"/>
        <v>1164.1532846715329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0.49948669269437851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4953189</v>
      </c>
      <c r="I147" s="16"/>
      <c r="J147" s="479">
        <f t="shared" si="90"/>
        <v>1.113863584169027E-2</v>
      </c>
      <c r="K147" s="16"/>
      <c r="L147" s="16"/>
      <c r="M147" s="16"/>
      <c r="N147" s="16"/>
      <c r="O147" s="16">
        <f t="shared" si="91"/>
        <v>35892.67391304348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160848</v>
      </c>
      <c r="AB147" s="33"/>
      <c r="AC147" s="46">
        <f t="shared" si="94"/>
        <v>3.2473624567929876E-2</v>
      </c>
      <c r="AD147" s="33"/>
      <c r="AE147" s="33">
        <f t="shared" si="95"/>
        <v>1165.5652173913043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0.50102671228576179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5008337</v>
      </c>
      <c r="I148" s="16"/>
      <c r="J148" s="479">
        <f t="shared" si="90"/>
        <v>1.1133837210734337E-2</v>
      </c>
      <c r="K148" s="16"/>
      <c r="L148" s="16"/>
      <c r="M148" s="16"/>
      <c r="N148" s="16"/>
      <c r="O148" s="16">
        <f t="shared" si="91"/>
        <v>36031.201438848919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162167</v>
      </c>
      <c r="AB148" s="33"/>
      <c r="AC148" s="46">
        <f t="shared" si="94"/>
        <v>3.2379410570814227E-2</v>
      </c>
      <c r="AD148" s="33"/>
      <c r="AE148" s="33">
        <f t="shared" si="95"/>
        <v>1166.6690647482014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0.5071817251914158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5067047</v>
      </c>
      <c r="I149" s="16"/>
      <c r="J149" s="479">
        <f t="shared" si="90"/>
        <v>1.1722453980233359E-2</v>
      </c>
      <c r="K149" s="16"/>
      <c r="L149" s="16"/>
      <c r="M149" s="16"/>
      <c r="N149" s="16"/>
      <c r="O149" s="16">
        <f t="shared" si="91"/>
        <v>36193.192857142858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163370</v>
      </c>
      <c r="AB149" s="33"/>
      <c r="AC149" s="46">
        <f t="shared" si="94"/>
        <v>3.2241658701804031E-2</v>
      </c>
      <c r="AD149" s="33"/>
      <c r="AE149" s="33">
        <f t="shared" si="95"/>
        <v>1166.9285714285713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0.50639593435782226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5130293</v>
      </c>
      <c r="I150" s="16"/>
      <c r="J150" s="479">
        <f t="shared" si="90"/>
        <v>1.2481826199756978E-2</v>
      </c>
      <c r="K150" s="16"/>
      <c r="L150" s="16"/>
      <c r="M150" s="16"/>
      <c r="N150" s="16"/>
      <c r="O150" s="16">
        <f t="shared" si="91"/>
        <v>36385.056737588653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164660</v>
      </c>
      <c r="AB150" s="33"/>
      <c r="AC150" s="46">
        <f t="shared" si="94"/>
        <v>3.2095632744562543E-2</v>
      </c>
      <c r="AD150" s="33"/>
      <c r="AE150" s="33">
        <f t="shared" si="95"/>
        <v>1167.8014184397164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0.51010088507615448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5184492</v>
      </c>
      <c r="I151" s="16"/>
      <c r="J151" s="479">
        <f t="shared" si="90"/>
        <v>1.0564503820736945E-2</v>
      </c>
      <c r="K151" s="16"/>
      <c r="L151" s="16"/>
      <c r="M151" s="16"/>
      <c r="N151" s="16"/>
      <c r="O151" s="16">
        <f t="shared" ref="O151:O160" si="110">+H151/BW151</f>
        <v>36510.507042253521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165636</v>
      </c>
      <c r="AB151" s="33"/>
      <c r="AC151" s="46">
        <f t="shared" si="94"/>
        <v>3.1948356753178517E-2</v>
      </c>
      <c r="AD151" s="33"/>
      <c r="AE151" s="33">
        <f t="shared" si="95"/>
        <v>1166.4507042253522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0.5089158204892591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5232341</v>
      </c>
      <c r="I152" s="16"/>
      <c r="J152" s="479">
        <f t="shared" si="90"/>
        <v>9.2292552481516021E-3</v>
      </c>
      <c r="K152" s="16"/>
      <c r="L152" s="16"/>
      <c r="M152" s="16"/>
      <c r="N152" s="16">
        <f>SUM(D146:D152)</f>
        <v>382362</v>
      </c>
      <c r="O152" s="16">
        <f t="shared" si="110"/>
        <v>36589.797202797206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166170</v>
      </c>
      <c r="AB152" s="33"/>
      <c r="AC152" s="46">
        <f t="shared" si="94"/>
        <v>3.1758251230185497E-2</v>
      </c>
      <c r="AD152" s="33"/>
      <c r="AE152" s="33">
        <f t="shared" si="95"/>
        <v>1162.0279720279721</v>
      </c>
      <c r="AF152" s="50"/>
      <c r="AG152" s="33">
        <f t="shared" ref="AG152:AG164" si="111">SUM(W146:W152)</f>
        <v>7243</v>
      </c>
      <c r="AH152" s="33">
        <f>SUM(D123:D245)</f>
        <v>8461166.0048999991</v>
      </c>
      <c r="AI152" s="231">
        <f t="shared" ref="AI152:AI164" si="112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0.50927510267392739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5282141</v>
      </c>
      <c r="I153" s="16"/>
      <c r="J153" s="479">
        <f t="shared" si="90"/>
        <v>9.5177282979071898E-3</v>
      </c>
      <c r="K153" s="16"/>
      <c r="L153" s="16"/>
      <c r="M153" s="16"/>
      <c r="N153" s="16"/>
      <c r="O153" s="16">
        <f t="shared" si="110"/>
        <v>36681.534722222219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166739</v>
      </c>
      <c r="AB153" s="33"/>
      <c r="AC153" s="46">
        <f t="shared" si="94"/>
        <v>3.1566556061263795E-2</v>
      </c>
      <c r="AD153" s="33"/>
      <c r="AE153" s="33">
        <f t="shared" si="95"/>
        <v>1157.9097222222222</v>
      </c>
      <c r="AF153" s="50"/>
      <c r="AG153" s="33">
        <f t="shared" si="111"/>
        <v>7250</v>
      </c>
      <c r="AH153" s="33">
        <f>SUM(D124:D246)</f>
        <v>8399447.004900001</v>
      </c>
      <c r="AI153" s="231" t="e">
        <f t="shared" si="112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0.51417294615952125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5336660</v>
      </c>
      <c r="I154" s="16"/>
      <c r="J154" s="479">
        <f t="shared" si="90"/>
        <v>1.0321382939228619E-2</v>
      </c>
      <c r="K154" s="16"/>
      <c r="L154" s="16"/>
      <c r="M154" s="16"/>
      <c r="N154" s="16"/>
      <c r="O154" s="16">
        <f t="shared" si="110"/>
        <v>36804.551724137928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168243</v>
      </c>
      <c r="AB154" s="33"/>
      <c r="AC154" s="46">
        <f t="shared" si="94"/>
        <v>3.1525898220984658E-2</v>
      </c>
      <c r="AD154" s="33"/>
      <c r="AE154" s="33">
        <f t="shared" si="95"/>
        <v>1160.296551724138</v>
      </c>
      <c r="AF154" s="50"/>
      <c r="AG154" s="33">
        <f t="shared" si="111"/>
        <v>7395</v>
      </c>
      <c r="AH154" s="33">
        <f>SUM(D125:D247)</f>
        <v>8341098.0049000001</v>
      </c>
      <c r="AI154" s="231" t="e">
        <f t="shared" si="112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0.51630570431693235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5391005</v>
      </c>
      <c r="I155" s="16"/>
      <c r="J155" s="479">
        <f t="shared" si="90"/>
        <v>1.0183335644391811E-2</v>
      </c>
      <c r="K155" s="16"/>
      <c r="L155" s="16"/>
      <c r="M155" s="16"/>
      <c r="N155" s="16"/>
      <c r="O155" s="16">
        <f t="shared" si="110"/>
        <v>36924.691780821915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169629</v>
      </c>
      <c r="AB155" s="33"/>
      <c r="AC155" s="46">
        <f t="shared" si="94"/>
        <v>3.1465190627721545E-2</v>
      </c>
      <c r="AD155" s="33"/>
      <c r="AE155" s="33">
        <f t="shared" si="95"/>
        <v>1161.8424657534247</v>
      </c>
      <c r="AF155" s="50"/>
      <c r="AG155" s="33">
        <f t="shared" si="111"/>
        <v>7462</v>
      </c>
      <c r="AH155" s="33">
        <f>SUM(D126:D248)</f>
        <v>8275610.0049000001</v>
      </c>
      <c r="AI155" s="231" t="e">
        <f t="shared" si="112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0.52172146009881271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5446369</v>
      </c>
      <c r="I156" s="16"/>
      <c r="J156" s="479">
        <f t="shared" si="90"/>
        <v>1.0269699249026851E-2</v>
      </c>
      <c r="K156" s="16"/>
      <c r="L156" s="16"/>
      <c r="M156" s="16"/>
      <c r="N156" s="16"/>
      <c r="O156" s="16">
        <f t="shared" si="110"/>
        <v>37050.12925170068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170913</v>
      </c>
      <c r="AB156" s="33"/>
      <c r="AC156" s="46">
        <f t="shared" si="94"/>
        <v>3.1381090778094541E-2</v>
      </c>
      <c r="AD156" s="33"/>
      <c r="AE156" s="33">
        <f t="shared" si="95"/>
        <v>1162.6734693877552</v>
      </c>
      <c r="AF156" s="50"/>
      <c r="AG156" s="33">
        <f t="shared" si="111"/>
        <v>7543</v>
      </c>
      <c r="AH156" s="33">
        <f>SUM(D127:D249)</f>
        <v>8209562.0049000001</v>
      </c>
      <c r="AI156" s="231" t="e">
        <f t="shared" si="112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0.52203660824303311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5506969</v>
      </c>
      <c r="I157" s="16"/>
      <c r="J157" s="479">
        <f t="shared" si="90"/>
        <v>1.1126679077381647E-2</v>
      </c>
      <c r="K157" s="16"/>
      <c r="L157" s="16"/>
      <c r="M157" s="16"/>
      <c r="N157" s="16"/>
      <c r="O157" s="16">
        <f t="shared" si="110"/>
        <v>37209.25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172033</v>
      </c>
      <c r="AB157" s="33"/>
      <c r="AC157" s="46">
        <f t="shared" si="94"/>
        <v>3.1239144436803621E-2</v>
      </c>
      <c r="AD157" s="33"/>
      <c r="AE157" s="33">
        <f t="shared" si="95"/>
        <v>1162.3851351351352</v>
      </c>
      <c r="AF157" s="50"/>
      <c r="AG157" s="33">
        <f t="shared" si="111"/>
        <v>7373</v>
      </c>
      <c r="AH157" s="33">
        <f>SUM(D128:D250)</f>
        <v>8137567.0049000001</v>
      </c>
      <c r="AI157" s="231" t="e">
        <f t="shared" si="112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0.52209246138846976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5560492</v>
      </c>
      <c r="I158" s="16"/>
      <c r="J158" s="479">
        <f t="shared" si="90"/>
        <v>9.7191395121345343E-3</v>
      </c>
      <c r="K158" s="16"/>
      <c r="L158" s="16"/>
      <c r="M158" s="16"/>
      <c r="N158" s="16"/>
      <c r="O158" s="16">
        <f t="shared" si="110"/>
        <v>37318.738255033561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173104</v>
      </c>
      <c r="AB158" s="33"/>
      <c r="AC158" s="46">
        <f t="shared" si="94"/>
        <v>3.1131058186937417E-2</v>
      </c>
      <c r="AD158" s="33"/>
      <c r="AE158" s="33">
        <f t="shared" si="95"/>
        <v>1161.7718120805368</v>
      </c>
      <c r="AF158" s="50"/>
      <c r="AG158" s="33">
        <f t="shared" si="111"/>
        <v>7468</v>
      </c>
      <c r="AH158" s="33">
        <f>SUM(D129:D251)</f>
        <v>85064179.004899994</v>
      </c>
      <c r="AI158" s="231" t="e">
        <f t="shared" si="112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0.52232590209643315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5597335</v>
      </c>
      <c r="I159" s="16"/>
      <c r="J159" s="479">
        <f t="shared" si="90"/>
        <v>6.6258525324737454E-3</v>
      </c>
      <c r="K159" s="16"/>
      <c r="L159" s="16"/>
      <c r="M159" s="16"/>
      <c r="N159" s="16">
        <f t="shared" ref="N159:N164" si="113">SUM(D153:D159)</f>
        <v>364994</v>
      </c>
      <c r="O159" s="16">
        <f t="shared" si="110"/>
        <v>37315.566666666666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173626</v>
      </c>
      <c r="AB159" s="33"/>
      <c r="AC159" s="46">
        <f t="shared" si="94"/>
        <v>3.1019404770305868E-2</v>
      </c>
      <c r="AD159" s="33"/>
      <c r="AE159" s="33">
        <f t="shared" si="95"/>
        <v>1157.5066666666667</v>
      </c>
      <c r="AF159" s="50"/>
      <c r="AG159" s="33">
        <f t="shared" si="111"/>
        <v>7456</v>
      </c>
      <c r="AH159" s="33">
        <f>SUM(D130:D252)</f>
        <v>84989192.237528399</v>
      </c>
      <c r="AI159" s="231">
        <f t="shared" si="112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0.52216349387699679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5637947</v>
      </c>
      <c r="I160" s="16"/>
      <c r="J160" s="479">
        <f t="shared" si="90"/>
        <v>7.2555957433314243E-3</v>
      </c>
      <c r="K160" s="16"/>
      <c r="L160" s="16"/>
      <c r="M160" s="16"/>
      <c r="N160" s="16">
        <f t="shared" si="113"/>
        <v>355806</v>
      </c>
      <c r="O160" s="16">
        <f t="shared" si="110"/>
        <v>37337.397350993378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174215</v>
      </c>
      <c r="AB160" s="33"/>
      <c r="AC160" s="46">
        <f t="shared" si="94"/>
        <v>3.090043237369915E-2</v>
      </c>
      <c r="AD160" s="33"/>
      <c r="AE160" s="33">
        <f t="shared" si="95"/>
        <v>1153.7417218543046</v>
      </c>
      <c r="AF160" s="50"/>
      <c r="AG160" s="33">
        <f t="shared" si="111"/>
        <v>7476</v>
      </c>
      <c r="AH160" s="33">
        <f>SUM(D131:D253)</f>
        <v>84925933.237528399</v>
      </c>
      <c r="AI160" s="231">
        <f t="shared" si="112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0.52742372356462375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5681946</v>
      </c>
      <c r="I161" s="16"/>
      <c r="J161" s="479">
        <f t="shared" si="90"/>
        <v>7.8040818759027002E-3</v>
      </c>
      <c r="K161" s="16"/>
      <c r="L161" s="16"/>
      <c r="M161" s="16"/>
      <c r="N161" s="16">
        <f t="shared" si="113"/>
        <v>345286</v>
      </c>
      <c r="O161" s="16">
        <f t="shared" ref="O161:O169" si="114">+H161/BW161</f>
        <v>37381.223684210527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175573</v>
      </c>
      <c r="AB161" s="33"/>
      <c r="AC161" s="46">
        <f t="shared" si="94"/>
        <v>3.0900152870161034E-2</v>
      </c>
      <c r="AD161" s="33"/>
      <c r="AE161" s="33">
        <f t="shared" si="95"/>
        <v>1155.0855263157894</v>
      </c>
      <c r="AF161" s="50"/>
      <c r="AG161" s="33">
        <f t="shared" si="111"/>
        <v>7330</v>
      </c>
      <c r="AH161" s="33">
        <f>SUM(D132:D254)</f>
        <v>415860654.23752838</v>
      </c>
      <c r="AI161" s="231">
        <f t="shared" si="112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0.52994132643992042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5726919</v>
      </c>
      <c r="I162" s="16"/>
      <c r="J162" s="479">
        <f t="shared" si="90"/>
        <v>7.9150699425865716E-3</v>
      </c>
      <c r="K162" s="16"/>
      <c r="L162" s="16"/>
      <c r="M162" s="16"/>
      <c r="N162" s="16">
        <f t="shared" si="113"/>
        <v>335914</v>
      </c>
      <c r="O162" s="16">
        <f t="shared" si="114"/>
        <v>37430.843137254902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176857</v>
      </c>
      <c r="AB162" s="33"/>
      <c r="AC162" s="46">
        <f t="shared" si="94"/>
        <v>3.0881700963467443E-2</v>
      </c>
      <c r="AD162" s="33"/>
      <c r="AE162" s="33">
        <f t="shared" si="95"/>
        <v>1155.9281045751634</v>
      </c>
      <c r="AF162" s="50"/>
      <c r="AG162" s="33">
        <f t="shared" si="111"/>
        <v>7228</v>
      </c>
      <c r="AH162" s="33">
        <f>SUM(D133:D255)</f>
        <v>460151775.23752838</v>
      </c>
      <c r="AI162" s="231">
        <f t="shared" si="112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0.53472573996593975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5772276</v>
      </c>
      <c r="I163" s="16"/>
      <c r="J163" s="479">
        <f t="shared" si="90"/>
        <v>7.9199653426213993E-3</v>
      </c>
      <c r="K163" s="16"/>
      <c r="L163" s="16"/>
      <c r="M163" s="16"/>
      <c r="N163" s="16">
        <f t="shared" si="113"/>
        <v>325907</v>
      </c>
      <c r="O163" s="16">
        <f t="shared" si="114"/>
        <v>37482.311688311689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177954</v>
      </c>
      <c r="AB163" s="33"/>
      <c r="AC163" s="46">
        <f t="shared" si="94"/>
        <v>3.0829087174625746E-2</v>
      </c>
      <c r="AD163" s="33"/>
      <c r="AE163" s="33">
        <f t="shared" si="95"/>
        <v>1155.5454545454545</v>
      </c>
      <c r="AF163" s="50"/>
      <c r="AG163" s="33">
        <f t="shared" si="111"/>
        <v>7041</v>
      </c>
      <c r="AH163" s="33">
        <f>SUM(D134:D256)</f>
        <v>460084296.30952841</v>
      </c>
      <c r="AI163" s="231">
        <f t="shared" si="112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0.53626749656461337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5822757</v>
      </c>
      <c r="I164" s="16"/>
      <c r="J164" s="479">
        <f t="shared" si="90"/>
        <v>8.7454238154932307E-3</v>
      </c>
      <c r="K164" s="16"/>
      <c r="L164" s="16"/>
      <c r="M164" s="16"/>
      <c r="N164" s="16">
        <f t="shared" si="113"/>
        <v>315788</v>
      </c>
      <c r="O164" s="16">
        <f t="shared" si="114"/>
        <v>37566.174193548388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179124</v>
      </c>
      <c r="AB164" s="33"/>
      <c r="AC164" s="46">
        <f t="shared" si="94"/>
        <v>3.0762746925554339E-2</v>
      </c>
      <c r="AD164" s="33"/>
      <c r="AE164" s="33">
        <f t="shared" si="95"/>
        <v>1155.6387096774195</v>
      </c>
      <c r="AF164" s="50"/>
      <c r="AG164" s="33">
        <f t="shared" si="111"/>
        <v>7091</v>
      </c>
      <c r="AH164" s="33">
        <f>SUM(D135:D257)</f>
        <v>460012329.30952841</v>
      </c>
      <c r="AI164" s="231">
        <f t="shared" si="112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0.53710261307487162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5">+H164+D165</f>
        <v>5866586</v>
      </c>
      <c r="I165" s="16"/>
      <c r="J165" s="479">
        <f t="shared" ref="J165:J182" si="116">+D165/H164</f>
        <v>7.52719029834149E-3</v>
      </c>
      <c r="K165" s="16"/>
      <c r="L165" s="16"/>
      <c r="M165" s="16"/>
      <c r="N165" s="16">
        <f t="shared" ref="N165:N182" si="117">SUM(D159:D165)</f>
        <v>306094</v>
      </c>
      <c r="O165" s="16">
        <f t="shared" si="114"/>
        <v>37606.320512820515</v>
      </c>
      <c r="P165" s="41"/>
      <c r="Q165" s="17">
        <f t="shared" ref="Q165:Q182" si="118">SUM(D159:D165)</f>
        <v>306094</v>
      </c>
      <c r="R165" s="16"/>
      <c r="S165" s="60">
        <f t="shared" ref="S165:S182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0">+AA164+W165</f>
        <v>180098</v>
      </c>
      <c r="AB165" s="33"/>
      <c r="AC165" s="46">
        <f t="shared" ref="AC165:AC182" si="121">+AA165/H165</f>
        <v>3.0698944837764246E-2</v>
      </c>
      <c r="AD165" s="33"/>
      <c r="AE165" s="33">
        <f t="shared" ref="AE165:AE182" si="122">+AA165/BW165</f>
        <v>1154.4743589743589</v>
      </c>
      <c r="AF165" s="50"/>
      <c r="AG165" s="33">
        <f t="shared" ref="AG165:AG182" si="123">SUM(W159:W165)</f>
        <v>6994</v>
      </c>
      <c r="AH165" s="33">
        <f>SUM(D136:D258)</f>
        <v>459942886.35152841</v>
      </c>
      <c r="AI165" s="231">
        <f t="shared" ref="AI165:AI182" si="124">+(AG165-AG158)/AG158</f>
        <v>-6.3470808784145683E-2</v>
      </c>
      <c r="AJ165" s="50"/>
      <c r="AK165" s="10"/>
      <c r="AL165" s="23">
        <f t="shared" ref="AL165:AL182" si="125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6">+AL165/AP164</f>
        <v>6.606727978159619E-3</v>
      </c>
      <c r="AS165" s="25"/>
      <c r="AT165" s="25"/>
      <c r="AU165" s="24"/>
      <c r="AV165" s="341">
        <f t="shared" ref="AV165:AV182" si="127">+AP165/H165</f>
        <v>0.53661192386849865</v>
      </c>
      <c r="AW165" s="341"/>
      <c r="AX165" s="24">
        <f t="shared" ref="AX165:AX182" si="128">+AP165/BW165</f>
        <v>20180</v>
      </c>
      <c r="AY165" s="351"/>
      <c r="AZ165" s="10"/>
      <c r="BA165" s="66">
        <f t="shared" ref="BA165:BA182" si="129">+BC165-BC164</f>
        <v>756595</v>
      </c>
      <c r="BB165" s="67"/>
      <c r="BC165" s="67">
        <v>75475175</v>
      </c>
      <c r="BD165" s="67"/>
      <c r="BE165" s="67">
        <f t="shared" ref="BE165:BE182" si="130">+D165</f>
        <v>43829</v>
      </c>
      <c r="BF165" s="67"/>
      <c r="BG165" s="156">
        <f t="shared" ref="BG165:BG182" si="131">+BE165/BA165</f>
        <v>5.7929275239725346E-2</v>
      </c>
      <c r="BH165" s="67"/>
      <c r="BI165" s="183"/>
      <c r="BJ165" s="67"/>
      <c r="BK165" s="67">
        <f t="shared" ref="BK165:BK182" si="132">SUM(BA159:BA165)</f>
        <v>5250502</v>
      </c>
      <c r="BL165" s="67"/>
      <c r="BM165" s="156">
        <f t="shared" ref="BM165:BM182" si="133">+Q165/BK165</f>
        <v>5.8298044644112125E-2</v>
      </c>
      <c r="BN165" s="66">
        <f t="shared" ref="BN165:BN182" si="134">+BC165/BW165</f>
        <v>483815.22435897437</v>
      </c>
      <c r="BO165" s="67"/>
      <c r="BP165" s="67">
        <f t="shared" ref="BP165:BP182" si="135">+BP164+BE165</f>
        <v>5549278</v>
      </c>
      <c r="BQ165" s="67"/>
      <c r="BR165" s="478">
        <f t="shared" ref="BR165:BR182" si="136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5"/>
        <v>5899304</v>
      </c>
      <c r="I166" s="16"/>
      <c r="J166" s="479">
        <f t="shared" si="116"/>
        <v>5.5770085020487217E-3</v>
      </c>
      <c r="K166" s="16"/>
      <c r="L166" s="16"/>
      <c r="M166" s="16"/>
      <c r="N166" s="16">
        <f t="shared" si="117"/>
        <v>301969</v>
      </c>
      <c r="O166" s="16">
        <f t="shared" si="114"/>
        <v>37575.184713375798</v>
      </c>
      <c r="P166" s="41"/>
      <c r="Q166" s="17">
        <f t="shared" si="118"/>
        <v>301969</v>
      </c>
      <c r="R166" s="16"/>
      <c r="S166" s="60">
        <f t="shared" si="119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0"/>
        <v>180528</v>
      </c>
      <c r="AB166" s="33"/>
      <c r="AC166" s="46">
        <f t="shared" si="121"/>
        <v>3.0601576050327293E-2</v>
      </c>
      <c r="AD166" s="33"/>
      <c r="AE166" s="33">
        <f t="shared" si="122"/>
        <v>1149.8598726114649</v>
      </c>
      <c r="AF166" s="50"/>
      <c r="AG166" s="33">
        <f t="shared" si="123"/>
        <v>6902</v>
      </c>
      <c r="AH166" s="33">
        <f>SUM(D137:D259)</f>
        <v>460865852.35152841</v>
      </c>
      <c r="AI166" s="231">
        <f t="shared" si="124"/>
        <v>-7.430257510729614E-2</v>
      </c>
      <c r="AJ166" s="50"/>
      <c r="AK166" s="10"/>
      <c r="AL166" s="23">
        <f t="shared" si="125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6"/>
        <v>6.0300246499453633E-3</v>
      </c>
      <c r="AS166" s="25"/>
      <c r="AT166" s="25"/>
      <c r="AU166" s="24"/>
      <c r="AV166" s="341">
        <f t="shared" si="127"/>
        <v>0.53685366951762448</v>
      </c>
      <c r="AW166" s="341"/>
      <c r="AX166" s="24">
        <f t="shared" si="128"/>
        <v>20172.375796178345</v>
      </c>
      <c r="AY166" s="351"/>
      <c r="AZ166" s="391"/>
      <c r="BA166" s="66">
        <f t="shared" si="129"/>
        <v>684203</v>
      </c>
      <c r="BB166" s="67"/>
      <c r="BC166" s="67">
        <v>76159378</v>
      </c>
      <c r="BD166" s="67"/>
      <c r="BE166" s="67">
        <f t="shared" si="130"/>
        <v>32718</v>
      </c>
      <c r="BF166" s="67"/>
      <c r="BG166" s="156">
        <f t="shared" si="131"/>
        <v>4.7819141395170732E-2</v>
      </c>
      <c r="BH166" s="67"/>
      <c r="BI166" s="183"/>
      <c r="BJ166" s="67"/>
      <c r="BK166" s="67">
        <f t="shared" si="132"/>
        <v>5198748</v>
      </c>
      <c r="BL166" s="67"/>
      <c r="BM166" s="156">
        <f t="shared" si="133"/>
        <v>5.8084946606375226E-2</v>
      </c>
      <c r="BN166" s="66">
        <f t="shared" si="134"/>
        <v>485091.57961783442</v>
      </c>
      <c r="BO166" s="67"/>
      <c r="BP166" s="67">
        <f t="shared" si="135"/>
        <v>5581996</v>
      </c>
      <c r="BQ166" s="67"/>
      <c r="BR166" s="478">
        <f t="shared" si="136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5"/>
        <v>5940788</v>
      </c>
      <c r="I167" s="16"/>
      <c r="J167" s="479">
        <f t="shared" si="116"/>
        <v>7.0320159801902059E-3</v>
      </c>
      <c r="K167" s="16"/>
      <c r="L167" s="16"/>
      <c r="M167" s="16"/>
      <c r="N167" s="16">
        <f t="shared" si="117"/>
        <v>302841</v>
      </c>
      <c r="O167" s="16">
        <f t="shared" si="114"/>
        <v>37599.924050632908</v>
      </c>
      <c r="P167" s="41"/>
      <c r="Q167" s="17">
        <f t="shared" si="118"/>
        <v>302841</v>
      </c>
      <c r="R167" s="16"/>
      <c r="S167" s="60">
        <f t="shared" si="119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0"/>
        <v>181038</v>
      </c>
      <c r="AB167" s="33"/>
      <c r="AC167" s="46">
        <f t="shared" si="121"/>
        <v>3.0473735134126989E-2</v>
      </c>
      <c r="AD167" s="33"/>
      <c r="AE167" s="33">
        <f t="shared" si="122"/>
        <v>1145.8101265822784</v>
      </c>
      <c r="AF167" s="50"/>
      <c r="AG167" s="33">
        <f t="shared" si="123"/>
        <v>6823</v>
      </c>
      <c r="AH167" s="33">
        <f>SUM(D138:D260)</f>
        <v>460798439.35152841</v>
      </c>
      <c r="AI167" s="231">
        <f t="shared" si="124"/>
        <v>-8.7346174424826103E-2</v>
      </c>
      <c r="AJ167" s="50"/>
      <c r="AK167" s="10"/>
      <c r="AL167" s="23">
        <f t="shared" si="125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6"/>
        <v>1.607735621299608E-2</v>
      </c>
      <c r="AS167" s="25"/>
      <c r="AT167" s="25"/>
      <c r="AU167" s="24"/>
      <c r="AV167" s="341">
        <f t="shared" si="127"/>
        <v>0.54167578442455777</v>
      </c>
      <c r="AW167" s="341"/>
      <c r="AX167" s="24">
        <f t="shared" si="128"/>
        <v>20366.968354430381</v>
      </c>
      <c r="AY167" s="351"/>
      <c r="AZ167" s="10"/>
      <c r="BA167" s="66">
        <f t="shared" si="129"/>
        <v>724101</v>
      </c>
      <c r="BB167" s="67"/>
      <c r="BC167" s="67">
        <v>76883479</v>
      </c>
      <c r="BD167" s="67"/>
      <c r="BE167" s="67">
        <f t="shared" si="130"/>
        <v>41484</v>
      </c>
      <c r="BF167" s="67"/>
      <c r="BG167" s="156">
        <f t="shared" si="131"/>
        <v>5.7290350379297916E-2</v>
      </c>
      <c r="BH167" s="67"/>
      <c r="BI167" s="183"/>
      <c r="BJ167" s="67"/>
      <c r="BK167" s="67">
        <f t="shared" si="132"/>
        <v>5195698</v>
      </c>
      <c r="BL167" s="67"/>
      <c r="BM167" s="156">
        <f t="shared" si="133"/>
        <v>5.8286875026223615E-2</v>
      </c>
      <c r="BN167" s="66">
        <f t="shared" si="134"/>
        <v>486604.2974683544</v>
      </c>
      <c r="BO167" s="67"/>
      <c r="BP167" s="67">
        <f t="shared" si="135"/>
        <v>5623480</v>
      </c>
      <c r="BQ167" s="67"/>
      <c r="BR167" s="478">
        <f t="shared" si="136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5"/>
        <v>5980886</v>
      </c>
      <c r="I168" s="16"/>
      <c r="J168" s="479">
        <f t="shared" si="116"/>
        <v>6.7496096477437E-3</v>
      </c>
      <c r="K168" s="16"/>
      <c r="L168" s="16"/>
      <c r="M168" s="16"/>
      <c r="N168" s="16">
        <f t="shared" si="117"/>
        <v>298940</v>
      </c>
      <c r="O168" s="16">
        <f t="shared" si="114"/>
        <v>37615.635220125783</v>
      </c>
      <c r="P168" s="41"/>
      <c r="Q168" s="17">
        <f t="shared" si="118"/>
        <v>298940</v>
      </c>
      <c r="R168" s="16"/>
      <c r="S168" s="60">
        <f t="shared" si="119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0"/>
        <v>182328</v>
      </c>
      <c r="AB168" s="33"/>
      <c r="AC168" s="46">
        <f t="shared" si="121"/>
        <v>3.0485115416010271E-2</v>
      </c>
      <c r="AD168" s="33"/>
      <c r="AE168" s="33">
        <f t="shared" si="122"/>
        <v>1146.7169811320755</v>
      </c>
      <c r="AF168" s="50"/>
      <c r="AG168" s="33">
        <f t="shared" si="123"/>
        <v>6755</v>
      </c>
      <c r="AH168" s="33">
        <f>SUM(D139:D261)</f>
        <v>460742309.35152841</v>
      </c>
      <c r="AI168" s="231">
        <f t="shared" si="124"/>
        <v>-7.8444747612551158E-2</v>
      </c>
      <c r="AJ168" s="50"/>
      <c r="AK168" s="10"/>
      <c r="AL168" s="23">
        <f t="shared" si="125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6"/>
        <v>1.1280675678321283E-2</v>
      </c>
      <c r="AS168" s="25"/>
      <c r="AT168" s="25"/>
      <c r="AU168" s="24"/>
      <c r="AV168" s="341">
        <f t="shared" si="127"/>
        <v>0.54411369820458044</v>
      </c>
      <c r="AW168" s="341"/>
      <c r="AX168" s="24">
        <f t="shared" si="128"/>
        <v>20467.182389937108</v>
      </c>
      <c r="AY168" s="351"/>
      <c r="AZ168" s="10"/>
      <c r="BA168" s="66">
        <f t="shared" si="129"/>
        <v>1047928</v>
      </c>
      <c r="BB168" s="67"/>
      <c r="BC168" s="67">
        <v>77931407</v>
      </c>
      <c r="BD168" s="67"/>
      <c r="BE168" s="67">
        <f t="shared" si="130"/>
        <v>40098</v>
      </c>
      <c r="BF168" s="67"/>
      <c r="BG168" s="156">
        <f t="shared" si="131"/>
        <v>3.8264079211548882E-2</v>
      </c>
      <c r="BH168" s="67"/>
      <c r="BI168" s="183"/>
      <c r="BJ168" s="67"/>
      <c r="BK168" s="67">
        <f t="shared" si="132"/>
        <v>5563756</v>
      </c>
      <c r="BL168" s="67"/>
      <c r="BM168" s="156">
        <f t="shared" si="133"/>
        <v>5.3729890383402867E-2</v>
      </c>
      <c r="BN168" s="66">
        <f t="shared" si="134"/>
        <v>490134.63522012578</v>
      </c>
      <c r="BO168" s="67"/>
      <c r="BP168" s="67">
        <f t="shared" si="135"/>
        <v>5663578</v>
      </c>
      <c r="BQ168" s="67"/>
      <c r="BR168" s="478">
        <f t="shared" si="136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5"/>
        <v>6025523</v>
      </c>
      <c r="I169" s="16"/>
      <c r="J169" s="479">
        <f t="shared" si="116"/>
        <v>7.463275508010017E-3</v>
      </c>
      <c r="K169" s="16"/>
      <c r="L169" s="16"/>
      <c r="M169" s="16"/>
      <c r="N169" s="16">
        <f t="shared" si="117"/>
        <v>298604</v>
      </c>
      <c r="O169" s="16">
        <f t="shared" si="114"/>
        <v>37659.518750000003</v>
      </c>
      <c r="P169" s="41"/>
      <c r="Q169" s="17">
        <f t="shared" si="118"/>
        <v>298604</v>
      </c>
      <c r="R169" s="16"/>
      <c r="S169" s="60">
        <f t="shared" si="119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0"/>
        <v>183608</v>
      </c>
      <c r="AB169" s="33"/>
      <c r="AC169" s="46">
        <f t="shared" si="121"/>
        <v>3.047171175016675E-2</v>
      </c>
      <c r="AD169" s="33"/>
      <c r="AE169" s="33">
        <f t="shared" si="122"/>
        <v>1147.55</v>
      </c>
      <c r="AF169" s="50"/>
      <c r="AG169" s="33">
        <f t="shared" si="123"/>
        <v>6751</v>
      </c>
      <c r="AH169" s="33">
        <f>SUM(D140:D262)</f>
        <v>460680738.35152841</v>
      </c>
      <c r="AI169" s="231">
        <f t="shared" si="124"/>
        <v>-6.5993359158826786E-2</v>
      </c>
      <c r="AJ169" s="50"/>
      <c r="AK169" s="10"/>
      <c r="AL169" s="23">
        <f t="shared" si="125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6"/>
        <v>1.8307878665708748E-2</v>
      </c>
      <c r="AS169" s="25"/>
      <c r="AT169" s="25"/>
      <c r="AU169" s="24"/>
      <c r="AV169" s="341">
        <f t="shared" si="127"/>
        <v>0.54997068304278318</v>
      </c>
      <c r="AW169" s="341"/>
      <c r="AX169" s="24">
        <f t="shared" si="128"/>
        <v>20711.631249999999</v>
      </c>
      <c r="AY169" s="351"/>
      <c r="AZ169" s="10"/>
      <c r="BA169" s="66">
        <f t="shared" si="129"/>
        <v>701159</v>
      </c>
      <c r="BB169" s="67"/>
      <c r="BC169" s="67">
        <v>78632566</v>
      </c>
      <c r="BD169" s="67"/>
      <c r="BE169" s="67">
        <f t="shared" si="130"/>
        <v>44637</v>
      </c>
      <c r="BF169" s="67"/>
      <c r="BG169" s="156">
        <f t="shared" si="131"/>
        <v>6.3661737209391875E-2</v>
      </c>
      <c r="BH169" s="67"/>
      <c r="BI169" s="183"/>
      <c r="BJ169" s="67"/>
      <c r="BK169" s="67">
        <f t="shared" si="132"/>
        <v>5516857</v>
      </c>
      <c r="BL169" s="67"/>
      <c r="BM169" s="156">
        <f t="shared" si="133"/>
        <v>5.4125745873057796E-2</v>
      </c>
      <c r="BN169" s="66">
        <f t="shared" si="134"/>
        <v>491453.53749999998</v>
      </c>
      <c r="BO169" s="67"/>
      <c r="BP169" s="67">
        <f t="shared" si="135"/>
        <v>5708215</v>
      </c>
      <c r="BQ169" s="67"/>
      <c r="BR169" s="478">
        <f t="shared" si="136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5"/>
        <v>6071529</v>
      </c>
      <c r="I170" s="16"/>
      <c r="J170" s="479">
        <f t="shared" si="116"/>
        <v>7.6351878500837186E-3</v>
      </c>
      <c r="K170" s="16"/>
      <c r="L170" s="16"/>
      <c r="M170" s="16"/>
      <c r="N170" s="16">
        <f t="shared" si="117"/>
        <v>299253</v>
      </c>
      <c r="O170" s="16">
        <f t="shared" ref="O170:O182" si="137">+H170/BW170</f>
        <v>37711.360248447207</v>
      </c>
      <c r="P170" s="41"/>
      <c r="Q170" s="17">
        <f t="shared" si="118"/>
        <v>299253</v>
      </c>
      <c r="R170" s="16"/>
      <c r="S170" s="60">
        <f t="shared" si="119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0"/>
        <v>184751</v>
      </c>
      <c r="AB170" s="33"/>
      <c r="AC170" s="46">
        <f t="shared" si="121"/>
        <v>3.0429073137919625E-2</v>
      </c>
      <c r="AD170" s="33"/>
      <c r="AE170" s="33">
        <f t="shared" si="122"/>
        <v>1147.5217391304348</v>
      </c>
      <c r="AF170" s="50"/>
      <c r="AG170" s="33">
        <f t="shared" si="123"/>
        <v>6797</v>
      </c>
      <c r="AH170" s="33">
        <f>SUM(D141:D263)</f>
        <v>460616009.35152841</v>
      </c>
      <c r="AI170" s="231">
        <f t="shared" si="124"/>
        <v>-3.4654168441982672E-2</v>
      </c>
      <c r="AJ170" s="50"/>
      <c r="AK170" s="10"/>
      <c r="AL170" s="23">
        <f t="shared" si="125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6"/>
        <v>1.0283774726821675E-2</v>
      </c>
      <c r="AS170" s="25"/>
      <c r="AT170" s="25"/>
      <c r="AU170" s="24"/>
      <c r="AV170" s="341">
        <f t="shared" si="127"/>
        <v>0.55141629069053277</v>
      </c>
      <c r="AW170" s="341"/>
      <c r="AX170" s="24">
        <f t="shared" si="128"/>
        <v>20794.658385093167</v>
      </c>
      <c r="AY170" s="351"/>
      <c r="AZ170" s="10"/>
      <c r="BA170" s="66">
        <f t="shared" si="129"/>
        <v>839920</v>
      </c>
      <c r="BB170" s="67"/>
      <c r="BC170" s="67">
        <v>79472486</v>
      </c>
      <c r="BD170" s="67"/>
      <c r="BE170" s="67">
        <f t="shared" si="130"/>
        <v>46006</v>
      </c>
      <c r="BF170" s="67"/>
      <c r="BG170" s="156">
        <f t="shared" si="131"/>
        <v>5.4774264215639586E-2</v>
      </c>
      <c r="BH170" s="67"/>
      <c r="BI170" s="183"/>
      <c r="BJ170" s="67"/>
      <c r="BK170" s="67">
        <f t="shared" si="132"/>
        <v>5604154</v>
      </c>
      <c r="BL170" s="67"/>
      <c r="BM170" s="156">
        <f t="shared" si="133"/>
        <v>5.3398425525065872E-2</v>
      </c>
      <c r="BN170" s="66">
        <f t="shared" si="134"/>
        <v>493617.92546583852</v>
      </c>
      <c r="BO170" s="67"/>
      <c r="BP170" s="67">
        <f t="shared" si="135"/>
        <v>5754221</v>
      </c>
      <c r="BQ170" s="67"/>
      <c r="BR170" s="478">
        <f t="shared" si="136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5"/>
        <v>6121130</v>
      </c>
      <c r="I171" s="16"/>
      <c r="J171" s="479">
        <f t="shared" si="116"/>
        <v>8.1694413384173908E-3</v>
      </c>
      <c r="K171" s="16"/>
      <c r="L171" s="16"/>
      <c r="M171" s="16"/>
      <c r="N171" s="16">
        <f t="shared" si="117"/>
        <v>298373</v>
      </c>
      <c r="O171" s="16">
        <f t="shared" si="137"/>
        <v>37784.753086419754</v>
      </c>
      <c r="P171" s="41"/>
      <c r="Q171" s="17">
        <f t="shared" si="118"/>
        <v>298373</v>
      </c>
      <c r="R171" s="16"/>
      <c r="S171" s="60">
        <f t="shared" si="119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0"/>
        <v>185856</v>
      </c>
      <c r="AB171" s="33"/>
      <c r="AC171" s="46">
        <f t="shared" si="121"/>
        <v>3.0363021206868665E-2</v>
      </c>
      <c r="AD171" s="33"/>
      <c r="AE171" s="33">
        <f t="shared" si="122"/>
        <v>1147.2592592592594</v>
      </c>
      <c r="AF171" s="50"/>
      <c r="AG171" s="33">
        <f t="shared" si="123"/>
        <v>6732</v>
      </c>
      <c r="AH171" s="33">
        <f>SUM(D142:D264)</f>
        <v>460549088.35152841</v>
      </c>
      <c r="AI171" s="231">
        <f t="shared" si="124"/>
        <v>-5.0627556056973631E-2</v>
      </c>
      <c r="AJ171" s="50"/>
      <c r="AK171" s="10"/>
      <c r="AL171" s="23">
        <f t="shared" si="125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6"/>
        <v>8.3328852966301666E-3</v>
      </c>
      <c r="AS171" s="25"/>
      <c r="AT171" s="25"/>
      <c r="AU171" s="24"/>
      <c r="AV171" s="341">
        <f t="shared" si="127"/>
        <v>0.55150568604162953</v>
      </c>
      <c r="AW171" s="341"/>
      <c r="AX171" s="24">
        <f t="shared" si="128"/>
        <v>20838.506172839505</v>
      </c>
      <c r="AY171" s="351"/>
      <c r="AZ171" s="10"/>
      <c r="BA171" s="66">
        <f t="shared" si="129"/>
        <v>827184</v>
      </c>
      <c r="BB171" s="67"/>
      <c r="BC171" s="67">
        <v>80299670</v>
      </c>
      <c r="BD171" s="67"/>
      <c r="BE171" s="67">
        <f t="shared" si="130"/>
        <v>49601</v>
      </c>
      <c r="BF171" s="67"/>
      <c r="BG171" s="156">
        <f t="shared" si="131"/>
        <v>5.9963684017098978E-2</v>
      </c>
      <c r="BH171" s="67"/>
      <c r="BI171" s="183"/>
      <c r="BJ171" s="67"/>
      <c r="BK171" s="67">
        <f t="shared" si="132"/>
        <v>5581090</v>
      </c>
      <c r="BL171" s="67"/>
      <c r="BM171" s="156">
        <f t="shared" si="133"/>
        <v>5.346142061855301E-2</v>
      </c>
      <c r="BN171" s="66">
        <f t="shared" si="134"/>
        <v>495676.97530864197</v>
      </c>
      <c r="BO171" s="67"/>
      <c r="BP171" s="67">
        <f t="shared" si="135"/>
        <v>5803822</v>
      </c>
      <c r="BQ171" s="67"/>
      <c r="BR171" s="478">
        <f t="shared" si="136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5"/>
        <v>6163790</v>
      </c>
      <c r="I172" s="16"/>
      <c r="J172" s="479">
        <f t="shared" si="116"/>
        <v>6.9693014198358803E-3</v>
      </c>
      <c r="K172" s="16"/>
      <c r="L172" s="16"/>
      <c r="M172" s="16"/>
      <c r="N172" s="16">
        <f t="shared" si="117"/>
        <v>297204</v>
      </c>
      <c r="O172" s="16">
        <f t="shared" si="137"/>
        <v>37814.662576687115</v>
      </c>
      <c r="P172" s="41"/>
      <c r="Q172" s="17">
        <f t="shared" si="118"/>
        <v>297204</v>
      </c>
      <c r="R172" s="16"/>
      <c r="S172" s="60">
        <f t="shared" si="119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0"/>
        <v>186810</v>
      </c>
      <c r="AB172" s="33"/>
      <c r="AC172" s="46">
        <f t="shared" si="121"/>
        <v>3.0307651623432984E-2</v>
      </c>
      <c r="AD172" s="33"/>
      <c r="AE172" s="33">
        <f t="shared" si="122"/>
        <v>1146.0736196319019</v>
      </c>
      <c r="AF172" s="50"/>
      <c r="AG172" s="33">
        <f t="shared" si="123"/>
        <v>6712</v>
      </c>
      <c r="AH172" s="33">
        <f>SUM(D143:D265)</f>
        <v>460480519.35152841</v>
      </c>
      <c r="AI172" s="231">
        <f t="shared" si="124"/>
        <v>-4.0320274521018017E-2</v>
      </c>
      <c r="AJ172" s="50"/>
      <c r="AK172" s="10"/>
      <c r="AL172" s="23">
        <f t="shared" si="125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6"/>
        <v>9.7637979073640375E-3</v>
      </c>
      <c r="AS172" s="25"/>
      <c r="AT172" s="25"/>
      <c r="AU172" s="24"/>
      <c r="AV172" s="341">
        <f t="shared" si="127"/>
        <v>0.55303620013011479</v>
      </c>
      <c r="AW172" s="341"/>
      <c r="AX172" s="24">
        <f t="shared" si="128"/>
        <v>20912.877300613498</v>
      </c>
      <c r="AY172" s="351"/>
      <c r="AZ172" s="10"/>
      <c r="BA172" s="66">
        <f t="shared" si="129"/>
        <v>802727</v>
      </c>
      <c r="BB172" s="67"/>
      <c r="BC172" s="67">
        <v>81102397</v>
      </c>
      <c r="BD172" s="67"/>
      <c r="BE172" s="67">
        <f t="shared" si="130"/>
        <v>42660</v>
      </c>
      <c r="BF172" s="67"/>
      <c r="BG172" s="156">
        <f t="shared" si="131"/>
        <v>5.3143845915236437E-2</v>
      </c>
      <c r="BH172" s="67"/>
      <c r="BI172" s="183"/>
      <c r="BJ172" s="67"/>
      <c r="BK172" s="67">
        <f t="shared" si="132"/>
        <v>5627222</v>
      </c>
      <c r="BL172" s="67"/>
      <c r="BM172" s="156">
        <f t="shared" si="133"/>
        <v>5.2815403408644622E-2</v>
      </c>
      <c r="BN172" s="66">
        <f t="shared" si="134"/>
        <v>497560.71779141104</v>
      </c>
      <c r="BO172" s="67"/>
      <c r="BP172" s="67">
        <f t="shared" si="135"/>
        <v>5846482</v>
      </c>
      <c r="BQ172" s="67"/>
      <c r="BR172" s="478">
        <f t="shared" si="136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5"/>
        <v>6197771</v>
      </c>
      <c r="I173" s="16"/>
      <c r="J173" s="479">
        <f t="shared" si="116"/>
        <v>5.5130041743797244E-3</v>
      </c>
      <c r="K173" s="16"/>
      <c r="L173" s="16"/>
      <c r="M173" s="16"/>
      <c r="N173" s="16">
        <f t="shared" si="117"/>
        <v>298467</v>
      </c>
      <c r="O173" s="16">
        <f t="shared" si="137"/>
        <v>37791.286585365851</v>
      </c>
      <c r="P173" s="41"/>
      <c r="Q173" s="17">
        <f t="shared" si="118"/>
        <v>298467</v>
      </c>
      <c r="R173" s="16"/>
      <c r="S173" s="60">
        <f t="shared" si="119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0"/>
        <v>187179</v>
      </c>
      <c r="AB173" s="33"/>
      <c r="AC173" s="46">
        <f t="shared" si="121"/>
        <v>3.0201019043782029E-2</v>
      </c>
      <c r="AD173" s="33"/>
      <c r="AE173" s="33">
        <f t="shared" si="122"/>
        <v>1141.3353658536585</v>
      </c>
      <c r="AF173" s="50"/>
      <c r="AG173" s="33">
        <f t="shared" si="123"/>
        <v>6651</v>
      </c>
      <c r="AH173" s="33">
        <f>SUM(D144:D266)</f>
        <v>460409436.35152841</v>
      </c>
      <c r="AI173" s="231">
        <f t="shared" si="124"/>
        <v>-3.6366270646189511E-2</v>
      </c>
      <c r="AJ173" s="50"/>
      <c r="AK173" s="10"/>
      <c r="AL173" s="23">
        <f t="shared" si="125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6"/>
        <v>4.9647984524754905E-3</v>
      </c>
      <c r="AS173" s="25"/>
      <c r="AT173" s="25"/>
      <c r="AU173" s="24"/>
      <c r="AV173" s="341">
        <f t="shared" si="127"/>
        <v>0.55273468477618803</v>
      </c>
      <c r="AW173" s="341"/>
      <c r="AX173" s="24">
        <f t="shared" si="128"/>
        <v>20888.554878048781</v>
      </c>
      <c r="AY173" s="351"/>
      <c r="AZ173" s="391"/>
      <c r="BA173" s="66">
        <f t="shared" si="129"/>
        <v>727682</v>
      </c>
      <c r="BB173" s="67"/>
      <c r="BC173" s="67">
        <v>81830079</v>
      </c>
      <c r="BD173" s="67"/>
      <c r="BE173" s="67">
        <f t="shared" si="130"/>
        <v>33981</v>
      </c>
      <c r="BF173" s="67"/>
      <c r="BG173" s="156">
        <f t="shared" si="131"/>
        <v>4.6697595927891578E-2</v>
      </c>
      <c r="BH173" s="67"/>
      <c r="BI173" s="183"/>
      <c r="BJ173" s="67"/>
      <c r="BK173" s="67">
        <f t="shared" si="132"/>
        <v>5670701</v>
      </c>
      <c r="BL173" s="67"/>
      <c r="BM173" s="156">
        <f t="shared" si="133"/>
        <v>5.2633175334054823E-2</v>
      </c>
      <c r="BN173" s="66">
        <f t="shared" si="134"/>
        <v>498963.89634146343</v>
      </c>
      <c r="BO173" s="67"/>
      <c r="BP173" s="67">
        <f t="shared" si="135"/>
        <v>5880463</v>
      </c>
      <c r="BQ173" s="67"/>
      <c r="BR173" s="478">
        <f t="shared" si="136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5"/>
        <v>6236331</v>
      </c>
      <c r="I174" s="16"/>
      <c r="J174" s="479">
        <f t="shared" si="116"/>
        <v>6.221591601238574E-3</v>
      </c>
      <c r="K174" s="16"/>
      <c r="L174" s="16"/>
      <c r="M174" s="16"/>
      <c r="N174" s="16">
        <f t="shared" si="117"/>
        <v>295543</v>
      </c>
      <c r="O174" s="16">
        <f t="shared" si="137"/>
        <v>37795.945454545457</v>
      </c>
      <c r="P174" s="41"/>
      <c r="Q174" s="17">
        <f t="shared" si="118"/>
        <v>295543</v>
      </c>
      <c r="R174" s="16"/>
      <c r="S174" s="60">
        <f t="shared" si="119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0"/>
        <v>187691</v>
      </c>
      <c r="AB174" s="33"/>
      <c r="AC174" s="46">
        <f t="shared" si="121"/>
        <v>3.0096381991270186E-2</v>
      </c>
      <c r="AD174" s="33"/>
      <c r="AE174" s="33">
        <f t="shared" si="122"/>
        <v>1137.5212121212121</v>
      </c>
      <c r="AF174" s="50"/>
      <c r="AG174" s="33">
        <f t="shared" si="123"/>
        <v>6653</v>
      </c>
      <c r="AH174" s="33">
        <f>SUM(D145:D267)</f>
        <v>460350895.35152841</v>
      </c>
      <c r="AI174" s="231">
        <f t="shared" si="124"/>
        <v>-2.4915726220137768E-2</v>
      </c>
      <c r="AJ174" s="50"/>
      <c r="AK174" s="10"/>
      <c r="AL174" s="23">
        <f t="shared" si="125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6"/>
        <v>8.9149064299711336E-3</v>
      </c>
      <c r="AS174" s="25"/>
      <c r="AT174" s="25"/>
      <c r="AU174" s="24"/>
      <c r="AV174" s="341">
        <f t="shared" si="127"/>
        <v>0.55421416855519701</v>
      </c>
      <c r="AW174" s="341"/>
      <c r="AX174" s="24">
        <f t="shared" si="128"/>
        <v>20947.048484848485</v>
      </c>
      <c r="AY174" s="351"/>
      <c r="AZ174" s="10"/>
      <c r="BA174" s="66">
        <f t="shared" si="129"/>
        <v>794762</v>
      </c>
      <c r="BB174" s="67"/>
      <c r="BC174" s="67">
        <v>82624841</v>
      </c>
      <c r="BD174" s="67"/>
      <c r="BE174" s="67">
        <f t="shared" si="130"/>
        <v>38560</v>
      </c>
      <c r="BF174" s="67"/>
      <c r="BG174" s="156">
        <f t="shared" si="131"/>
        <v>4.8517669440662742E-2</v>
      </c>
      <c r="BH174" s="67"/>
      <c r="BI174" s="183"/>
      <c r="BJ174" s="67"/>
      <c r="BK174" s="67">
        <f t="shared" si="132"/>
        <v>5741362</v>
      </c>
      <c r="BL174" s="67"/>
      <c r="BM174" s="156">
        <f t="shared" si="133"/>
        <v>5.147611315921205E-2</v>
      </c>
      <c r="BN174" s="66">
        <f t="shared" si="134"/>
        <v>500756.61212121212</v>
      </c>
      <c r="BO174" s="67"/>
      <c r="BP174" s="67">
        <f t="shared" si="135"/>
        <v>5919023</v>
      </c>
      <c r="BQ174" s="67"/>
      <c r="BR174" s="478">
        <f t="shared" si="136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5"/>
        <v>6278310</v>
      </c>
      <c r="I175" s="16"/>
      <c r="J175" s="479">
        <f t="shared" si="116"/>
        <v>6.7313617574179434E-3</v>
      </c>
      <c r="K175" s="16"/>
      <c r="L175" s="16"/>
      <c r="M175" s="16"/>
      <c r="N175" s="16">
        <f t="shared" si="117"/>
        <v>297424</v>
      </c>
      <c r="O175" s="16">
        <f t="shared" si="137"/>
        <v>37821.144578313251</v>
      </c>
      <c r="P175" s="41"/>
      <c r="Q175" s="17">
        <f t="shared" si="118"/>
        <v>297424</v>
      </c>
      <c r="R175" s="16"/>
      <c r="S175" s="60">
        <f t="shared" si="119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0"/>
        <v>188855</v>
      </c>
      <c r="AB175" s="33"/>
      <c r="AC175" s="46">
        <f t="shared" si="121"/>
        <v>3.0080547153612993E-2</v>
      </c>
      <c r="AD175" s="33"/>
      <c r="AE175" s="33">
        <f t="shared" si="122"/>
        <v>1137.6807228915663</v>
      </c>
      <c r="AF175" s="50"/>
      <c r="AG175" s="33">
        <f t="shared" si="123"/>
        <v>6527</v>
      </c>
      <c r="AH175" s="33">
        <f>SUM(D146:D268)</f>
        <v>460301857.35152841</v>
      </c>
      <c r="AI175" s="231">
        <f t="shared" si="124"/>
        <v>-3.3752775721687639E-2</v>
      </c>
      <c r="AJ175" s="50"/>
      <c r="AK175" s="10"/>
      <c r="AL175" s="23">
        <f t="shared" si="125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6"/>
        <v>1.1761257751507916E-2</v>
      </c>
      <c r="AS175" s="25"/>
      <c r="AT175" s="25"/>
      <c r="AU175" s="24"/>
      <c r="AV175" s="341">
        <f t="shared" si="127"/>
        <v>0.55698316903752765</v>
      </c>
      <c r="AW175" s="341"/>
      <c r="AX175" s="24">
        <f t="shared" si="128"/>
        <v>21065.74096385542</v>
      </c>
      <c r="AY175" s="351"/>
      <c r="AZ175" s="10"/>
      <c r="BA175" s="66">
        <f t="shared" si="129"/>
        <v>725278</v>
      </c>
      <c r="BB175" s="67"/>
      <c r="BC175" s="67">
        <v>83350119</v>
      </c>
      <c r="BD175" s="67"/>
      <c r="BE175" s="67">
        <f t="shared" si="130"/>
        <v>41979</v>
      </c>
      <c r="BF175" s="67"/>
      <c r="BG175" s="156">
        <f t="shared" si="131"/>
        <v>5.7879875027230937E-2</v>
      </c>
      <c r="BH175" s="67"/>
      <c r="BI175" s="183"/>
      <c r="BJ175" s="67"/>
      <c r="BK175" s="67">
        <f t="shared" si="132"/>
        <v>5418712</v>
      </c>
      <c r="BL175" s="67"/>
      <c r="BM175" s="156">
        <f t="shared" si="133"/>
        <v>5.4888320324091779E-2</v>
      </c>
      <c r="BN175" s="66">
        <f t="shared" si="134"/>
        <v>502109.15060240962</v>
      </c>
      <c r="BO175" s="67"/>
      <c r="BP175" s="67">
        <f t="shared" si="135"/>
        <v>5961002</v>
      </c>
      <c r="BQ175" s="67"/>
      <c r="BR175" s="478">
        <f t="shared" si="136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5"/>
        <v>6319521</v>
      </c>
      <c r="I176" s="16"/>
      <c r="J176" s="479">
        <f t="shared" si="116"/>
        <v>6.5640275806705941E-3</v>
      </c>
      <c r="K176" s="16"/>
      <c r="L176" s="16"/>
      <c r="M176" s="16"/>
      <c r="N176" s="16">
        <f t="shared" si="117"/>
        <v>293998</v>
      </c>
      <c r="O176" s="16">
        <f t="shared" si="137"/>
        <v>37841.443113772453</v>
      </c>
      <c r="P176" s="41"/>
      <c r="Q176" s="17">
        <f t="shared" si="118"/>
        <v>293998</v>
      </c>
      <c r="R176" s="16"/>
      <c r="S176" s="60">
        <f t="shared" si="119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0"/>
        <v>189945</v>
      </c>
      <c r="AB176" s="33"/>
      <c r="AC176" s="46">
        <f t="shared" si="121"/>
        <v>3.0056866651760474E-2</v>
      </c>
      <c r="AD176" s="33"/>
      <c r="AE176" s="33">
        <f t="shared" si="122"/>
        <v>1137.3952095808384</v>
      </c>
      <c r="AF176" s="50"/>
      <c r="AG176" s="33">
        <f t="shared" si="123"/>
        <v>6337</v>
      </c>
      <c r="AH176" s="33">
        <f>SUM(D147:D269)</f>
        <v>460253211.35152841</v>
      </c>
      <c r="AI176" s="231">
        <f t="shared" si="124"/>
        <v>-6.1324248259517107E-2</v>
      </c>
      <c r="AJ176" s="50"/>
      <c r="AK176" s="10"/>
      <c r="AL176" s="23">
        <f t="shared" si="125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6"/>
        <v>1.4332355423197546E-2</v>
      </c>
      <c r="AS176" s="25"/>
      <c r="AT176" s="25"/>
      <c r="AU176" s="24"/>
      <c r="AV176" s="341">
        <f t="shared" si="127"/>
        <v>0.56128178069192269</v>
      </c>
      <c r="AW176" s="341"/>
      <c r="AX176" s="24">
        <f t="shared" si="128"/>
        <v>21239.712574850299</v>
      </c>
      <c r="AY176" s="351"/>
      <c r="AZ176" s="10"/>
      <c r="BA176" s="66">
        <f t="shared" si="129"/>
        <v>748292</v>
      </c>
      <c r="BB176" s="67"/>
      <c r="BC176" s="67">
        <v>84098411</v>
      </c>
      <c r="BD176" s="67"/>
      <c r="BE176" s="67">
        <f t="shared" si="130"/>
        <v>41211</v>
      </c>
      <c r="BF176" s="67"/>
      <c r="BG176" s="156">
        <f t="shared" si="131"/>
        <v>5.5073420536368156E-2</v>
      </c>
      <c r="BH176" s="67"/>
      <c r="BI176" s="183"/>
      <c r="BJ176" s="67"/>
      <c r="BK176" s="67">
        <f t="shared" si="132"/>
        <v>5465845</v>
      </c>
      <c r="BL176" s="67"/>
      <c r="BM176" s="156">
        <f t="shared" si="133"/>
        <v>5.3788206581050137E-2</v>
      </c>
      <c r="BN176" s="66">
        <f t="shared" si="134"/>
        <v>503583.29940119758</v>
      </c>
      <c r="BO176" s="67"/>
      <c r="BP176" s="67">
        <f t="shared" si="135"/>
        <v>6002213</v>
      </c>
      <c r="BQ176" s="67"/>
      <c r="BR176" s="478">
        <f t="shared" si="136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5"/>
        <v>6364985</v>
      </c>
      <c r="I177" s="16"/>
      <c r="J177" s="479">
        <f t="shared" si="116"/>
        <v>7.1942161439134391E-3</v>
      </c>
      <c r="K177" s="16"/>
      <c r="L177" s="16"/>
      <c r="M177" s="16"/>
      <c r="N177" s="16">
        <f t="shared" si="117"/>
        <v>293456</v>
      </c>
      <c r="O177" s="16">
        <f t="shared" si="137"/>
        <v>37886.815476190473</v>
      </c>
      <c r="P177" s="41"/>
      <c r="Q177" s="17">
        <f t="shared" si="118"/>
        <v>293456</v>
      </c>
      <c r="R177" s="16"/>
      <c r="S177" s="60">
        <f t="shared" si="119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0"/>
        <v>191059</v>
      </c>
      <c r="AB177" s="33"/>
      <c r="AC177" s="46">
        <f t="shared" si="121"/>
        <v>3.0017195641466553E-2</v>
      </c>
      <c r="AD177" s="33"/>
      <c r="AE177" s="33">
        <f t="shared" si="122"/>
        <v>1137.2559523809523</v>
      </c>
      <c r="AF177" s="50"/>
      <c r="AG177" s="33">
        <f t="shared" si="123"/>
        <v>6308</v>
      </c>
      <c r="AH177" s="33">
        <f>SUM(D148:D270)</f>
        <v>460198647.35152841</v>
      </c>
      <c r="AI177" s="231">
        <f t="shared" si="124"/>
        <v>-7.1943504487273796E-2</v>
      </c>
      <c r="AJ177" s="50"/>
      <c r="AK177" s="10"/>
      <c r="AL177" s="23">
        <f t="shared" si="125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6"/>
        <v>7.9119669628015758E-3</v>
      </c>
      <c r="AS177" s="25"/>
      <c r="AT177" s="25"/>
      <c r="AU177" s="24"/>
      <c r="AV177" s="341">
        <f t="shared" si="127"/>
        <v>0.56168176358624566</v>
      </c>
      <c r="AW177" s="341"/>
      <c r="AX177" s="24">
        <f t="shared" si="128"/>
        <v>21280.333333333332</v>
      </c>
      <c r="AY177" s="351"/>
      <c r="AZ177" s="10"/>
      <c r="BA177" s="66">
        <f t="shared" si="129"/>
        <v>783118</v>
      </c>
      <c r="BB177" s="67"/>
      <c r="BC177" s="67">
        <v>84881529</v>
      </c>
      <c r="BD177" s="67"/>
      <c r="BE177" s="67">
        <f t="shared" si="130"/>
        <v>45464</v>
      </c>
      <c r="BF177" s="67"/>
      <c r="BG177" s="156">
        <f t="shared" si="131"/>
        <v>5.8055107914771462E-2</v>
      </c>
      <c r="BH177" s="67"/>
      <c r="BI177" s="183"/>
      <c r="BJ177" s="67"/>
      <c r="BK177" s="67">
        <f t="shared" si="132"/>
        <v>5409043</v>
      </c>
      <c r="BL177" s="67"/>
      <c r="BM177" s="156">
        <f t="shared" si="133"/>
        <v>5.4252850273144436E-2</v>
      </c>
      <c r="BN177" s="66">
        <f t="shared" si="134"/>
        <v>505247.19642857142</v>
      </c>
      <c r="BO177" s="67"/>
      <c r="BP177" s="67">
        <f t="shared" si="135"/>
        <v>6047677</v>
      </c>
      <c r="BQ177" s="67"/>
      <c r="BR177" s="478">
        <f t="shared" si="136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5"/>
        <v>6417834</v>
      </c>
      <c r="I178" s="16"/>
      <c r="J178" s="479">
        <f t="shared" si="116"/>
        <v>8.3030831965825534E-3</v>
      </c>
      <c r="K178" s="16"/>
      <c r="L178" s="16"/>
      <c r="M178" s="16"/>
      <c r="N178" s="16">
        <f t="shared" si="117"/>
        <v>296704</v>
      </c>
      <c r="O178" s="16">
        <f t="shared" si="137"/>
        <v>37975.349112426033</v>
      </c>
      <c r="P178" s="41"/>
      <c r="Q178" s="17">
        <f t="shared" si="118"/>
        <v>296704</v>
      </c>
      <c r="R178" s="16"/>
      <c r="S178" s="60">
        <f t="shared" si="119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0"/>
        <v>192092</v>
      </c>
      <c r="AB178" s="33"/>
      <c r="AC178" s="46">
        <f t="shared" si="121"/>
        <v>2.9930970480071626E-2</v>
      </c>
      <c r="AD178" s="33"/>
      <c r="AE178" s="33">
        <f t="shared" si="122"/>
        <v>1136.6390532544378</v>
      </c>
      <c r="AF178" s="50"/>
      <c r="AG178" s="33">
        <f t="shared" si="123"/>
        <v>6236</v>
      </c>
      <c r="AH178" s="33">
        <f>SUM(D149:D271)</f>
        <v>460143499.35152841</v>
      </c>
      <c r="AI178" s="231">
        <f t="shared" si="124"/>
        <v>-7.3677956030897204E-2</v>
      </c>
      <c r="AJ178" s="50"/>
      <c r="AK178" s="10"/>
      <c r="AL178" s="23">
        <f t="shared" si="125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6"/>
        <v>2.8383293763300343E-2</v>
      </c>
      <c r="AS178" s="25"/>
      <c r="AT178" s="25"/>
      <c r="AU178" s="24"/>
      <c r="AV178" s="341">
        <f t="shared" si="127"/>
        <v>0.57286757494818341</v>
      </c>
      <c r="AW178" s="341"/>
      <c r="AX178" s="24">
        <f t="shared" si="128"/>
        <v>21754.846153846152</v>
      </c>
      <c r="AY178" s="351"/>
      <c r="AZ178" s="10"/>
      <c r="BA178" s="66">
        <f t="shared" si="129"/>
        <v>1014188</v>
      </c>
      <c r="BB178" s="67"/>
      <c r="BC178" s="67">
        <v>85895717</v>
      </c>
      <c r="BD178" s="67"/>
      <c r="BE178" s="67">
        <f t="shared" si="130"/>
        <v>52849</v>
      </c>
      <c r="BF178" s="67"/>
      <c r="BG178" s="156">
        <f t="shared" si="131"/>
        <v>5.2109668029990494E-2</v>
      </c>
      <c r="BH178" s="67"/>
      <c r="BI178" s="183"/>
      <c r="BJ178" s="67"/>
      <c r="BK178" s="67">
        <f t="shared" si="132"/>
        <v>5596047</v>
      </c>
      <c r="BL178" s="67"/>
      <c r="BM178" s="156">
        <f t="shared" si="133"/>
        <v>5.3020283782462874E-2</v>
      </c>
      <c r="BN178" s="66">
        <f t="shared" si="134"/>
        <v>508258.68047337281</v>
      </c>
      <c r="BO178" s="67"/>
      <c r="BP178" s="67">
        <f t="shared" si="135"/>
        <v>6100526</v>
      </c>
      <c r="BQ178" s="67"/>
      <c r="BR178" s="478">
        <f t="shared" si="136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5"/>
        <v>6459926</v>
      </c>
      <c r="I179" s="16"/>
      <c r="J179" s="479">
        <f t="shared" si="116"/>
        <v>6.558599053824078E-3</v>
      </c>
      <c r="K179" s="16"/>
      <c r="L179" s="16"/>
      <c r="M179" s="16"/>
      <c r="N179" s="16">
        <f t="shared" si="117"/>
        <v>296136</v>
      </c>
      <c r="O179" s="16">
        <f t="shared" si="137"/>
        <v>37999.564705882352</v>
      </c>
      <c r="P179" s="41"/>
      <c r="Q179" s="17">
        <f t="shared" si="118"/>
        <v>296136</v>
      </c>
      <c r="R179" s="16"/>
      <c r="S179" s="60">
        <f t="shared" si="119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0"/>
        <v>192799</v>
      </c>
      <c r="AB179" s="33"/>
      <c r="AC179" s="46">
        <f t="shared" si="121"/>
        <v>2.984538832178573E-2</v>
      </c>
      <c r="AD179" s="33"/>
      <c r="AE179" s="33">
        <f t="shared" si="122"/>
        <v>1134.1117647058823</v>
      </c>
      <c r="AF179" s="50"/>
      <c r="AG179" s="33">
        <f t="shared" si="123"/>
        <v>5989</v>
      </c>
      <c r="AH179" s="33">
        <f>SUM(D150:D272)</f>
        <v>460084789.35152841</v>
      </c>
      <c r="AI179" s="231">
        <f t="shared" si="124"/>
        <v>-0.10771752085816448</v>
      </c>
      <c r="AJ179" s="50"/>
      <c r="AK179" s="10"/>
      <c r="AL179" s="23">
        <f t="shared" si="125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6"/>
        <v>8.2770104409845158E-3</v>
      </c>
      <c r="AS179" s="25"/>
      <c r="AT179" s="25"/>
      <c r="AU179" s="24"/>
      <c r="AV179" s="341">
        <f t="shared" si="127"/>
        <v>0.57384558275125752</v>
      </c>
      <c r="AW179" s="341"/>
      <c r="AX179" s="24">
        <f t="shared" si="128"/>
        <v>21805.882352941175</v>
      </c>
      <c r="AY179" s="351"/>
      <c r="AZ179" s="10"/>
      <c r="BA179" s="66">
        <f t="shared" si="129"/>
        <v>863485</v>
      </c>
      <c r="BB179" s="67"/>
      <c r="BC179" s="67">
        <v>86759202</v>
      </c>
      <c r="BD179" s="67"/>
      <c r="BE179" s="67">
        <f t="shared" si="130"/>
        <v>42092</v>
      </c>
      <c r="BF179" s="67"/>
      <c r="BG179" s="156">
        <f t="shared" si="131"/>
        <v>4.8746648754755435E-2</v>
      </c>
      <c r="BH179" s="67"/>
      <c r="BI179" s="183"/>
      <c r="BJ179" s="67"/>
      <c r="BK179" s="67">
        <f t="shared" si="132"/>
        <v>5656805</v>
      </c>
      <c r="BL179" s="67"/>
      <c r="BM179" s="156">
        <f t="shared" si="133"/>
        <v>5.2350399209447736E-2</v>
      </c>
      <c r="BN179" s="66">
        <f t="shared" si="134"/>
        <v>510348.24705882353</v>
      </c>
      <c r="BO179" s="67"/>
      <c r="BP179" s="67">
        <f t="shared" si="135"/>
        <v>6142618</v>
      </c>
      <c r="BQ179" s="67"/>
      <c r="BR179" s="478">
        <f t="shared" si="136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5"/>
        <v>6491036</v>
      </c>
      <c r="I180" s="16"/>
      <c r="J180" s="479">
        <f t="shared" si="116"/>
        <v>4.8158446397063995E-3</v>
      </c>
      <c r="K180" s="16"/>
      <c r="L180" s="16"/>
      <c r="M180" s="16"/>
      <c r="N180" s="16">
        <f t="shared" si="117"/>
        <v>293265</v>
      </c>
      <c r="O180" s="16">
        <f t="shared" si="137"/>
        <v>37959.274853801173</v>
      </c>
      <c r="P180" s="41"/>
      <c r="Q180" s="17">
        <f t="shared" si="118"/>
        <v>293265</v>
      </c>
      <c r="R180" s="16"/>
      <c r="S180" s="60">
        <f t="shared" si="119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0"/>
        <v>193229</v>
      </c>
      <c r="AB180" s="33"/>
      <c r="AC180" s="46">
        <f t="shared" si="121"/>
        <v>2.976859163930072E-2</v>
      </c>
      <c r="AD180" s="33"/>
      <c r="AE180" s="33">
        <f t="shared" si="122"/>
        <v>1129.9941520467837</v>
      </c>
      <c r="AF180" s="50"/>
      <c r="AG180" s="33">
        <f t="shared" si="123"/>
        <v>6050</v>
      </c>
      <c r="AH180" s="33">
        <f>SUM(D151:D273)</f>
        <v>460021543.35152841</v>
      </c>
      <c r="AI180" s="231">
        <f t="shared" si="124"/>
        <v>-9.0362351526086307E-2</v>
      </c>
      <c r="AJ180" s="50"/>
      <c r="AK180" s="10"/>
      <c r="AL180" s="23">
        <f t="shared" si="125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6"/>
        <v>5.1173455624494201E-3</v>
      </c>
      <c r="AS180" s="25"/>
      <c r="AT180" s="25"/>
      <c r="AU180" s="24"/>
      <c r="AV180" s="341">
        <f t="shared" si="127"/>
        <v>0.574017768504134</v>
      </c>
      <c r="AW180" s="341"/>
      <c r="AX180" s="24">
        <f t="shared" si="128"/>
        <v>21789.298245614034</v>
      </c>
      <c r="AY180" s="351"/>
      <c r="AZ180" s="391"/>
      <c r="BA180" s="66">
        <f t="shared" si="129"/>
        <v>715717</v>
      </c>
      <c r="BB180" s="67"/>
      <c r="BC180" s="67">
        <v>87474919</v>
      </c>
      <c r="BD180" s="67"/>
      <c r="BE180" s="67">
        <f t="shared" si="130"/>
        <v>31110</v>
      </c>
      <c r="BF180" s="67"/>
      <c r="BG180" s="156">
        <f t="shared" si="131"/>
        <v>4.3466901023728653E-2</v>
      </c>
      <c r="BH180" s="67"/>
      <c r="BI180" s="183"/>
      <c r="BJ180" s="67"/>
      <c r="BK180" s="67">
        <f t="shared" si="132"/>
        <v>5644840</v>
      </c>
      <c r="BL180" s="67"/>
      <c r="BM180" s="156">
        <f t="shared" si="133"/>
        <v>5.1952756854047238E-2</v>
      </c>
      <c r="BN180" s="66">
        <f t="shared" si="134"/>
        <v>511549.23391812865</v>
      </c>
      <c r="BO180" s="67"/>
      <c r="BP180" s="67">
        <f t="shared" si="135"/>
        <v>6173728</v>
      </c>
      <c r="BQ180" s="67"/>
      <c r="BR180" s="478">
        <f t="shared" si="136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5"/>
        <v>6516456</v>
      </c>
      <c r="I181" s="16"/>
      <c r="J181" s="479">
        <f t="shared" si="116"/>
        <v>3.9161699303470205E-3</v>
      </c>
      <c r="K181" s="16"/>
      <c r="L181" s="16"/>
      <c r="M181" s="16"/>
      <c r="N181" s="16">
        <f t="shared" si="117"/>
        <v>280125</v>
      </c>
      <c r="O181" s="16">
        <f t="shared" si="137"/>
        <v>37886.372093023259</v>
      </c>
      <c r="P181" s="41"/>
      <c r="Q181" s="17">
        <f t="shared" si="118"/>
        <v>280125</v>
      </c>
      <c r="R181" s="16"/>
      <c r="S181" s="60">
        <f t="shared" si="119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0"/>
        <v>193515</v>
      </c>
      <c r="AB181" s="33"/>
      <c r="AC181" s="46">
        <f t="shared" si="121"/>
        <v>2.9696356424412287E-2</v>
      </c>
      <c r="AD181" s="33"/>
      <c r="AE181" s="33">
        <f t="shared" si="122"/>
        <v>1125.0872093023256</v>
      </c>
      <c r="AF181" s="50"/>
      <c r="AG181" s="33">
        <f t="shared" si="123"/>
        <v>5824</v>
      </c>
      <c r="AH181" s="33">
        <f>SUM(D152:D274)</f>
        <v>459967344.35152841</v>
      </c>
      <c r="AI181" s="231">
        <f t="shared" si="124"/>
        <v>-0.12460544115436645</v>
      </c>
      <c r="AJ181" s="50"/>
      <c r="AK181" s="10"/>
      <c r="AL181" s="23">
        <f t="shared" si="125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6"/>
        <v>8.7652342879840691E-3</v>
      </c>
      <c r="AS181" s="25"/>
      <c r="AT181" s="25"/>
      <c r="AU181" s="24"/>
      <c r="AV181" s="341">
        <f t="shared" si="127"/>
        <v>0.57679035966789305</v>
      </c>
      <c r="AW181" s="341"/>
      <c r="AX181" s="24">
        <f t="shared" si="128"/>
        <v>21852.494186046511</v>
      </c>
      <c r="AY181" s="351"/>
      <c r="AZ181" s="10"/>
      <c r="BA181" s="66">
        <f t="shared" si="129"/>
        <v>592931</v>
      </c>
      <c r="BB181" s="67"/>
      <c r="BC181" s="67">
        <v>88067850</v>
      </c>
      <c r="BD181" s="67"/>
      <c r="BE181" s="67">
        <f t="shared" si="130"/>
        <v>25420</v>
      </c>
      <c r="BF181" s="67"/>
      <c r="BG181" s="156">
        <f t="shared" si="131"/>
        <v>4.2871767541248475E-2</v>
      </c>
      <c r="BH181" s="67"/>
      <c r="BI181" s="183"/>
      <c r="BJ181" s="67"/>
      <c r="BK181" s="67">
        <f t="shared" si="132"/>
        <v>5443009</v>
      </c>
      <c r="BL181" s="67"/>
      <c r="BM181" s="156">
        <f t="shared" si="133"/>
        <v>5.1465099543285708E-2</v>
      </c>
      <c r="BN181" s="66">
        <f t="shared" si="134"/>
        <v>512022.38372093026</v>
      </c>
      <c r="BO181" s="67"/>
      <c r="BP181" s="67">
        <f t="shared" si="135"/>
        <v>6199148</v>
      </c>
      <c r="BQ181" s="67"/>
      <c r="BR181" s="478">
        <f t="shared" si="136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5"/>
        <v>6544895</v>
      </c>
      <c r="I182" s="16"/>
      <c r="J182" s="479">
        <f t="shared" si="116"/>
        <v>4.3641820032238382E-3</v>
      </c>
      <c r="K182" s="16"/>
      <c r="L182" s="16"/>
      <c r="M182" s="16"/>
      <c r="N182" s="16">
        <f t="shared" si="117"/>
        <v>266585</v>
      </c>
      <c r="O182" s="16">
        <f t="shared" si="137"/>
        <v>37831.763005780347</v>
      </c>
      <c r="P182" s="41"/>
      <c r="Q182" s="17">
        <f t="shared" si="118"/>
        <v>266585</v>
      </c>
      <c r="R182" s="16"/>
      <c r="S182" s="60">
        <f t="shared" si="119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0"/>
        <v>194011</v>
      </c>
      <c r="AB182" s="33"/>
      <c r="AC182" s="46">
        <f t="shared" si="121"/>
        <v>2.9643103518085471E-2</v>
      </c>
      <c r="AD182" s="33"/>
      <c r="AE182" s="33">
        <f t="shared" si="122"/>
        <v>1121.4508670520231</v>
      </c>
      <c r="AF182" s="50"/>
      <c r="AG182" s="33">
        <f t="shared" si="123"/>
        <v>5156</v>
      </c>
      <c r="AH182" s="33">
        <f>SUM(D153:D275)</f>
        <v>459919495.35152841</v>
      </c>
      <c r="AI182" s="231">
        <f t="shared" si="124"/>
        <v>-0.21005055921556612</v>
      </c>
      <c r="AJ182" s="50"/>
      <c r="AK182" s="10"/>
      <c r="AL182" s="23">
        <f t="shared" si="125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6"/>
        <v>1.0144922523611669E-2</v>
      </c>
      <c r="AS182" s="25"/>
      <c r="AT182" s="25"/>
      <c r="AU182" s="24"/>
      <c r="AV182" s="341">
        <f t="shared" si="127"/>
        <v>0.58011014691603147</v>
      </c>
      <c r="AW182" s="341"/>
      <c r="AX182" s="24">
        <f t="shared" si="128"/>
        <v>21946.589595375721</v>
      </c>
      <c r="AY182" s="351"/>
      <c r="AZ182" s="10"/>
      <c r="BA182" s="66">
        <f t="shared" si="129"/>
        <v>589124</v>
      </c>
      <c r="BB182" s="67"/>
      <c r="BC182" s="67">
        <v>88656974</v>
      </c>
      <c r="BD182" s="67"/>
      <c r="BE182" s="67">
        <f t="shared" si="130"/>
        <v>28439</v>
      </c>
      <c r="BF182" s="67"/>
      <c r="BG182" s="156">
        <f t="shared" si="131"/>
        <v>4.8273368594727084E-2</v>
      </c>
      <c r="BH182" s="67"/>
      <c r="BI182" s="183"/>
      <c r="BJ182" s="67"/>
      <c r="BK182" s="67">
        <f t="shared" si="132"/>
        <v>5306855</v>
      </c>
      <c r="BL182" s="67"/>
      <c r="BM182" s="156">
        <f t="shared" si="133"/>
        <v>5.0234084029052987E-2</v>
      </c>
      <c r="BN182" s="66">
        <f t="shared" si="134"/>
        <v>512468.0578034682</v>
      </c>
      <c r="BO182" s="67"/>
      <c r="BP182" s="67">
        <f t="shared" si="135"/>
        <v>6227587</v>
      </c>
      <c r="BQ182" s="67"/>
      <c r="BR182" s="478">
        <f t="shared" si="136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:H212" si="138">+H182+D183</f>
        <v>6580138</v>
      </c>
      <c r="I183" s="16"/>
      <c r="J183" s="479">
        <f t="shared" ref="J183:J212" si="139">+D183/H182</f>
        <v>5.3848075484786238E-3</v>
      </c>
      <c r="K183" s="16"/>
      <c r="L183" s="16"/>
      <c r="M183" s="16"/>
      <c r="N183" s="16">
        <f t="shared" ref="N183:N212" si="140">SUM(D177:D183)</f>
        <v>260617</v>
      </c>
      <c r="O183" s="16">
        <f t="shared" ref="O183:O212" si="141">+H183/BW183</f>
        <v>37816.885057471263</v>
      </c>
      <c r="P183" s="41"/>
      <c r="Q183" s="17">
        <f>SUM(D177:D183)</f>
        <v>260617</v>
      </c>
      <c r="R183" s="16"/>
      <c r="S183" s="60">
        <f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:AA212" si="142">+AA182+W183</f>
        <v>195219</v>
      </c>
      <c r="AB183" s="33"/>
      <c r="AC183" s="46">
        <f t="shared" ref="AC183:AC212" si="143">+AA183/H183</f>
        <v>2.9667918818723861E-2</v>
      </c>
      <c r="AD183" s="33"/>
      <c r="AE183" s="33">
        <f t="shared" ref="AE183:AE212" si="144">+AA183/BW183</f>
        <v>1121.9482758620691</v>
      </c>
      <c r="AF183" s="50"/>
      <c r="AG183" s="33">
        <f t="shared" ref="AG183:AG195" si="145">SUM(W177:W183)</f>
        <v>5274</v>
      </c>
      <c r="AH183" s="33">
        <f>SUM(D154:D276)</f>
        <v>459869695.35152841</v>
      </c>
      <c r="AI183" s="231">
        <f t="shared" ref="AI183:AI212" si="146">+(AG183-AG176)/AG176</f>
        <v>-0.16774498974278049</v>
      </c>
      <c r="AJ183" s="50"/>
      <c r="AK183" s="10"/>
      <c r="AL183" s="23">
        <f t="shared" ref="AL183:AL212" si="147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:AR212" si="148">+AL183/AP182</f>
        <v>1.2993973809247885E-2</v>
      </c>
      <c r="AS183" s="25"/>
      <c r="AT183" s="25"/>
      <c r="AU183" s="24"/>
      <c r="AV183" s="341">
        <f t="shared" ref="AV183:AV212" si="149">+AP183/H183</f>
        <v>0.5845006594086628</v>
      </c>
      <c r="AW183" s="341"/>
      <c r="AX183" s="24">
        <f t="shared" ref="AX183:AX212" si="150">+AP183/BW183</f>
        <v>22103.994252873563</v>
      </c>
      <c r="AY183" s="351"/>
      <c r="AZ183" s="10"/>
      <c r="BA183" s="66">
        <f t="shared" ref="BA183:BA212" si="151">+BC183-BC182</f>
        <v>626098</v>
      </c>
      <c r="BB183" s="67"/>
      <c r="BC183" s="67">
        <v>89283072</v>
      </c>
      <c r="BD183" s="67"/>
      <c r="BE183" s="67">
        <f t="shared" ref="BE183:BE212" si="152">+D183</f>
        <v>35243</v>
      </c>
      <c r="BF183" s="67"/>
      <c r="BG183" s="156">
        <f t="shared" ref="BG183:BG212" si="153">+BE183/BA183</f>
        <v>5.6289909886311724E-2</v>
      </c>
      <c r="BH183" s="67"/>
      <c r="BI183" s="183"/>
      <c r="BJ183" s="67"/>
      <c r="BK183" s="67">
        <f t="shared" ref="BK183:BK212" si="154">SUM(BA177:BA183)</f>
        <v>5184661</v>
      </c>
      <c r="BL183" s="67"/>
      <c r="BM183" s="156">
        <f t="shared" ref="BM183:BM212" si="155">+Q183/BK183</f>
        <v>5.026693162773805E-2</v>
      </c>
      <c r="BN183" s="66">
        <f t="shared" ref="BN183:BN212" si="156">+BC183/BW183</f>
        <v>513121.10344827588</v>
      </c>
      <c r="BO183" s="67"/>
      <c r="BP183" s="67">
        <f t="shared" ref="BP183:BP212" si="157">+BP182+BE183</f>
        <v>6262830</v>
      </c>
      <c r="BQ183" s="67"/>
      <c r="BR183" s="478">
        <f t="shared" ref="BR183:BR212" si="158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si="138"/>
        <v>6618949</v>
      </c>
      <c r="I184" s="16"/>
      <c r="J184" s="479">
        <f t="shared" si="139"/>
        <v>5.8982045665303675E-3</v>
      </c>
      <c r="K184" s="16"/>
      <c r="L184" s="16"/>
      <c r="M184" s="16"/>
      <c r="N184" s="16">
        <f t="shared" si="140"/>
        <v>253964</v>
      </c>
      <c r="O184" s="16">
        <f t="shared" si="141"/>
        <v>37822.565714285716</v>
      </c>
      <c r="P184" s="41"/>
      <c r="Q184" s="17">
        <f>SUM(D178:D184)</f>
        <v>253964</v>
      </c>
      <c r="R184" s="16"/>
      <c r="S184" s="60">
        <f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si="142"/>
        <v>196308</v>
      </c>
      <c r="AB184" s="33"/>
      <c r="AC184" s="46">
        <f t="shared" si="143"/>
        <v>2.9658485055557914E-2</v>
      </c>
      <c r="AD184" s="33"/>
      <c r="AE184" s="33">
        <f t="shared" si="144"/>
        <v>1121.76</v>
      </c>
      <c r="AF184" s="50"/>
      <c r="AG184" s="33">
        <f t="shared" si="145"/>
        <v>5249</v>
      </c>
      <c r="AH184" s="33">
        <f>SUM(D155:D277)</f>
        <v>459815176.35152841</v>
      </c>
      <c r="AI184" s="231">
        <f t="shared" si="146"/>
        <v>-0.16788205453392518</v>
      </c>
      <c r="AJ184" s="50"/>
      <c r="AK184" s="10"/>
      <c r="AL184" s="23">
        <f t="shared" si="147"/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si="148"/>
        <v>8.8050347170311703E-3</v>
      </c>
      <c r="AS184" s="25"/>
      <c r="AT184" s="25"/>
      <c r="AU184" s="24"/>
      <c r="AV184" s="341">
        <f t="shared" si="149"/>
        <v>0.58618974099966625</v>
      </c>
      <c r="AW184" s="341"/>
      <c r="AX184" s="24">
        <f t="shared" si="150"/>
        <v>22171.200000000001</v>
      </c>
      <c r="AY184" s="351"/>
      <c r="AZ184" s="10"/>
      <c r="BA184" s="66">
        <f t="shared" si="151"/>
        <v>701717</v>
      </c>
      <c r="BB184" s="67"/>
      <c r="BC184" s="67">
        <v>89984789</v>
      </c>
      <c r="BD184" s="67"/>
      <c r="BE184" s="67">
        <f t="shared" si="152"/>
        <v>38811</v>
      </c>
      <c r="BF184" s="67"/>
      <c r="BG184" s="156">
        <f t="shared" si="153"/>
        <v>5.5308621566813973E-2</v>
      </c>
      <c r="BH184" s="67"/>
      <c r="BI184" s="183"/>
      <c r="BJ184" s="67"/>
      <c r="BK184" s="67">
        <f t="shared" si="154"/>
        <v>5103260</v>
      </c>
      <c r="BL184" s="67"/>
      <c r="BM184" s="156">
        <f t="shared" si="155"/>
        <v>4.9765052143139872E-2</v>
      </c>
      <c r="BN184" s="66">
        <f t="shared" si="156"/>
        <v>514198.79428571428</v>
      </c>
      <c r="BO184" s="67"/>
      <c r="BP184" s="67">
        <f t="shared" si="157"/>
        <v>6301641</v>
      </c>
      <c r="BQ184" s="67"/>
      <c r="BR184" s="478">
        <f t="shared" si="158"/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si="138"/>
        <v>6665549</v>
      </c>
      <c r="I185" s="16"/>
      <c r="J185" s="479">
        <f t="shared" si="139"/>
        <v>7.0403926665698734E-3</v>
      </c>
      <c r="K185" s="16"/>
      <c r="L185" s="16"/>
      <c r="M185" s="16"/>
      <c r="N185" s="16">
        <f t="shared" si="140"/>
        <v>247715</v>
      </c>
      <c r="O185" s="16">
        <f t="shared" si="141"/>
        <v>37872.4375</v>
      </c>
      <c r="P185" s="41"/>
      <c r="Q185" s="17">
        <f>SUM(D179:D185)</f>
        <v>247715</v>
      </c>
      <c r="R185" s="16"/>
      <c r="S185" s="60">
        <f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si="142"/>
        <v>197402</v>
      </c>
      <c r="AB185" s="33"/>
      <c r="AC185" s="46">
        <f t="shared" si="143"/>
        <v>2.9615264999177111E-2</v>
      </c>
      <c r="AD185" s="33"/>
      <c r="AE185" s="33">
        <f t="shared" si="144"/>
        <v>1121.6022727272727</v>
      </c>
      <c r="AF185" s="50"/>
      <c r="AG185" s="33">
        <f t="shared" si="145"/>
        <v>5310</v>
      </c>
      <c r="AH185" s="33">
        <f>SUM(D156:D278)</f>
        <v>459760831.35152841</v>
      </c>
      <c r="AI185" s="231">
        <f t="shared" si="146"/>
        <v>-0.14849262347658757</v>
      </c>
      <c r="AJ185" s="50"/>
      <c r="AK185" s="10"/>
      <c r="AL185" s="23">
        <f t="shared" si="147"/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si="148"/>
        <v>9.7944308704213442E-3</v>
      </c>
      <c r="AS185" s="25"/>
      <c r="AT185" s="25"/>
      <c r="AU185" s="24"/>
      <c r="AV185" s="341">
        <f t="shared" si="149"/>
        <v>0.58779284347020777</v>
      </c>
      <c r="AW185" s="341"/>
      <c r="AX185" s="24">
        <f t="shared" si="150"/>
        <v>22261.147727272728</v>
      </c>
      <c r="AY185" s="351"/>
      <c r="AZ185" s="10"/>
      <c r="BA185" s="66">
        <f t="shared" si="151"/>
        <v>860917</v>
      </c>
      <c r="BB185" s="67"/>
      <c r="BC185" s="67">
        <v>90845706</v>
      </c>
      <c r="BD185" s="67"/>
      <c r="BE185" s="67">
        <f t="shared" si="152"/>
        <v>46600</v>
      </c>
      <c r="BF185" s="67"/>
      <c r="BG185" s="156">
        <f t="shared" si="153"/>
        <v>5.412833060562168E-2</v>
      </c>
      <c r="BH185" s="67"/>
      <c r="BI185" s="183"/>
      <c r="BJ185" s="67"/>
      <c r="BK185" s="67">
        <f t="shared" si="154"/>
        <v>4949989</v>
      </c>
      <c r="BL185" s="67"/>
      <c r="BM185" s="156">
        <f t="shared" si="155"/>
        <v>5.0043545551313344E-2</v>
      </c>
      <c r="BN185" s="66">
        <f t="shared" si="156"/>
        <v>516168.78409090912</v>
      </c>
      <c r="BO185" s="67"/>
      <c r="BP185" s="67">
        <f t="shared" si="157"/>
        <v>6348241</v>
      </c>
      <c r="BQ185" s="67"/>
      <c r="BR185" s="478">
        <f t="shared" si="158"/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si="138"/>
        <v>6704831</v>
      </c>
      <c r="I186" s="16"/>
      <c r="J186" s="479">
        <f t="shared" si="139"/>
        <v>5.8932880097348319E-3</v>
      </c>
      <c r="K186" s="16"/>
      <c r="L186" s="16"/>
      <c r="M186" s="16"/>
      <c r="N186" s="16">
        <f t="shared" si="140"/>
        <v>244905</v>
      </c>
      <c r="O186" s="16">
        <f t="shared" si="141"/>
        <v>37880.401129943501</v>
      </c>
      <c r="P186" s="41"/>
      <c r="Q186" s="17">
        <f>SUM(D180:D186)</f>
        <v>244905</v>
      </c>
      <c r="R186" s="16"/>
      <c r="S186" s="60">
        <f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si="142"/>
        <v>198109</v>
      </c>
      <c r="AB186" s="33"/>
      <c r="AC186" s="46">
        <f t="shared" si="143"/>
        <v>2.9547202606598138E-2</v>
      </c>
      <c r="AD186" s="33"/>
      <c r="AE186" s="33">
        <f t="shared" si="144"/>
        <v>1119.2598870056497</v>
      </c>
      <c r="AF186" s="50"/>
      <c r="AG186" s="33">
        <f t="shared" si="145"/>
        <v>5310</v>
      </c>
      <c r="AH186" s="33">
        <f>SUM(D157:D279)</f>
        <v>459705467.35152841</v>
      </c>
      <c r="AI186" s="231">
        <f t="shared" si="146"/>
        <v>-0.11337451995324763</v>
      </c>
      <c r="AJ186" s="50"/>
      <c r="AK186" s="10"/>
      <c r="AL186" s="23">
        <f t="shared" si="147"/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si="148"/>
        <v>8.2675635955632033E-3</v>
      </c>
      <c r="AS186" s="25"/>
      <c r="AT186" s="25"/>
      <c r="AU186" s="24"/>
      <c r="AV186" s="341">
        <f t="shared" si="149"/>
        <v>0.58918024928592527</v>
      </c>
      <c r="AW186" s="341"/>
      <c r="AX186" s="24">
        <f t="shared" si="150"/>
        <v>22318.384180790959</v>
      </c>
      <c r="AY186" s="351"/>
      <c r="AZ186" s="10"/>
      <c r="BA186" s="66">
        <f t="shared" si="151"/>
        <v>857797</v>
      </c>
      <c r="BB186" s="67"/>
      <c r="BC186" s="67">
        <v>91703503</v>
      </c>
      <c r="BD186" s="67"/>
      <c r="BE186" s="67">
        <f t="shared" si="152"/>
        <v>39282</v>
      </c>
      <c r="BF186" s="67"/>
      <c r="BG186" s="156">
        <f t="shared" si="153"/>
        <v>4.5794051506358728E-2</v>
      </c>
      <c r="BH186" s="67"/>
      <c r="BI186" s="183"/>
      <c r="BJ186" s="67"/>
      <c r="BK186" s="67">
        <f t="shared" si="154"/>
        <v>4944301</v>
      </c>
      <c r="BL186" s="67"/>
      <c r="BM186" s="156">
        <f t="shared" si="155"/>
        <v>4.9532785321929229E-2</v>
      </c>
      <c r="BN186" s="66">
        <f t="shared" si="156"/>
        <v>518098.88700564974</v>
      </c>
      <c r="BO186" s="67"/>
      <c r="BP186" s="67">
        <f t="shared" si="157"/>
        <v>6387523</v>
      </c>
      <c r="BQ186" s="67"/>
      <c r="BR186" s="478">
        <f t="shared" si="158"/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si="138"/>
        <v>6736688</v>
      </c>
      <c r="I187" s="16"/>
      <c r="J187" s="479">
        <f t="shared" si="139"/>
        <v>4.7513501831738933E-3</v>
      </c>
      <c r="K187" s="16"/>
      <c r="L187" s="16"/>
      <c r="M187" s="16"/>
      <c r="N187" s="16">
        <f t="shared" si="140"/>
        <v>245652</v>
      </c>
      <c r="O187" s="16">
        <f t="shared" si="141"/>
        <v>37846.561797752809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si="142"/>
        <v>198501</v>
      </c>
      <c r="AB187" s="33"/>
      <c r="AC187" s="46">
        <f t="shared" si="143"/>
        <v>2.9465666214614661E-2</v>
      </c>
      <c r="AD187" s="33"/>
      <c r="AE187" s="33">
        <f t="shared" si="144"/>
        <v>1115.1741573033707</v>
      </c>
      <c r="AF187" s="50"/>
      <c r="AG187" s="33">
        <f t="shared" si="145"/>
        <v>5272</v>
      </c>
      <c r="AH187" s="33">
        <f>SUM(D158:D280)</f>
        <v>459644867.35152841</v>
      </c>
      <c r="AI187" s="231">
        <f t="shared" si="146"/>
        <v>-0.12859504132231406</v>
      </c>
      <c r="AJ187" s="50"/>
      <c r="AK187" s="10"/>
      <c r="AL187" s="23">
        <f t="shared" si="147"/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si="148"/>
        <v>6.2260243006069839E-3</v>
      </c>
      <c r="AS187" s="25"/>
      <c r="AT187" s="25"/>
      <c r="AU187" s="24"/>
      <c r="AV187" s="341">
        <f t="shared" si="149"/>
        <v>0.59004498946663408</v>
      </c>
      <c r="AW187" s="341"/>
      <c r="AX187" s="24">
        <f t="shared" si="150"/>
        <v>22331.174157303372</v>
      </c>
      <c r="AY187" s="351"/>
      <c r="AZ187" s="391"/>
      <c r="BA187" s="66">
        <f t="shared" si="151"/>
        <v>699997</v>
      </c>
      <c r="BB187" s="67"/>
      <c r="BC187" s="67">
        <v>92403500</v>
      </c>
      <c r="BD187" s="67"/>
      <c r="BE187" s="67">
        <f t="shared" si="152"/>
        <v>31857</v>
      </c>
      <c r="BF187" s="67"/>
      <c r="BG187" s="156">
        <f t="shared" si="153"/>
        <v>4.5510195043693046E-2</v>
      </c>
      <c r="BH187" s="67"/>
      <c r="BI187" s="183"/>
      <c r="BJ187" s="67"/>
      <c r="BK187" s="67">
        <f t="shared" si="154"/>
        <v>4928581</v>
      </c>
      <c r="BL187" s="67"/>
      <c r="BM187" s="156">
        <f t="shared" si="155"/>
        <v>0</v>
      </c>
      <c r="BN187" s="66">
        <f t="shared" si="156"/>
        <v>519120.78651685396</v>
      </c>
      <c r="BO187" s="67"/>
      <c r="BP187" s="67">
        <f t="shared" si="157"/>
        <v>6419380</v>
      </c>
      <c r="BQ187" s="67"/>
      <c r="BR187" s="478">
        <f t="shared" si="158"/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23" si="159">1+B187</f>
        <v>44088</v>
      </c>
      <c r="C188" s="61"/>
      <c r="D188" s="17">
        <v>38072</v>
      </c>
      <c r="E188" s="16"/>
      <c r="F188" s="16"/>
      <c r="G188" s="16"/>
      <c r="H188" s="16">
        <f t="shared" si="138"/>
        <v>6774760</v>
      </c>
      <c r="I188" s="16"/>
      <c r="J188" s="479">
        <f t="shared" si="139"/>
        <v>5.6514417767306426E-3</v>
      </c>
      <c r="K188" s="16"/>
      <c r="L188" s="16"/>
      <c r="M188" s="16"/>
      <c r="N188" s="16">
        <f t="shared" si="140"/>
        <v>258304</v>
      </c>
      <c r="O188" s="16">
        <f t="shared" si="141"/>
        <v>37847.821229050278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si="142"/>
        <v>198981</v>
      </c>
      <c r="AB188" s="33"/>
      <c r="AC188" s="46">
        <f t="shared" si="143"/>
        <v>2.9370929745112743E-2</v>
      </c>
      <c r="AD188" s="33"/>
      <c r="AE188" s="33">
        <f t="shared" si="144"/>
        <v>1111.6256983240223</v>
      </c>
      <c r="AF188" s="50"/>
      <c r="AG188" s="33">
        <f t="shared" si="145"/>
        <v>5466</v>
      </c>
      <c r="AH188" s="33">
        <f>SUM(D159:D281)</f>
        <v>459591344.35152841</v>
      </c>
      <c r="AI188" s="231">
        <f t="shared" si="146"/>
        <v>-6.1469780219780217E-2</v>
      </c>
      <c r="AJ188" s="50"/>
      <c r="AK188" s="10"/>
      <c r="AL188" s="23">
        <f t="shared" si="147"/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si="148"/>
        <v>1.3302560611469481E-2</v>
      </c>
      <c r="AS188" s="25"/>
      <c r="AT188" s="25"/>
      <c r="AU188" s="24"/>
      <c r="AV188" s="341">
        <f t="shared" si="149"/>
        <v>0.59453412371803582</v>
      </c>
      <c r="AW188" s="341"/>
      <c r="AX188" s="24">
        <f t="shared" si="150"/>
        <v>22501.821229050278</v>
      </c>
      <c r="AY188" s="351"/>
      <c r="AZ188" s="10"/>
      <c r="BA188" s="66">
        <f t="shared" si="151"/>
        <v>486822</v>
      </c>
      <c r="BB188" s="67"/>
      <c r="BC188" s="67">
        <v>92890322</v>
      </c>
      <c r="BD188" s="67"/>
      <c r="BE188" s="67">
        <f t="shared" si="152"/>
        <v>38072</v>
      </c>
      <c r="BF188" s="67"/>
      <c r="BG188" s="156">
        <f t="shared" si="153"/>
        <v>7.8205175608333233E-2</v>
      </c>
      <c r="BH188" s="67"/>
      <c r="BI188" s="183"/>
      <c r="BJ188" s="67"/>
      <c r="BK188" s="67">
        <f t="shared" si="154"/>
        <v>4822472</v>
      </c>
      <c r="BL188" s="67"/>
      <c r="BM188" s="156">
        <f t="shared" si="155"/>
        <v>0</v>
      </c>
      <c r="BN188" s="66">
        <f t="shared" si="156"/>
        <v>518940.34636871511</v>
      </c>
      <c r="BO188" s="67"/>
      <c r="BP188" s="67">
        <f t="shared" si="157"/>
        <v>6457452</v>
      </c>
      <c r="BQ188" s="67"/>
      <c r="BR188" s="478">
        <f t="shared" si="158"/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159"/>
        <v>44089</v>
      </c>
      <c r="C189" s="61"/>
      <c r="D189" s="17">
        <v>36447</v>
      </c>
      <c r="E189" s="16"/>
      <c r="F189" s="16"/>
      <c r="G189" s="16"/>
      <c r="H189" s="16">
        <f t="shared" si="138"/>
        <v>6811207</v>
      </c>
      <c r="I189" s="16"/>
      <c r="J189" s="479">
        <f t="shared" si="139"/>
        <v>5.3798215730151326E-3</v>
      </c>
      <c r="K189" s="16"/>
      <c r="L189" s="16"/>
      <c r="M189" s="16"/>
      <c r="N189" s="16">
        <f t="shared" si="140"/>
        <v>266312</v>
      </c>
      <c r="O189" s="16">
        <f t="shared" si="141"/>
        <v>37840.038888888892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si="142"/>
        <v>200178</v>
      </c>
      <c r="AB189" s="33"/>
      <c r="AC189" s="46">
        <f t="shared" si="143"/>
        <v>2.9389504679567073E-2</v>
      </c>
      <c r="AD189" s="33"/>
      <c r="AE189" s="33">
        <f t="shared" si="144"/>
        <v>1112.0999999999999</v>
      </c>
      <c r="AF189" s="50"/>
      <c r="AG189" s="33">
        <f t="shared" si="145"/>
        <v>6167</v>
      </c>
      <c r="AH189" s="33">
        <f>SUM(D160:D282)</f>
        <v>459554501.35152841</v>
      </c>
      <c r="AI189" s="231">
        <f t="shared" si="146"/>
        <v>0.1960822342901474</v>
      </c>
      <c r="AJ189" s="50"/>
      <c r="AK189" s="10"/>
      <c r="AL189" s="23">
        <f t="shared" si="147"/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si="148"/>
        <v>9.9954665370351158E-3</v>
      </c>
      <c r="AS189" s="25"/>
      <c r="AT189" s="25"/>
      <c r="AU189" s="24"/>
      <c r="AV189" s="341">
        <f t="shared" si="149"/>
        <v>0.5972635980671267</v>
      </c>
      <c r="AW189" s="341"/>
      <c r="AX189" s="24">
        <f t="shared" si="150"/>
        <v>22600.477777777778</v>
      </c>
      <c r="AY189" s="351"/>
      <c r="AZ189" s="10"/>
      <c r="BA189" s="66">
        <f t="shared" si="151"/>
        <v>741636</v>
      </c>
      <c r="BB189" s="67"/>
      <c r="BC189" s="67">
        <v>93631958</v>
      </c>
      <c r="BD189" s="67"/>
      <c r="BE189" s="67">
        <f t="shared" si="152"/>
        <v>36447</v>
      </c>
      <c r="BF189" s="67"/>
      <c r="BG189" s="156">
        <f t="shared" si="153"/>
        <v>4.9144054495736451E-2</v>
      </c>
      <c r="BH189" s="67"/>
      <c r="BI189" s="183"/>
      <c r="BJ189" s="67"/>
      <c r="BK189" s="67">
        <f t="shared" si="154"/>
        <v>4974984</v>
      </c>
      <c r="BL189" s="67"/>
      <c r="BM189" s="156">
        <f t="shared" si="155"/>
        <v>0</v>
      </c>
      <c r="BN189" s="66">
        <f t="shared" si="156"/>
        <v>520177.54444444447</v>
      </c>
      <c r="BO189" s="67"/>
      <c r="BP189" s="67">
        <f t="shared" si="157"/>
        <v>6493899</v>
      </c>
      <c r="BQ189" s="67"/>
      <c r="BR189" s="478">
        <f t="shared" si="158"/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159"/>
        <v>44090</v>
      </c>
      <c r="C190" s="61"/>
      <c r="D190" s="17">
        <v>40154</v>
      </c>
      <c r="E190" s="16"/>
      <c r="F190" s="16"/>
      <c r="G190" s="16"/>
      <c r="H190" s="16">
        <f t="shared" si="138"/>
        <v>6851361</v>
      </c>
      <c r="I190" s="16"/>
      <c r="J190" s="479">
        <f t="shared" si="139"/>
        <v>5.895284051710659E-3</v>
      </c>
      <c r="K190" s="16"/>
      <c r="L190" s="16"/>
      <c r="M190" s="16"/>
      <c r="N190" s="16">
        <f t="shared" si="140"/>
        <v>271223</v>
      </c>
      <c r="O190" s="16">
        <f t="shared" si="141"/>
        <v>37852.823204419888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si="142"/>
        <v>201329</v>
      </c>
      <c r="AB190" s="33"/>
      <c r="AC190" s="46">
        <f t="shared" si="143"/>
        <v>2.9385256447587566E-2</v>
      </c>
      <c r="AD190" s="33"/>
      <c r="AE190" s="33">
        <f t="shared" si="144"/>
        <v>1112.3149171270718</v>
      </c>
      <c r="AF190" s="50"/>
      <c r="AG190" s="33">
        <f t="shared" si="145"/>
        <v>6110</v>
      </c>
      <c r="AH190" s="33">
        <f>SUM(D161:D283)</f>
        <v>459513889.35152841</v>
      </c>
      <c r="AI190" s="231">
        <f t="shared" si="146"/>
        <v>0.15851346226772847</v>
      </c>
      <c r="AJ190" s="50"/>
      <c r="AK190" s="10"/>
      <c r="AL190" s="23">
        <f t="shared" si="147"/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si="148"/>
        <v>1.2554306865685731E-2</v>
      </c>
      <c r="AS190" s="25"/>
      <c r="AT190" s="25"/>
      <c r="AU190" s="24"/>
      <c r="AV190" s="341">
        <f t="shared" si="149"/>
        <v>0.60121748073120074</v>
      </c>
      <c r="AW190" s="341"/>
      <c r="AX190" s="24">
        <f t="shared" si="150"/>
        <v>22757.779005524862</v>
      </c>
      <c r="AY190" s="351"/>
      <c r="AZ190" s="10"/>
      <c r="BA190" s="66">
        <f t="shared" si="151"/>
        <v>737109</v>
      </c>
      <c r="BB190" s="67"/>
      <c r="BC190" s="67">
        <v>94369067</v>
      </c>
      <c r="BD190" s="67"/>
      <c r="BE190" s="67">
        <f t="shared" si="152"/>
        <v>40154</v>
      </c>
      <c r="BF190" s="67"/>
      <c r="BG190" s="156">
        <f t="shared" si="153"/>
        <v>5.4474982668777615E-2</v>
      </c>
      <c r="BH190" s="67"/>
      <c r="BI190" s="183"/>
      <c r="BJ190" s="67"/>
      <c r="BK190" s="67">
        <f t="shared" si="154"/>
        <v>5085995</v>
      </c>
      <c r="BL190" s="67"/>
      <c r="BM190" s="156">
        <f t="shared" si="155"/>
        <v>0</v>
      </c>
      <c r="BN190" s="66">
        <f t="shared" si="156"/>
        <v>521376.06077348068</v>
      </c>
      <c r="BO190" s="67"/>
      <c r="BP190" s="67">
        <f t="shared" si="157"/>
        <v>6534053</v>
      </c>
      <c r="BQ190" s="67"/>
      <c r="BR190" s="478">
        <f t="shared" si="158"/>
        <v>6.9239351492157916E-2</v>
      </c>
      <c r="BS190" s="67"/>
      <c r="BT190" s="86"/>
      <c r="BU190" s="183"/>
      <c r="BV190" s="1"/>
      <c r="BW190" s="61">
        <f t="shared" ref="BW190:BW215" si="160">+BW189+1</f>
        <v>181</v>
      </c>
    </row>
    <row r="191" spans="2:75" x14ac:dyDescent="0.3">
      <c r="B191" s="171">
        <f t="shared" si="159"/>
        <v>44091</v>
      </c>
      <c r="C191" s="61"/>
      <c r="D191" s="17">
        <v>46295</v>
      </c>
      <c r="E191" s="16"/>
      <c r="F191" s="16"/>
      <c r="G191" s="16"/>
      <c r="H191" s="16">
        <f t="shared" si="138"/>
        <v>6897656</v>
      </c>
      <c r="I191" s="16"/>
      <c r="J191" s="479">
        <f t="shared" si="139"/>
        <v>6.7570516281363659E-3</v>
      </c>
      <c r="K191" s="16"/>
      <c r="L191" s="16"/>
      <c r="M191" s="16"/>
      <c r="N191" s="16">
        <f t="shared" si="140"/>
        <v>278707</v>
      </c>
      <c r="O191" s="16">
        <f t="shared" si="141"/>
        <v>37899.208791208788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si="142"/>
        <v>202208</v>
      </c>
      <c r="AB191" s="33"/>
      <c r="AC191" s="46">
        <f t="shared" si="143"/>
        <v>2.9315466007582867E-2</v>
      </c>
      <c r="AD191" s="33"/>
      <c r="AE191" s="33">
        <f t="shared" si="144"/>
        <v>1111.032967032967</v>
      </c>
      <c r="AF191" s="50"/>
      <c r="AG191" s="33">
        <f t="shared" si="145"/>
        <v>5900</v>
      </c>
      <c r="AH191" s="33">
        <f>SUM(D162:D284)</f>
        <v>459469890.35152841</v>
      </c>
      <c r="AI191" s="231">
        <f t="shared" si="146"/>
        <v>0.12402362354734235</v>
      </c>
      <c r="AJ191" s="50"/>
      <c r="AK191" s="10"/>
      <c r="AL191" s="23">
        <f t="shared" si="147"/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si="148"/>
        <v>8.7107607914044573E-3</v>
      </c>
      <c r="AS191" s="25"/>
      <c r="AT191" s="25"/>
      <c r="AU191" s="24"/>
      <c r="AV191" s="341">
        <f t="shared" si="149"/>
        <v>0.60238420124169723</v>
      </c>
      <c r="AW191" s="341"/>
      <c r="AX191" s="24">
        <f t="shared" si="150"/>
        <v>22829.884615384617</v>
      </c>
      <c r="AY191" s="351"/>
      <c r="AZ191" s="10"/>
      <c r="BA191" s="66">
        <f t="shared" si="151"/>
        <v>865955</v>
      </c>
      <c r="BB191" s="67"/>
      <c r="BC191" s="67">
        <v>95235022</v>
      </c>
      <c r="BD191" s="67"/>
      <c r="BE191" s="67">
        <f t="shared" si="152"/>
        <v>46295</v>
      </c>
      <c r="BF191" s="67"/>
      <c r="BG191" s="156">
        <f t="shared" si="153"/>
        <v>5.3461207568522615E-2</v>
      </c>
      <c r="BH191" s="67"/>
      <c r="BI191" s="183"/>
      <c r="BJ191" s="67"/>
      <c r="BK191" s="67">
        <f t="shared" si="154"/>
        <v>5250233</v>
      </c>
      <c r="BL191" s="67"/>
      <c r="BM191" s="156">
        <f t="shared" si="155"/>
        <v>0</v>
      </c>
      <c r="BN191" s="66">
        <f t="shared" si="156"/>
        <v>523269.35164835164</v>
      </c>
      <c r="BO191" s="67"/>
      <c r="BP191" s="67">
        <f t="shared" si="157"/>
        <v>6580348</v>
      </c>
      <c r="BQ191" s="67"/>
      <c r="BR191" s="478">
        <f t="shared" si="158"/>
        <v>6.9095883655069662E-2</v>
      </c>
      <c r="BS191" s="67"/>
      <c r="BT191" s="86"/>
      <c r="BU191" s="183"/>
      <c r="BV191" s="1"/>
      <c r="BW191" s="61">
        <f t="shared" si="160"/>
        <v>182</v>
      </c>
    </row>
    <row r="192" spans="2:75" x14ac:dyDescent="0.3">
      <c r="B192" s="171">
        <f t="shared" si="159"/>
        <v>44092</v>
      </c>
      <c r="C192" s="61"/>
      <c r="D192" s="17">
        <v>51345</v>
      </c>
      <c r="E192" s="16"/>
      <c r="F192" s="16"/>
      <c r="G192" s="16"/>
      <c r="H192" s="16">
        <f t="shared" si="138"/>
        <v>6949001</v>
      </c>
      <c r="I192" s="16"/>
      <c r="J192" s="479">
        <f t="shared" si="139"/>
        <v>7.4438330934450776E-3</v>
      </c>
      <c r="K192" s="16"/>
      <c r="L192" s="16"/>
      <c r="M192" s="16"/>
      <c r="N192" s="16">
        <f t="shared" si="140"/>
        <v>283452</v>
      </c>
      <c r="O192" s="16">
        <f t="shared" si="141"/>
        <v>37972.683060109288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si="142"/>
        <v>203166</v>
      </c>
      <c r="AB192" s="33"/>
      <c r="AC192" s="46">
        <f t="shared" si="143"/>
        <v>2.923672050126342E-2</v>
      </c>
      <c r="AD192" s="33"/>
      <c r="AE192" s="33">
        <f t="shared" si="144"/>
        <v>1110.1967213114754</v>
      </c>
      <c r="AF192" s="50"/>
      <c r="AG192" s="33">
        <f t="shared" si="145"/>
        <v>5764</v>
      </c>
      <c r="AH192" s="33">
        <f>SUM(D163:D285)</f>
        <v>459424917.35152841</v>
      </c>
      <c r="AI192" s="231">
        <f t="shared" si="146"/>
        <v>8.5499058380414314E-2</v>
      </c>
      <c r="AJ192" s="50"/>
      <c r="AK192" s="10"/>
      <c r="AL192" s="23">
        <f t="shared" si="147"/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si="148"/>
        <v>8.8699528452079509E-3</v>
      </c>
      <c r="AS192" s="25"/>
      <c r="AT192" s="25"/>
      <c r="AU192" s="24"/>
      <c r="AV192" s="341">
        <f t="shared" si="149"/>
        <v>0.60323692571061649</v>
      </c>
      <c r="AW192" s="341"/>
      <c r="AX192" s="24">
        <f t="shared" si="150"/>
        <v>22906.524590163935</v>
      </c>
      <c r="AY192" s="351"/>
      <c r="AZ192" s="10"/>
      <c r="BA192" s="66">
        <f t="shared" si="151"/>
        <v>988439</v>
      </c>
      <c r="BB192" s="67"/>
      <c r="BC192" s="67">
        <v>96223461</v>
      </c>
      <c r="BD192" s="67"/>
      <c r="BE192" s="67">
        <f t="shared" si="152"/>
        <v>51345</v>
      </c>
      <c r="BF192" s="67"/>
      <c r="BG192" s="156">
        <f t="shared" si="153"/>
        <v>5.1945542415869871E-2</v>
      </c>
      <c r="BH192" s="67"/>
      <c r="BI192" s="183"/>
      <c r="BJ192" s="67"/>
      <c r="BK192" s="67">
        <f t="shared" si="154"/>
        <v>5377755</v>
      </c>
      <c r="BL192" s="67"/>
      <c r="BM192" s="156">
        <f t="shared" si="155"/>
        <v>0</v>
      </c>
      <c r="BN192" s="66">
        <f t="shared" si="156"/>
        <v>525811.26229508198</v>
      </c>
      <c r="BO192" s="67"/>
      <c r="BP192" s="67">
        <f t="shared" si="157"/>
        <v>6631693</v>
      </c>
      <c r="BQ192" s="67"/>
      <c r="BR192" s="478">
        <f t="shared" si="158"/>
        <v>6.8919709716115912E-2</v>
      </c>
      <c r="BS192" s="67"/>
      <c r="BT192" s="86"/>
      <c r="BU192" s="183"/>
      <c r="BV192" s="1"/>
      <c r="BW192" s="61">
        <f t="shared" si="160"/>
        <v>183</v>
      </c>
    </row>
    <row r="193" spans="2:75" x14ac:dyDescent="0.3">
      <c r="B193" s="171">
        <f t="shared" si="159"/>
        <v>44093</v>
      </c>
      <c r="C193" s="61"/>
      <c r="D193" s="17">
        <v>43613</v>
      </c>
      <c r="E193" s="16"/>
      <c r="F193" s="16"/>
      <c r="G193" s="16"/>
      <c r="H193" s="16">
        <f t="shared" si="138"/>
        <v>6992614</v>
      </c>
      <c r="I193" s="16"/>
      <c r="J193" s="479">
        <f t="shared" si="139"/>
        <v>6.2761539392496846E-3</v>
      </c>
      <c r="K193" s="16"/>
      <c r="L193" s="16"/>
      <c r="M193" s="16"/>
      <c r="N193" s="16">
        <f t="shared" si="140"/>
        <v>287783</v>
      </c>
      <c r="O193" s="16">
        <f t="shared" si="141"/>
        <v>38003.336956521736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si="142"/>
        <v>203824</v>
      </c>
      <c r="AB193" s="33"/>
      <c r="AC193" s="46">
        <f t="shared" si="143"/>
        <v>2.9148470085721877E-2</v>
      </c>
      <c r="AD193" s="33"/>
      <c r="AE193" s="33">
        <f t="shared" si="144"/>
        <v>1107.7391304347825</v>
      </c>
      <c r="AF193" s="50"/>
      <c r="AG193" s="33">
        <f t="shared" si="145"/>
        <v>5715</v>
      </c>
      <c r="AH193" s="33">
        <f>SUM(D164:D286)</f>
        <v>459379560.35152841</v>
      </c>
      <c r="AI193" s="231">
        <f t="shared" si="146"/>
        <v>7.6271186440677971E-2</v>
      </c>
      <c r="AJ193" s="50"/>
      <c r="AK193" s="10"/>
      <c r="AL193" s="23">
        <f t="shared" si="147"/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si="148"/>
        <v>7.5858311302719013E-3</v>
      </c>
      <c r="AS193" s="25"/>
      <c r="AT193" s="25"/>
      <c r="AU193" s="24"/>
      <c r="AV193" s="341">
        <f t="shared" si="149"/>
        <v>0.60402204383081926</v>
      </c>
      <c r="AW193" s="341"/>
      <c r="AX193" s="24">
        <f t="shared" si="150"/>
        <v>22954.853260869564</v>
      </c>
      <c r="AY193" s="351"/>
      <c r="AZ193" s="10"/>
      <c r="BA193" s="66">
        <f t="shared" si="151"/>
        <v>1086851</v>
      </c>
      <c r="BB193" s="67"/>
      <c r="BC193" s="67">
        <v>97310312</v>
      </c>
      <c r="BD193" s="67"/>
      <c r="BE193" s="67">
        <f t="shared" si="152"/>
        <v>43613</v>
      </c>
      <c r="BF193" s="67"/>
      <c r="BG193" s="156">
        <f t="shared" si="153"/>
        <v>4.0127855612222832E-2</v>
      </c>
      <c r="BH193" s="67"/>
      <c r="BI193" s="183"/>
      <c r="BJ193" s="67"/>
      <c r="BK193" s="67">
        <f t="shared" si="154"/>
        <v>5606809</v>
      </c>
      <c r="BL193" s="67"/>
      <c r="BM193" s="156">
        <f t="shared" si="155"/>
        <v>0</v>
      </c>
      <c r="BN193" s="66">
        <f t="shared" si="156"/>
        <v>528860.39130434778</v>
      </c>
      <c r="BO193" s="67"/>
      <c r="BP193" s="67">
        <f t="shared" si="157"/>
        <v>6675306</v>
      </c>
      <c r="BQ193" s="67"/>
      <c r="BR193" s="478">
        <f t="shared" si="158"/>
        <v>6.8598135827578066E-2</v>
      </c>
      <c r="BS193" s="67"/>
      <c r="BT193" s="86"/>
      <c r="BU193" s="183"/>
      <c r="BV193" s="1"/>
      <c r="BW193" s="61">
        <f t="shared" si="160"/>
        <v>184</v>
      </c>
    </row>
    <row r="194" spans="2:75" x14ac:dyDescent="0.3">
      <c r="B194" s="390">
        <f t="shared" si="159"/>
        <v>44094</v>
      </c>
      <c r="C194" s="61"/>
      <c r="D194" s="17">
        <v>33386</v>
      </c>
      <c r="E194" s="16"/>
      <c r="F194" s="16"/>
      <c r="G194" s="16"/>
      <c r="H194" s="16">
        <f t="shared" si="138"/>
        <v>7026000</v>
      </c>
      <c r="I194" s="16"/>
      <c r="J194" s="479">
        <f t="shared" si="139"/>
        <v>4.7744663154579963E-3</v>
      </c>
      <c r="K194" s="16"/>
      <c r="L194" s="16"/>
      <c r="M194" s="16"/>
      <c r="N194" s="16">
        <f t="shared" si="140"/>
        <v>289312</v>
      </c>
      <c r="O194" s="16">
        <f t="shared" si="141"/>
        <v>37978.37837837838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si="142"/>
        <v>204118</v>
      </c>
      <c r="AB194" s="33"/>
      <c r="AC194" s="46">
        <f t="shared" si="143"/>
        <v>2.9051807571875889E-2</v>
      </c>
      <c r="AD194" s="33"/>
      <c r="AE194" s="33">
        <f t="shared" si="144"/>
        <v>1103.3405405405406</v>
      </c>
      <c r="AF194" s="50"/>
      <c r="AG194" s="33">
        <f t="shared" si="145"/>
        <v>5617</v>
      </c>
      <c r="AH194" s="33">
        <f>SUM(D165:D287)</f>
        <v>459329079.35152841</v>
      </c>
      <c r="AI194" s="231">
        <f t="shared" si="146"/>
        <v>6.5440060698027311E-2</v>
      </c>
      <c r="AJ194" s="50"/>
      <c r="AK194" s="10"/>
      <c r="AL194" s="23">
        <f t="shared" si="147"/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si="148"/>
        <v>6.2615819852437195E-3</v>
      </c>
      <c r="AS194" s="25"/>
      <c r="AT194" s="25"/>
      <c r="AU194" s="24"/>
      <c r="AV194" s="341">
        <f t="shared" si="149"/>
        <v>0.60491602618844298</v>
      </c>
      <c r="AW194" s="341"/>
      <c r="AX194" s="24">
        <f t="shared" si="150"/>
        <v>22973.72972972973</v>
      </c>
      <c r="AY194" s="351"/>
      <c r="AZ194" s="391"/>
      <c r="BA194" s="66">
        <f t="shared" si="151"/>
        <v>856297</v>
      </c>
      <c r="BB194" s="67"/>
      <c r="BC194" s="67">
        <v>98166609</v>
      </c>
      <c r="BD194" s="67"/>
      <c r="BE194" s="67">
        <f t="shared" si="152"/>
        <v>33386</v>
      </c>
      <c r="BF194" s="67"/>
      <c r="BG194" s="156">
        <f t="shared" si="153"/>
        <v>3.8988808789473743E-2</v>
      </c>
      <c r="BH194" s="67"/>
      <c r="BI194" s="183"/>
      <c r="BJ194" s="67"/>
      <c r="BK194" s="67">
        <f t="shared" si="154"/>
        <v>5763109</v>
      </c>
      <c r="BL194" s="67"/>
      <c r="BM194" s="156">
        <f t="shared" si="155"/>
        <v>0</v>
      </c>
      <c r="BN194" s="66">
        <f t="shared" si="156"/>
        <v>530630.31891891896</v>
      </c>
      <c r="BO194" s="67"/>
      <c r="BP194" s="67">
        <f t="shared" si="157"/>
        <v>6708692</v>
      </c>
      <c r="BQ194" s="67"/>
      <c r="BR194" s="478">
        <f t="shared" si="158"/>
        <v>6.8339856783684969E-2</v>
      </c>
      <c r="BS194" s="67"/>
      <c r="BT194" s="86"/>
      <c r="BU194" s="183"/>
      <c r="BV194" s="1"/>
      <c r="BW194" s="61">
        <f t="shared" si="160"/>
        <v>185</v>
      </c>
    </row>
    <row r="195" spans="2:75" x14ac:dyDescent="0.3">
      <c r="B195" s="171">
        <f t="shared" si="159"/>
        <v>44095</v>
      </c>
      <c r="C195" s="61"/>
      <c r="D195" s="17">
        <v>36804</v>
      </c>
      <c r="E195" s="16"/>
      <c r="F195" s="16"/>
      <c r="G195" s="16"/>
      <c r="H195" s="16">
        <f t="shared" si="138"/>
        <v>7062804</v>
      </c>
      <c r="I195" s="16"/>
      <c r="J195" s="479">
        <f t="shared" si="139"/>
        <v>5.2382578992314259E-3</v>
      </c>
      <c r="K195" s="16"/>
      <c r="L195" s="16"/>
      <c r="M195" s="16"/>
      <c r="N195" s="16">
        <f t="shared" si="140"/>
        <v>288044</v>
      </c>
      <c r="O195" s="16">
        <f t="shared" si="141"/>
        <v>37972.06451612903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si="142"/>
        <v>204502</v>
      </c>
      <c r="AB195" s="33"/>
      <c r="AC195" s="46">
        <f t="shared" si="143"/>
        <v>2.8954789061115104E-2</v>
      </c>
      <c r="AD195" s="33"/>
      <c r="AE195" s="33">
        <f t="shared" si="144"/>
        <v>1099.4731182795699</v>
      </c>
      <c r="AF195" s="50"/>
      <c r="AG195" s="33">
        <f t="shared" si="145"/>
        <v>5521</v>
      </c>
      <c r="AH195" s="33">
        <f>SUM(D166:D288)</f>
        <v>459285250.35152841</v>
      </c>
      <c r="AI195" s="231">
        <f t="shared" si="146"/>
        <v>1.0062202707647273E-2</v>
      </c>
      <c r="AJ195" s="50"/>
      <c r="AK195" s="10"/>
      <c r="AL195" s="23">
        <f t="shared" si="147"/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si="148"/>
        <v>1.1619617236138104E-2</v>
      </c>
      <c r="AS195" s="25"/>
      <c r="AT195" s="25"/>
      <c r="AU195" s="24"/>
      <c r="AV195" s="341">
        <f t="shared" si="149"/>
        <v>0.60875609743665549</v>
      </c>
      <c r="AW195" s="341"/>
      <c r="AX195" s="24">
        <f t="shared" si="150"/>
        <v>23115.725806451614</v>
      </c>
      <c r="AY195" s="351"/>
      <c r="AZ195" s="10"/>
      <c r="BA195" s="66">
        <f t="shared" si="151"/>
        <v>743166</v>
      </c>
      <c r="BB195" s="67"/>
      <c r="BC195" s="67">
        <v>98909775</v>
      </c>
      <c r="BD195" s="67"/>
      <c r="BE195" s="67">
        <f t="shared" si="152"/>
        <v>36804</v>
      </c>
      <c r="BF195" s="67"/>
      <c r="BG195" s="156">
        <f t="shared" si="153"/>
        <v>4.9523255907832166E-2</v>
      </c>
      <c r="BH195" s="67"/>
      <c r="BI195" s="183"/>
      <c r="BJ195" s="67"/>
      <c r="BK195" s="67">
        <f t="shared" si="154"/>
        <v>6019453</v>
      </c>
      <c r="BL195" s="67"/>
      <c r="BM195" s="156">
        <f t="shared" si="155"/>
        <v>0</v>
      </c>
      <c r="BN195" s="66">
        <f t="shared" si="156"/>
        <v>531772.98387096776</v>
      </c>
      <c r="BO195" s="67"/>
      <c r="BP195" s="67">
        <f t="shared" si="157"/>
        <v>6745496</v>
      </c>
      <c r="BQ195" s="67"/>
      <c r="BR195" s="478">
        <f t="shared" si="158"/>
        <v>6.8198476844174405E-2</v>
      </c>
      <c r="BS195" s="67"/>
      <c r="BT195" s="86"/>
      <c r="BU195" s="183"/>
      <c r="BV195" s="1"/>
      <c r="BW195" s="61">
        <f t="shared" si="160"/>
        <v>186</v>
      </c>
    </row>
    <row r="196" spans="2:75" x14ac:dyDescent="0.3">
      <c r="B196" s="171">
        <f t="shared" si="159"/>
        <v>44096</v>
      </c>
      <c r="C196" s="61"/>
      <c r="D196" s="17">
        <v>35696</v>
      </c>
      <c r="E196" s="16"/>
      <c r="F196" s="16"/>
      <c r="G196" s="16"/>
      <c r="H196" s="16">
        <f t="shared" si="138"/>
        <v>7098500</v>
      </c>
      <c r="I196" s="16"/>
      <c r="J196" s="479">
        <f t="shared" si="139"/>
        <v>5.0540833357403097E-3</v>
      </c>
      <c r="K196" s="16"/>
      <c r="L196" s="16"/>
      <c r="M196" s="16"/>
      <c r="N196" s="16">
        <f t="shared" si="140"/>
        <v>287293</v>
      </c>
      <c r="O196" s="16">
        <f t="shared" si="141"/>
        <v>37959.893048128339</v>
      </c>
      <c r="P196" s="41"/>
      <c r="Q196" s="453"/>
      <c r="R196" s="16"/>
      <c r="S196" s="60"/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si="142"/>
        <v>205481</v>
      </c>
      <c r="AB196" s="33"/>
      <c r="AC196" s="46">
        <f t="shared" si="143"/>
        <v>2.8947101500316968E-2</v>
      </c>
      <c r="AD196" s="33"/>
      <c r="AE196" s="33">
        <f t="shared" si="144"/>
        <v>1098.8288770053475</v>
      </c>
      <c r="AF196" s="50"/>
      <c r="AG196" s="33">
        <f t="shared" ref="AG196:AG204" si="161">SUM(W190:W196)</f>
        <v>5303</v>
      </c>
      <c r="AH196" s="33">
        <f>SUM(D167:D289)</f>
        <v>459252532.35152841</v>
      </c>
      <c r="AI196" s="231">
        <f t="shared" si="146"/>
        <v>-0.14010053510621048</v>
      </c>
      <c r="AJ196" s="50"/>
      <c r="AK196" s="10"/>
      <c r="AL196" s="23">
        <f t="shared" si="147"/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si="148"/>
        <v>1.0834917810688389E-2</v>
      </c>
      <c r="AS196" s="25"/>
      <c r="AT196" s="25"/>
      <c r="AU196" s="24"/>
      <c r="AV196" s="341">
        <f t="shared" si="149"/>
        <v>0.61225751919419591</v>
      </c>
      <c r="AW196" s="341"/>
      <c r="AX196" s="24">
        <f t="shared" si="150"/>
        <v>23241.229946524065</v>
      </c>
      <c r="AY196" s="351"/>
      <c r="AZ196" s="10"/>
      <c r="BA196" s="66">
        <f t="shared" si="151"/>
        <v>772198</v>
      </c>
      <c r="BB196" s="67"/>
      <c r="BC196" s="67">
        <v>99681973</v>
      </c>
      <c r="BD196" s="67"/>
      <c r="BE196" s="67">
        <f t="shared" si="152"/>
        <v>35696</v>
      </c>
      <c r="BF196" s="67"/>
      <c r="BG196" s="156">
        <f t="shared" si="153"/>
        <v>4.6226485953084574E-2</v>
      </c>
      <c r="BH196" s="67"/>
      <c r="BI196" s="183"/>
      <c r="BJ196" s="67"/>
      <c r="BK196" s="67">
        <f t="shared" si="154"/>
        <v>6050015</v>
      </c>
      <c r="BL196" s="67"/>
      <c r="BM196" s="156">
        <f t="shared" si="155"/>
        <v>0</v>
      </c>
      <c r="BN196" s="66">
        <f t="shared" si="156"/>
        <v>533058.67914438504</v>
      </c>
      <c r="BO196" s="67"/>
      <c r="BP196" s="67">
        <f t="shared" si="157"/>
        <v>6781192</v>
      </c>
      <c r="BQ196" s="67"/>
      <c r="BR196" s="478">
        <f t="shared" si="158"/>
        <v>6.8028268260701463E-2</v>
      </c>
      <c r="BS196" s="67"/>
      <c r="BT196" s="86"/>
      <c r="BU196" s="183"/>
      <c r="BV196" s="1"/>
      <c r="BW196" s="61">
        <f t="shared" si="160"/>
        <v>187</v>
      </c>
    </row>
    <row r="197" spans="2:75" x14ac:dyDescent="0.3">
      <c r="B197" s="171">
        <f t="shared" si="159"/>
        <v>44097</v>
      </c>
      <c r="C197" s="61"/>
      <c r="D197" s="17">
        <v>41616</v>
      </c>
      <c r="E197" s="16"/>
      <c r="F197" s="16"/>
      <c r="G197" s="16"/>
      <c r="H197" s="16">
        <f t="shared" si="138"/>
        <v>7140116</v>
      </c>
      <c r="I197" s="16"/>
      <c r="J197" s="479">
        <f t="shared" si="139"/>
        <v>5.8626470381066423E-3</v>
      </c>
      <c r="K197" s="16"/>
      <c r="L197" s="16"/>
      <c r="M197" s="16"/>
      <c r="N197" s="16">
        <f t="shared" si="140"/>
        <v>288755</v>
      </c>
      <c r="O197" s="16">
        <f t="shared" si="141"/>
        <v>37979.340425531918</v>
      </c>
      <c r="P197" s="41"/>
      <c r="Q197" s="453"/>
      <c r="R197" s="16"/>
      <c r="S197" s="60"/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si="142"/>
        <v>206596</v>
      </c>
      <c r="AB197" s="33"/>
      <c r="AC197" s="46">
        <f t="shared" si="143"/>
        <v>2.893454392057496E-2</v>
      </c>
      <c r="AD197" s="33"/>
      <c r="AE197" s="33">
        <f t="shared" si="144"/>
        <v>1098.9148936170213</v>
      </c>
      <c r="AF197" s="50"/>
      <c r="AG197" s="33">
        <f t="shared" si="161"/>
        <v>5267</v>
      </c>
      <c r="AH197" s="33">
        <f>SUM(D168:D290)</f>
        <v>459211048.35152841</v>
      </c>
      <c r="AI197" s="231">
        <f t="shared" si="146"/>
        <v>-0.13797054009819967</v>
      </c>
      <c r="AJ197" s="50"/>
      <c r="AK197" s="10"/>
      <c r="AL197" s="23">
        <f t="shared" si="147"/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si="148"/>
        <v>1.2148104856987052E-2</v>
      </c>
      <c r="AS197" s="25"/>
      <c r="AT197" s="25"/>
      <c r="AU197" s="24"/>
      <c r="AV197" s="341">
        <f t="shared" si="149"/>
        <v>0.61608340816871887</v>
      </c>
      <c r="AW197" s="341"/>
      <c r="AX197" s="24">
        <f t="shared" si="150"/>
        <v>23398.441489361703</v>
      </c>
      <c r="AY197" s="351"/>
      <c r="AZ197" s="10"/>
      <c r="BA197" s="66">
        <f t="shared" si="151"/>
        <v>900117</v>
      </c>
      <c r="BB197" s="67"/>
      <c r="BC197" s="67">
        <v>100582090</v>
      </c>
      <c r="BD197" s="67"/>
      <c r="BE197" s="67">
        <f t="shared" si="152"/>
        <v>41616</v>
      </c>
      <c r="BF197" s="67"/>
      <c r="BG197" s="156">
        <f t="shared" si="153"/>
        <v>4.6233989581354426E-2</v>
      </c>
      <c r="BH197" s="67"/>
      <c r="BI197" s="183"/>
      <c r="BJ197" s="67"/>
      <c r="BK197" s="67">
        <f t="shared" si="154"/>
        <v>6213023</v>
      </c>
      <c r="BL197" s="67"/>
      <c r="BM197" s="156">
        <f t="shared" si="155"/>
        <v>0</v>
      </c>
      <c r="BN197" s="66">
        <f t="shared" si="156"/>
        <v>535011.11702127662</v>
      </c>
      <c r="BO197" s="67"/>
      <c r="BP197" s="67">
        <f t="shared" si="157"/>
        <v>6822808</v>
      </c>
      <c r="BQ197" s="67"/>
      <c r="BR197" s="478">
        <f t="shared" si="158"/>
        <v>6.7833229554088603E-2</v>
      </c>
      <c r="BS197" s="67"/>
      <c r="BT197" s="86"/>
      <c r="BU197" s="183"/>
      <c r="BV197" s="1"/>
      <c r="BW197" s="61">
        <f t="shared" si="160"/>
        <v>188</v>
      </c>
    </row>
    <row r="198" spans="2:75" x14ac:dyDescent="0.3">
      <c r="B198" s="171">
        <f t="shared" si="159"/>
        <v>44098</v>
      </c>
      <c r="C198" s="61"/>
      <c r="D198" s="17">
        <v>45355</v>
      </c>
      <c r="E198" s="16"/>
      <c r="F198" s="16"/>
      <c r="G198" s="16"/>
      <c r="H198" s="16">
        <f t="shared" si="138"/>
        <v>7185471</v>
      </c>
      <c r="I198" s="16"/>
      <c r="J198" s="479">
        <f t="shared" si="139"/>
        <v>6.3521376963623557E-3</v>
      </c>
      <c r="K198" s="16"/>
      <c r="L198" s="16"/>
      <c r="M198" s="16"/>
      <c r="N198" s="16">
        <f t="shared" si="140"/>
        <v>287815</v>
      </c>
      <c r="O198" s="16">
        <f t="shared" si="141"/>
        <v>38018.365079365081</v>
      </c>
      <c r="P198" s="41"/>
      <c r="Q198" s="453"/>
      <c r="R198" s="16"/>
      <c r="S198" s="60"/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si="142"/>
        <v>207538</v>
      </c>
      <c r="AB198" s="33"/>
      <c r="AC198" s="46">
        <f t="shared" si="143"/>
        <v>2.8883005720849755E-2</v>
      </c>
      <c r="AD198" s="33"/>
      <c r="AE198" s="33">
        <f t="shared" si="144"/>
        <v>1098.084656084656</v>
      </c>
      <c r="AF198" s="50"/>
      <c r="AG198" s="33">
        <f t="shared" si="161"/>
        <v>5330</v>
      </c>
      <c r="AH198" s="33">
        <f>SUM(D169:D291)</f>
        <v>459170950.35152841</v>
      </c>
      <c r="AI198" s="231">
        <f t="shared" si="146"/>
        <v>-9.6610169491525427E-2</v>
      </c>
      <c r="AJ198" s="50"/>
      <c r="AK198" s="10"/>
      <c r="AL198" s="23">
        <f t="shared" si="147"/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si="148"/>
        <v>8.7846821949179657E-3</v>
      </c>
      <c r="AS198" s="25"/>
      <c r="AT198" s="25"/>
      <c r="AU198" s="24"/>
      <c r="AV198" s="341">
        <f t="shared" si="149"/>
        <v>0.61757259892914462</v>
      </c>
      <c r="AW198" s="341"/>
      <c r="AX198" s="24">
        <f t="shared" si="150"/>
        <v>23479.100529100528</v>
      </c>
      <c r="AY198" s="351"/>
      <c r="AZ198" s="10"/>
      <c r="BA198" s="66">
        <f t="shared" si="151"/>
        <v>990101</v>
      </c>
      <c r="BB198" s="67"/>
      <c r="BC198" s="67">
        <v>101572191</v>
      </c>
      <c r="BD198" s="67"/>
      <c r="BE198" s="67">
        <f t="shared" si="152"/>
        <v>45355</v>
      </c>
      <c r="BF198" s="67"/>
      <c r="BG198" s="156">
        <f t="shared" si="153"/>
        <v>4.5808457924999574E-2</v>
      </c>
      <c r="BH198" s="67"/>
      <c r="BI198" s="183"/>
      <c r="BJ198" s="67"/>
      <c r="BK198" s="67">
        <f t="shared" si="154"/>
        <v>6337169</v>
      </c>
      <c r="BL198" s="67"/>
      <c r="BM198" s="156">
        <f t="shared" si="155"/>
        <v>0</v>
      </c>
      <c r="BN198" s="66">
        <f t="shared" si="156"/>
        <v>537419</v>
      </c>
      <c r="BO198" s="67"/>
      <c r="BP198" s="67">
        <f t="shared" si="157"/>
        <v>6868163</v>
      </c>
      <c r="BQ198" s="67"/>
      <c r="BR198" s="478">
        <f t="shared" si="158"/>
        <v>6.7618537440036125E-2</v>
      </c>
      <c r="BS198" s="67"/>
      <c r="BT198" s="86"/>
      <c r="BU198" s="183"/>
      <c r="BV198" s="1"/>
      <c r="BW198" s="61">
        <f t="shared" si="160"/>
        <v>189</v>
      </c>
    </row>
    <row r="199" spans="2:75" x14ac:dyDescent="0.3">
      <c r="B199" s="171">
        <f t="shared" si="159"/>
        <v>44099</v>
      </c>
      <c r="C199" s="61"/>
      <c r="D199" s="17">
        <v>53629</v>
      </c>
      <c r="E199" s="16"/>
      <c r="F199" s="16"/>
      <c r="G199" s="16"/>
      <c r="H199" s="16">
        <f t="shared" si="138"/>
        <v>7239100</v>
      </c>
      <c r="I199" s="16"/>
      <c r="J199" s="479">
        <f t="shared" si="139"/>
        <v>7.4635330098750657E-3</v>
      </c>
      <c r="K199" s="16"/>
      <c r="L199" s="16"/>
      <c r="M199" s="16"/>
      <c r="N199" s="16">
        <f t="shared" si="140"/>
        <v>290099</v>
      </c>
      <c r="O199" s="16">
        <f t="shared" si="141"/>
        <v>38100.526315789473</v>
      </c>
      <c r="P199" s="41"/>
      <c r="Q199" s="453"/>
      <c r="R199" s="16"/>
      <c r="S199" s="60"/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si="142"/>
        <v>208433</v>
      </c>
      <c r="AB199" s="33"/>
      <c r="AC199" s="46">
        <f t="shared" si="143"/>
        <v>2.8792667596800707E-2</v>
      </c>
      <c r="AD199" s="33"/>
      <c r="AE199" s="33">
        <f t="shared" si="144"/>
        <v>1097.0157894736842</v>
      </c>
      <c r="AF199" s="50"/>
      <c r="AG199" s="33">
        <f t="shared" si="161"/>
        <v>5267</v>
      </c>
      <c r="AH199" s="33">
        <f>SUM(D170:D292)</f>
        <v>459126313.35152841</v>
      </c>
      <c r="AI199" s="231">
        <f t="shared" si="146"/>
        <v>-8.6224843858431641E-2</v>
      </c>
      <c r="AJ199" s="50"/>
      <c r="AK199" s="10"/>
      <c r="AL199" s="23">
        <f t="shared" si="147"/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si="148"/>
        <v>9.7281157395409622E-3</v>
      </c>
      <c r="AS199" s="25"/>
      <c r="AT199" s="25"/>
      <c r="AU199" s="24"/>
      <c r="AV199" s="341">
        <f t="shared" si="149"/>
        <v>0.6189607824177038</v>
      </c>
      <c r="AW199" s="341"/>
      <c r="AX199" s="24">
        <f t="shared" si="150"/>
        <v>23582.731578947369</v>
      </c>
      <c r="AY199" s="351"/>
      <c r="AZ199" s="10"/>
      <c r="BA199" s="66">
        <f t="shared" si="151"/>
        <v>975164</v>
      </c>
      <c r="BB199" s="67"/>
      <c r="BC199" s="67">
        <v>102547355</v>
      </c>
      <c r="BD199" s="67"/>
      <c r="BE199" s="67">
        <f t="shared" si="152"/>
        <v>53629</v>
      </c>
      <c r="BF199" s="67"/>
      <c r="BG199" s="156">
        <f t="shared" si="153"/>
        <v>5.4994852147946395E-2</v>
      </c>
      <c r="BH199" s="67"/>
      <c r="BI199" s="183"/>
      <c r="BJ199" s="67"/>
      <c r="BK199" s="67">
        <f t="shared" si="154"/>
        <v>6323894</v>
      </c>
      <c r="BL199" s="67"/>
      <c r="BM199" s="156">
        <f t="shared" si="155"/>
        <v>0</v>
      </c>
      <c r="BN199" s="66">
        <f t="shared" si="156"/>
        <v>539722.92105263157</v>
      </c>
      <c r="BO199" s="67"/>
      <c r="BP199" s="67">
        <f t="shared" si="157"/>
        <v>6921792</v>
      </c>
      <c r="BQ199" s="67"/>
      <c r="BR199" s="478">
        <f t="shared" si="158"/>
        <v>6.7498493744670457E-2</v>
      </c>
      <c r="BS199" s="67"/>
      <c r="BT199" s="86"/>
      <c r="BU199" s="183"/>
      <c r="BV199" s="1"/>
      <c r="BW199" s="61">
        <f t="shared" si="160"/>
        <v>190</v>
      </c>
    </row>
    <row r="200" spans="2:75" x14ac:dyDescent="0.3">
      <c r="B200" s="171">
        <f t="shared" si="159"/>
        <v>44100</v>
      </c>
      <c r="C200" s="61"/>
      <c r="D200" s="17">
        <v>43206</v>
      </c>
      <c r="E200" s="16"/>
      <c r="F200" s="16"/>
      <c r="G200" s="16"/>
      <c r="H200" s="16">
        <f t="shared" si="138"/>
        <v>7282306</v>
      </c>
      <c r="I200" s="16"/>
      <c r="J200" s="479">
        <f t="shared" si="139"/>
        <v>5.9684214888591127E-3</v>
      </c>
      <c r="K200" s="16"/>
      <c r="L200" s="16"/>
      <c r="M200" s="16"/>
      <c r="N200" s="16">
        <f t="shared" si="140"/>
        <v>289692</v>
      </c>
      <c r="O200" s="16">
        <f t="shared" si="141"/>
        <v>38127.256544502619</v>
      </c>
      <c r="P200" s="41"/>
      <c r="Q200" s="453"/>
      <c r="R200" s="16"/>
      <c r="S200" s="60"/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si="142"/>
        <v>209170</v>
      </c>
      <c r="AB200" s="33"/>
      <c r="AC200" s="46">
        <f t="shared" si="143"/>
        <v>2.8723044596038673E-2</v>
      </c>
      <c r="AD200" s="33"/>
      <c r="AE200" s="33">
        <f t="shared" si="144"/>
        <v>1095.1308900523561</v>
      </c>
      <c r="AF200" s="50"/>
      <c r="AG200" s="33">
        <f t="shared" si="161"/>
        <v>5346</v>
      </c>
      <c r="AH200" s="33">
        <f>SUM(D171:D293)</f>
        <v>459080307.35152841</v>
      </c>
      <c r="AI200" s="231">
        <f t="shared" si="146"/>
        <v>-6.4566929133858267E-2</v>
      </c>
      <c r="AJ200" s="50"/>
      <c r="AK200" s="10"/>
      <c r="AL200" s="23">
        <f t="shared" si="147"/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si="148"/>
        <v>9.6834905290869612E-3</v>
      </c>
      <c r="AS200" s="25"/>
      <c r="AT200" s="25"/>
      <c r="AU200" s="24"/>
      <c r="AV200" s="341">
        <f t="shared" si="149"/>
        <v>0.62124662160584843</v>
      </c>
      <c r="AW200" s="341"/>
      <c r="AX200" s="24">
        <f t="shared" si="150"/>
        <v>23686.429319371728</v>
      </c>
      <c r="AY200" s="351"/>
      <c r="AZ200" s="10"/>
      <c r="BA200" s="66">
        <f t="shared" si="151"/>
        <v>1028168</v>
      </c>
      <c r="BB200" s="67"/>
      <c r="BC200" s="67">
        <v>103575523</v>
      </c>
      <c r="BD200" s="67"/>
      <c r="BE200" s="67">
        <f t="shared" si="152"/>
        <v>43206</v>
      </c>
      <c r="BF200" s="67"/>
      <c r="BG200" s="156">
        <f t="shared" si="153"/>
        <v>4.2022315419270005E-2</v>
      </c>
      <c r="BH200" s="67"/>
      <c r="BI200" s="183"/>
      <c r="BJ200" s="67"/>
      <c r="BK200" s="67">
        <f t="shared" si="154"/>
        <v>6265211</v>
      </c>
      <c r="BL200" s="67"/>
      <c r="BM200" s="156">
        <f t="shared" si="155"/>
        <v>0</v>
      </c>
      <c r="BN200" s="66">
        <f t="shared" si="156"/>
        <v>542280.22513089003</v>
      </c>
      <c r="BO200" s="67"/>
      <c r="BP200" s="67">
        <f t="shared" si="157"/>
        <v>6964998</v>
      </c>
      <c r="BQ200" s="67"/>
      <c r="BR200" s="478">
        <f t="shared" si="158"/>
        <v>6.7245598170911483E-2</v>
      </c>
      <c r="BS200" s="67"/>
      <c r="BT200" s="86"/>
      <c r="BU200" s="183"/>
      <c r="BV200" s="1"/>
      <c r="BW200" s="61">
        <f t="shared" si="160"/>
        <v>191</v>
      </c>
    </row>
    <row r="201" spans="2:75" x14ac:dyDescent="0.3">
      <c r="B201" s="390">
        <f t="shared" si="159"/>
        <v>44101</v>
      </c>
      <c r="C201" s="61"/>
      <c r="D201" s="17">
        <v>33782</v>
      </c>
      <c r="E201" s="16"/>
      <c r="F201" s="16"/>
      <c r="G201" s="16"/>
      <c r="H201" s="16">
        <f t="shared" si="138"/>
        <v>7316088</v>
      </c>
      <c r="I201" s="16"/>
      <c r="J201" s="479">
        <f t="shared" si="139"/>
        <v>4.6389152007619561E-3</v>
      </c>
      <c r="K201" s="16"/>
      <c r="L201" s="16"/>
      <c r="M201" s="16"/>
      <c r="N201" s="16">
        <f t="shared" si="140"/>
        <v>290088</v>
      </c>
      <c r="O201" s="16">
        <f t="shared" si="141"/>
        <v>38104.625</v>
      </c>
      <c r="P201" s="41"/>
      <c r="Q201" s="453"/>
      <c r="R201" s="16"/>
      <c r="S201" s="60"/>
      <c r="T201" s="16"/>
      <c r="U201" s="41"/>
      <c r="V201" s="391">
        <f t="shared" si="109"/>
        <v>93</v>
      </c>
      <c r="W201" s="34">
        <v>276</v>
      </c>
      <c r="X201" s="33"/>
      <c r="Y201" s="33"/>
      <c r="Z201" s="33"/>
      <c r="AA201" s="33">
        <f t="shared" si="142"/>
        <v>209446</v>
      </c>
      <c r="AB201" s="33"/>
      <c r="AC201" s="46">
        <f t="shared" si="143"/>
        <v>2.8628141159592394E-2</v>
      </c>
      <c r="AD201" s="33"/>
      <c r="AE201" s="33">
        <f t="shared" si="144"/>
        <v>1090.8645833333333</v>
      </c>
      <c r="AF201" s="50"/>
      <c r="AG201" s="33">
        <f t="shared" si="161"/>
        <v>5328</v>
      </c>
      <c r="AH201" s="33">
        <f>SUM(D172:D294)</f>
        <v>459030706.35152841</v>
      </c>
      <c r="AI201" s="231">
        <f t="shared" si="146"/>
        <v>-5.145095246572904E-2</v>
      </c>
      <c r="AJ201" s="50"/>
      <c r="AK201" s="10"/>
      <c r="AL201" s="23">
        <f t="shared" si="147"/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si="148"/>
        <v>8.0342909585712809E-3</v>
      </c>
      <c r="AS201" s="25"/>
      <c r="AT201" s="25"/>
      <c r="AU201" s="24"/>
      <c r="AV201" s="341">
        <f t="shared" si="149"/>
        <v>0.62334624733874167</v>
      </c>
      <c r="AW201" s="341"/>
      <c r="AX201" s="24">
        <f t="shared" si="150"/>
        <v>23752.375</v>
      </c>
      <c r="AY201" s="351"/>
      <c r="AZ201" s="391"/>
      <c r="BA201" s="66">
        <f t="shared" si="151"/>
        <v>759639</v>
      </c>
      <c r="BB201" s="67"/>
      <c r="BC201" s="67">
        <v>104335162</v>
      </c>
      <c r="BD201" s="67"/>
      <c r="BE201" s="67">
        <f t="shared" si="152"/>
        <v>33782</v>
      </c>
      <c r="BF201" s="67"/>
      <c r="BG201" s="156">
        <f t="shared" si="153"/>
        <v>4.4471123783797306E-2</v>
      </c>
      <c r="BH201" s="67"/>
      <c r="BI201" s="183"/>
      <c r="BJ201" s="67"/>
      <c r="BK201" s="67">
        <f t="shared" si="154"/>
        <v>6168553</v>
      </c>
      <c r="BL201" s="67"/>
      <c r="BM201" s="156">
        <f t="shared" si="155"/>
        <v>0</v>
      </c>
      <c r="BN201" s="66">
        <f t="shared" si="156"/>
        <v>543412.30208333337</v>
      </c>
      <c r="BO201" s="67"/>
      <c r="BP201" s="67">
        <f t="shared" si="157"/>
        <v>6998780</v>
      </c>
      <c r="BQ201" s="67"/>
      <c r="BR201" s="478">
        <f t="shared" si="158"/>
        <v>6.7079782748600131E-2</v>
      </c>
      <c r="BS201" s="67"/>
      <c r="BT201" s="86"/>
      <c r="BU201" s="183"/>
      <c r="BV201" s="1"/>
      <c r="BW201" s="61">
        <f t="shared" si="160"/>
        <v>192</v>
      </c>
    </row>
    <row r="202" spans="2:75" x14ac:dyDescent="0.3">
      <c r="B202" s="171">
        <f t="shared" si="159"/>
        <v>44102</v>
      </c>
      <c r="C202" s="61"/>
      <c r="D202" s="17">
        <v>37418</v>
      </c>
      <c r="E202" s="16"/>
      <c r="F202" s="16"/>
      <c r="G202" s="16"/>
      <c r="H202" s="16">
        <f t="shared" si="138"/>
        <v>7353506</v>
      </c>
      <c r="I202" s="16"/>
      <c r="J202" s="479">
        <f t="shared" si="139"/>
        <v>5.1144819471827018E-3</v>
      </c>
      <c r="K202" s="16"/>
      <c r="L202" s="16"/>
      <c r="M202" s="16"/>
      <c r="N202" s="16">
        <f t="shared" si="140"/>
        <v>290702</v>
      </c>
      <c r="O202" s="16">
        <f t="shared" si="141"/>
        <v>38101.067357512955</v>
      </c>
      <c r="P202" s="41"/>
      <c r="Q202" s="453"/>
      <c r="R202" s="16"/>
      <c r="S202" s="60"/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si="142"/>
        <v>209801</v>
      </c>
      <c r="AB202" s="33"/>
      <c r="AC202" s="46">
        <f t="shared" si="143"/>
        <v>2.8530744382339525E-2</v>
      </c>
      <c r="AD202" s="33"/>
      <c r="AE202" s="33">
        <f t="shared" si="144"/>
        <v>1087.0518134715026</v>
      </c>
      <c r="AF202" s="50"/>
      <c r="AG202" s="33">
        <f t="shared" si="161"/>
        <v>5299</v>
      </c>
      <c r="AH202" s="33">
        <f>SUM(D173:D295)</f>
        <v>458988046.35152841</v>
      </c>
      <c r="AI202" s="231">
        <f t="shared" si="146"/>
        <v>-4.0210106864698426E-2</v>
      </c>
      <c r="AJ202" s="50"/>
      <c r="AK202" s="10"/>
      <c r="AL202" s="23">
        <f t="shared" si="147"/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si="148"/>
        <v>1.0784009318366409E-2</v>
      </c>
      <c r="AS202" s="25"/>
      <c r="AT202" s="25"/>
      <c r="AU202" s="24"/>
      <c r="AV202" s="341">
        <f t="shared" si="149"/>
        <v>0.62686234294226451</v>
      </c>
      <c r="AW202" s="341"/>
      <c r="AX202" s="24">
        <f t="shared" si="150"/>
        <v>23884.124352331608</v>
      </c>
      <c r="AY202" s="351"/>
      <c r="AZ202" s="10"/>
      <c r="BA202" s="66">
        <f t="shared" si="151"/>
        <v>1066544</v>
      </c>
      <c r="BB202" s="67"/>
      <c r="BC202" s="67">
        <v>105401706</v>
      </c>
      <c r="BD202" s="67"/>
      <c r="BE202" s="67">
        <f t="shared" si="152"/>
        <v>37418</v>
      </c>
      <c r="BF202" s="67"/>
      <c r="BG202" s="156">
        <f t="shared" si="153"/>
        <v>3.5083409592103092E-2</v>
      </c>
      <c r="BH202" s="67"/>
      <c r="BI202" s="183"/>
      <c r="BJ202" s="67"/>
      <c r="BK202" s="67">
        <f t="shared" si="154"/>
        <v>6491931</v>
      </c>
      <c r="BL202" s="67"/>
      <c r="BM202" s="156">
        <f t="shared" si="155"/>
        <v>0</v>
      </c>
      <c r="BN202" s="66">
        <f t="shared" si="156"/>
        <v>546122.82901554403</v>
      </c>
      <c r="BO202" s="67"/>
      <c r="BP202" s="67">
        <f t="shared" si="157"/>
        <v>7036198</v>
      </c>
      <c r="BQ202" s="67"/>
      <c r="BR202" s="478">
        <f t="shared" si="158"/>
        <v>6.6756016264101076E-2</v>
      </c>
      <c r="BS202" s="67"/>
      <c r="BT202" s="86"/>
      <c r="BU202" s="183"/>
      <c r="BV202" s="1"/>
      <c r="BW202" s="61">
        <f t="shared" si="160"/>
        <v>193</v>
      </c>
    </row>
    <row r="203" spans="2:75" x14ac:dyDescent="0.3">
      <c r="B203" s="171">
        <f t="shared" si="159"/>
        <v>44103</v>
      </c>
      <c r="C203" s="61"/>
      <c r="D203" s="17">
        <v>44227</v>
      </c>
      <c r="E203" s="16"/>
      <c r="F203" s="16"/>
      <c r="G203" s="16"/>
      <c r="H203" s="16">
        <f t="shared" si="138"/>
        <v>7397733</v>
      </c>
      <c r="I203" s="16"/>
      <c r="J203" s="479">
        <f t="shared" si="139"/>
        <v>6.0144099970816638E-3</v>
      </c>
      <c r="K203" s="16"/>
      <c r="L203" s="16"/>
      <c r="M203" s="16"/>
      <c r="N203" s="16">
        <f t="shared" si="140"/>
        <v>299233</v>
      </c>
      <c r="O203" s="16">
        <f t="shared" si="141"/>
        <v>38132.64432989691</v>
      </c>
      <c r="P203" s="41"/>
      <c r="Q203" s="453"/>
      <c r="R203" s="16"/>
      <c r="S203" s="60"/>
      <c r="T203" s="16"/>
      <c r="U203" s="41"/>
      <c r="V203" s="10">
        <f t="shared" si="109"/>
        <v>95</v>
      </c>
      <c r="W203" s="34">
        <v>977</v>
      </c>
      <c r="X203" s="33"/>
      <c r="Y203" s="33"/>
      <c r="Z203" s="33"/>
      <c r="AA203" s="33">
        <f t="shared" si="142"/>
        <v>210778</v>
      </c>
      <c r="AB203" s="33"/>
      <c r="AC203" s="46">
        <f t="shared" si="143"/>
        <v>2.8492242150399319E-2</v>
      </c>
      <c r="AD203" s="33"/>
      <c r="AE203" s="33">
        <f t="shared" si="144"/>
        <v>1086.4845360824743</v>
      </c>
      <c r="AF203" s="50"/>
      <c r="AG203" s="33">
        <f t="shared" si="161"/>
        <v>5297</v>
      </c>
      <c r="AH203" s="33">
        <f>SUM(D174:D296)</f>
        <v>458954065.35152841</v>
      </c>
      <c r="AI203" s="231">
        <f t="shared" si="146"/>
        <v>-1.1314350367716388E-3</v>
      </c>
      <c r="AJ203" s="50"/>
      <c r="AK203" s="10"/>
      <c r="AL203" s="23">
        <f t="shared" si="147"/>
        <v>39047</v>
      </c>
      <c r="AM203" s="24"/>
      <c r="AN203" s="24"/>
      <c r="AO203" s="24">
        <v>178263</v>
      </c>
      <c r="AP203" s="24">
        <v>4648683</v>
      </c>
      <c r="AQ203" s="24"/>
      <c r="AR203" s="504">
        <f t="shared" si="148"/>
        <v>8.4707339147819909E-3</v>
      </c>
      <c r="AS203" s="25"/>
      <c r="AT203" s="25"/>
      <c r="AU203" s="24"/>
      <c r="AV203" s="341">
        <f t="shared" si="149"/>
        <v>0.62839291442391876</v>
      </c>
      <c r="AW203" s="341"/>
      <c r="AX203" s="24">
        <f t="shared" si="150"/>
        <v>23962.283505154639</v>
      </c>
      <c r="AY203" s="351"/>
      <c r="AZ203" s="10"/>
      <c r="BA203" s="66">
        <f t="shared" si="151"/>
        <v>771516</v>
      </c>
      <c r="BB203" s="67"/>
      <c r="BC203" s="67">
        <v>106173222</v>
      </c>
      <c r="BD203" s="67"/>
      <c r="BE203" s="67">
        <f t="shared" si="152"/>
        <v>44227</v>
      </c>
      <c r="BF203" s="67"/>
      <c r="BG203" s="156">
        <f t="shared" si="153"/>
        <v>5.7324799485687916E-2</v>
      </c>
      <c r="BH203" s="67"/>
      <c r="BI203" s="183"/>
      <c r="BJ203" s="67"/>
      <c r="BK203" s="67">
        <f t="shared" si="154"/>
        <v>6491249</v>
      </c>
      <c r="BL203" s="67"/>
      <c r="BM203" s="156">
        <f t="shared" si="155"/>
        <v>0</v>
      </c>
      <c r="BN203" s="66">
        <f t="shared" si="156"/>
        <v>547284.64948453603</v>
      </c>
      <c r="BO203" s="67"/>
      <c r="BP203" s="67">
        <f t="shared" si="157"/>
        <v>7080425</v>
      </c>
      <c r="BQ203" s="67"/>
      <c r="BR203" s="478">
        <f t="shared" si="158"/>
        <v>6.6687483591672481E-2</v>
      </c>
      <c r="BS203" s="67"/>
      <c r="BT203" s="86"/>
      <c r="BU203" s="183"/>
      <c r="BV203" s="1"/>
      <c r="BW203" s="61">
        <f t="shared" si="160"/>
        <v>194</v>
      </c>
    </row>
    <row r="204" spans="2:75" x14ac:dyDescent="0.3">
      <c r="B204" s="171">
        <f t="shared" si="159"/>
        <v>44104</v>
      </c>
      <c r="C204" s="61"/>
      <c r="D204" s="17">
        <v>40929</v>
      </c>
      <c r="E204" s="16"/>
      <c r="F204" s="16"/>
      <c r="G204" s="16"/>
      <c r="H204" s="16">
        <f t="shared" si="138"/>
        <v>7438662</v>
      </c>
      <c r="I204" s="16"/>
      <c r="J204" s="479">
        <f t="shared" si="139"/>
        <v>5.5326408779554489E-3</v>
      </c>
      <c r="K204" s="16"/>
      <c r="L204" s="16"/>
      <c r="M204" s="16"/>
      <c r="N204" s="16">
        <f t="shared" si="140"/>
        <v>298546</v>
      </c>
      <c r="O204" s="16">
        <f t="shared" si="141"/>
        <v>38146.984615384616</v>
      </c>
      <c r="P204" s="41"/>
      <c r="Q204" s="453"/>
      <c r="R204" s="16"/>
      <c r="S204" s="60"/>
      <c r="T204" s="16"/>
      <c r="U204" s="41"/>
      <c r="V204" s="10">
        <f t="shared" si="109"/>
        <v>96</v>
      </c>
      <c r="W204" s="34">
        <v>955</v>
      </c>
      <c r="X204" s="33"/>
      <c r="Y204" s="33"/>
      <c r="Z204" s="33"/>
      <c r="AA204" s="33">
        <f t="shared" si="142"/>
        <v>211733</v>
      </c>
      <c r="AB204" s="33"/>
      <c r="AC204" s="46">
        <f t="shared" si="143"/>
        <v>2.8463855462178549E-2</v>
      </c>
      <c r="AD204" s="33"/>
      <c r="AE204" s="33">
        <f t="shared" si="144"/>
        <v>1085.8102564102564</v>
      </c>
      <c r="AF204" s="50"/>
      <c r="AG204" s="33">
        <f t="shared" si="161"/>
        <v>5137</v>
      </c>
      <c r="AH204" s="33">
        <f>SUM(D175:D297)</f>
        <v>458915505.35152841</v>
      </c>
      <c r="AI204" s="231">
        <f t="shared" si="146"/>
        <v>-2.468198215302829E-2</v>
      </c>
      <c r="AJ204" s="50"/>
      <c r="AK204" s="10"/>
      <c r="AL204" s="23">
        <f t="shared" si="147"/>
        <v>51023</v>
      </c>
      <c r="AM204" s="24"/>
      <c r="AN204" s="24"/>
      <c r="AO204" s="24">
        <v>178263</v>
      </c>
      <c r="AP204" s="24">
        <v>4699706</v>
      </c>
      <c r="AQ204" s="24"/>
      <c r="AR204" s="504">
        <f t="shared" si="148"/>
        <v>1.0975796800943407E-2</v>
      </c>
      <c r="AS204" s="25"/>
      <c r="AT204" s="25"/>
      <c r="AU204" s="24"/>
      <c r="AV204" s="341">
        <f t="shared" si="149"/>
        <v>0.63179453509246686</v>
      </c>
      <c r="AW204" s="341"/>
      <c r="AX204" s="24">
        <f t="shared" si="150"/>
        <v>24101.056410256409</v>
      </c>
      <c r="AY204" s="351"/>
      <c r="AZ204" s="10"/>
      <c r="BA204" s="66">
        <f t="shared" si="151"/>
        <v>1363003</v>
      </c>
      <c r="BB204" s="67"/>
      <c r="BC204" s="67">
        <v>107536225</v>
      </c>
      <c r="BD204" s="67"/>
      <c r="BE204" s="67">
        <f t="shared" si="152"/>
        <v>40929</v>
      </c>
      <c r="BF204" s="67"/>
      <c r="BG204" s="156">
        <f t="shared" si="153"/>
        <v>3.0028547259250346E-2</v>
      </c>
      <c r="BH204" s="67"/>
      <c r="BI204" s="183"/>
      <c r="BJ204" s="67"/>
      <c r="BK204" s="67">
        <f t="shared" si="154"/>
        <v>6954135</v>
      </c>
      <c r="BL204" s="67"/>
      <c r="BM204" s="156">
        <f t="shared" si="155"/>
        <v>0</v>
      </c>
      <c r="BN204" s="66">
        <f t="shared" si="156"/>
        <v>551467.8205128205</v>
      </c>
      <c r="BO204" s="67"/>
      <c r="BP204" s="67">
        <f t="shared" si="157"/>
        <v>7121354</v>
      </c>
      <c r="BQ204" s="67"/>
      <c r="BR204" s="478">
        <f t="shared" si="158"/>
        <v>6.6222837932054995E-2</v>
      </c>
      <c r="BS204" s="67"/>
      <c r="BT204" s="86"/>
      <c r="BU204" s="183"/>
      <c r="BV204" s="1"/>
      <c r="BW204" s="61">
        <f t="shared" si="160"/>
        <v>195</v>
      </c>
    </row>
    <row r="205" spans="2:75" x14ac:dyDescent="0.3">
      <c r="B205" s="171">
        <f t="shared" si="159"/>
        <v>44105</v>
      </c>
      <c r="C205" s="61"/>
      <c r="D205" s="17">
        <v>47389</v>
      </c>
      <c r="E205" s="16"/>
      <c r="F205" s="16"/>
      <c r="G205" s="16"/>
      <c r="H205" s="16">
        <f t="shared" si="138"/>
        <v>7486051</v>
      </c>
      <c r="I205" s="16"/>
      <c r="J205" s="479">
        <f t="shared" si="139"/>
        <v>6.3706349340781985E-3</v>
      </c>
      <c r="K205" s="16"/>
      <c r="L205" s="16"/>
      <c r="M205" s="16"/>
      <c r="N205" s="16">
        <f t="shared" si="140"/>
        <v>300580</v>
      </c>
      <c r="O205" s="16">
        <f t="shared" si="141"/>
        <v>38194.137755102041</v>
      </c>
      <c r="P205" s="41"/>
      <c r="Q205" s="453"/>
      <c r="R205" s="16"/>
      <c r="S205" s="60"/>
      <c r="T205" s="16"/>
      <c r="U205" s="41"/>
      <c r="V205" s="10">
        <f t="shared" si="109"/>
        <v>97</v>
      </c>
      <c r="W205" s="34">
        <v>920</v>
      </c>
      <c r="X205" s="33"/>
      <c r="Y205" s="33"/>
      <c r="Z205" s="33"/>
      <c r="AA205" s="33">
        <f t="shared" si="142"/>
        <v>212653</v>
      </c>
      <c r="AB205" s="33"/>
      <c r="AC205" s="46">
        <f t="shared" si="143"/>
        <v>2.8406565758101302E-2</v>
      </c>
      <c r="AD205" s="33"/>
      <c r="AE205" s="33">
        <f t="shared" si="144"/>
        <v>1084.9642857142858</v>
      </c>
      <c r="AF205" s="50"/>
      <c r="AG205" s="33">
        <f t="shared" ref="AG205:AG212" si="162">SUM(W199:W205)</f>
        <v>5115</v>
      </c>
      <c r="AH205" s="33">
        <f>SUM(D176:D298)</f>
        <v>458873526.35152841</v>
      </c>
      <c r="AI205" s="231">
        <f t="shared" si="146"/>
        <v>-4.0337711069418386E-2</v>
      </c>
      <c r="AJ205" s="50"/>
      <c r="AK205" s="10"/>
      <c r="AL205" s="23">
        <f t="shared" si="147"/>
        <v>36915</v>
      </c>
      <c r="AM205" s="24"/>
      <c r="AN205" s="24"/>
      <c r="AO205" s="24">
        <v>178263</v>
      </c>
      <c r="AP205" s="24">
        <v>4736621</v>
      </c>
      <c r="AQ205" s="24"/>
      <c r="AR205" s="504">
        <f t="shared" si="148"/>
        <v>7.8547466586207735E-3</v>
      </c>
      <c r="AS205" s="25"/>
      <c r="AT205" s="25"/>
      <c r="AU205" s="24"/>
      <c r="AV205" s="341">
        <f t="shared" si="149"/>
        <v>0.63272625313399544</v>
      </c>
      <c r="AW205" s="341"/>
      <c r="AX205" s="24">
        <f t="shared" si="150"/>
        <v>24166.433673469386</v>
      </c>
      <c r="AY205" s="351"/>
      <c r="AZ205" s="10"/>
      <c r="BA205" s="66">
        <f t="shared" si="151"/>
        <v>895735</v>
      </c>
      <c r="BB205" s="67"/>
      <c r="BC205" s="67">
        <v>108431960</v>
      </c>
      <c r="BD205" s="67"/>
      <c r="BE205" s="67">
        <f t="shared" si="152"/>
        <v>47389</v>
      </c>
      <c r="BF205" s="67"/>
      <c r="BG205" s="156">
        <f t="shared" si="153"/>
        <v>5.2905156100855721E-2</v>
      </c>
      <c r="BH205" s="67"/>
      <c r="BI205" s="183"/>
      <c r="BJ205" s="67"/>
      <c r="BK205" s="67">
        <f t="shared" si="154"/>
        <v>6859769</v>
      </c>
      <c r="BL205" s="67"/>
      <c r="BM205" s="156">
        <f t="shared" si="155"/>
        <v>0</v>
      </c>
      <c r="BN205" s="66">
        <f t="shared" si="156"/>
        <v>553224.28571428568</v>
      </c>
      <c r="BO205" s="67"/>
      <c r="BP205" s="67">
        <f t="shared" si="157"/>
        <v>7168743</v>
      </c>
      <c r="BQ205" s="67"/>
      <c r="BR205" s="478">
        <f t="shared" si="158"/>
        <v>6.6112823193456988E-2</v>
      </c>
      <c r="BS205" s="67"/>
      <c r="BT205" s="86"/>
      <c r="BU205" s="183"/>
      <c r="BV205" s="1"/>
      <c r="BW205" s="61">
        <f t="shared" si="160"/>
        <v>196</v>
      </c>
    </row>
    <row r="206" spans="2:75" x14ac:dyDescent="0.3">
      <c r="B206" s="171">
        <f t="shared" si="159"/>
        <v>44106</v>
      </c>
      <c r="C206" s="61"/>
      <c r="D206" s="17">
        <v>51403</v>
      </c>
      <c r="E206" s="16"/>
      <c r="F206" s="16"/>
      <c r="G206" s="16"/>
      <c r="H206" s="16">
        <f t="shared" si="138"/>
        <v>7537454</v>
      </c>
      <c r="I206" s="16"/>
      <c r="J206" s="479">
        <f t="shared" si="139"/>
        <v>6.8665041154541964E-3</v>
      </c>
      <c r="K206" s="16"/>
      <c r="L206" s="16"/>
      <c r="M206" s="16"/>
      <c r="N206" s="16">
        <f t="shared" si="140"/>
        <v>298354</v>
      </c>
      <c r="O206" s="16">
        <f t="shared" si="141"/>
        <v>38261.187817258884</v>
      </c>
      <c r="P206" s="41"/>
      <c r="Q206" s="453"/>
      <c r="R206" s="16"/>
      <c r="S206" s="60"/>
      <c r="T206" s="16"/>
      <c r="U206" s="41"/>
      <c r="V206" s="10">
        <f t="shared" si="109"/>
        <v>98</v>
      </c>
      <c r="W206" s="34">
        <v>864</v>
      </c>
      <c r="X206" s="33"/>
      <c r="Y206" s="33"/>
      <c r="Z206" s="33"/>
      <c r="AA206" s="33">
        <f t="shared" si="142"/>
        <v>213517</v>
      </c>
      <c r="AB206" s="33"/>
      <c r="AC206" s="46">
        <f t="shared" si="143"/>
        <v>2.8327469726515082E-2</v>
      </c>
      <c r="AD206" s="33"/>
      <c r="AE206" s="33">
        <f t="shared" si="144"/>
        <v>1083.8426395939086</v>
      </c>
      <c r="AF206" s="50"/>
      <c r="AG206" s="33">
        <f t="shared" si="162"/>
        <v>5084</v>
      </c>
      <c r="AH206" s="33">
        <f>SUM(D177:D299)</f>
        <v>458832315.35152841</v>
      </c>
      <c r="AI206" s="231">
        <f t="shared" si="146"/>
        <v>-3.4744636415416745E-2</v>
      </c>
      <c r="AJ206" s="50"/>
      <c r="AK206" s="10"/>
      <c r="AL206" s="23">
        <f t="shared" si="147"/>
        <v>40203</v>
      </c>
      <c r="AM206" s="24"/>
      <c r="AN206" s="24"/>
      <c r="AO206" s="24">
        <v>178263</v>
      </c>
      <c r="AP206" s="24">
        <v>4776824</v>
      </c>
      <c r="AQ206" s="24"/>
      <c r="AR206" s="504">
        <f t="shared" si="148"/>
        <v>8.4876961867964527E-3</v>
      </c>
      <c r="AS206" s="25"/>
      <c r="AT206" s="25"/>
      <c r="AU206" s="24"/>
      <c r="AV206" s="341">
        <f t="shared" si="149"/>
        <v>0.63374502849370618</v>
      </c>
      <c r="AW206" s="341"/>
      <c r="AX206" s="24">
        <f t="shared" si="150"/>
        <v>24247.837563451776</v>
      </c>
      <c r="AY206" s="351"/>
      <c r="AZ206" s="10"/>
      <c r="BA206" s="66">
        <f t="shared" si="151"/>
        <v>1138486</v>
      </c>
      <c r="BB206" s="67"/>
      <c r="BC206" s="67">
        <v>109570446</v>
      </c>
      <c r="BD206" s="67"/>
      <c r="BE206" s="67">
        <f t="shared" si="152"/>
        <v>51403</v>
      </c>
      <c r="BF206" s="67"/>
      <c r="BG206" s="156">
        <f t="shared" si="153"/>
        <v>4.515031366217942E-2</v>
      </c>
      <c r="BH206" s="67"/>
      <c r="BI206" s="183"/>
      <c r="BJ206" s="67"/>
      <c r="BK206" s="67">
        <f t="shared" si="154"/>
        <v>7023091</v>
      </c>
      <c r="BL206" s="67"/>
      <c r="BM206" s="156">
        <f t="shared" si="155"/>
        <v>0</v>
      </c>
      <c r="BN206" s="66">
        <f t="shared" si="156"/>
        <v>556195.15736040613</v>
      </c>
      <c r="BO206" s="67"/>
      <c r="BP206" s="67">
        <f t="shared" si="157"/>
        <v>7220146</v>
      </c>
      <c r="BQ206" s="67"/>
      <c r="BR206" s="478">
        <f t="shared" si="158"/>
        <v>6.589501333233598E-2</v>
      </c>
      <c r="BS206" s="67"/>
      <c r="BT206" s="86"/>
      <c r="BU206" s="183"/>
      <c r="BV206" s="1"/>
      <c r="BW206" s="61">
        <f t="shared" si="160"/>
        <v>197</v>
      </c>
    </row>
    <row r="207" spans="2:75" x14ac:dyDescent="0.3">
      <c r="B207" s="171">
        <f t="shared" si="159"/>
        <v>44107</v>
      </c>
      <c r="C207" s="61"/>
      <c r="D207" s="17">
        <v>48925</v>
      </c>
      <c r="E207" s="16"/>
      <c r="F207" s="16"/>
      <c r="G207" s="16"/>
      <c r="H207" s="16">
        <f t="shared" si="138"/>
        <v>7586379</v>
      </c>
      <c r="I207" s="16"/>
      <c r="J207" s="479">
        <f t="shared" si="139"/>
        <v>6.490918551542736E-3</v>
      </c>
      <c r="K207" s="16"/>
      <c r="L207" s="16"/>
      <c r="M207" s="16"/>
      <c r="N207" s="16">
        <f t="shared" si="140"/>
        <v>304073</v>
      </c>
      <c r="O207" s="16">
        <f t="shared" si="141"/>
        <v>38315.045454545456</v>
      </c>
      <c r="P207" s="41"/>
      <c r="Q207" s="453"/>
      <c r="R207" s="16"/>
      <c r="S207" s="60"/>
      <c r="T207" s="16"/>
      <c r="U207" s="41"/>
      <c r="V207" s="10">
        <f t="shared" si="109"/>
        <v>99</v>
      </c>
      <c r="W207" s="34">
        <v>755</v>
      </c>
      <c r="X207" s="33"/>
      <c r="Y207" s="33"/>
      <c r="Z207" s="33"/>
      <c r="AA207" s="33">
        <f t="shared" si="142"/>
        <v>214272</v>
      </c>
      <c r="AB207" s="33"/>
      <c r="AC207" s="46">
        <f t="shared" si="143"/>
        <v>2.8244304693978511E-2</v>
      </c>
      <c r="AD207" s="33"/>
      <c r="AE207" s="33">
        <f t="shared" si="144"/>
        <v>1082.1818181818182</v>
      </c>
      <c r="AF207" s="50"/>
      <c r="AG207" s="33">
        <f t="shared" si="162"/>
        <v>5102</v>
      </c>
      <c r="AH207" s="33">
        <f>SUM(D178:D300)</f>
        <v>458786851.35152841</v>
      </c>
      <c r="AI207" s="231">
        <f t="shared" si="146"/>
        <v>-4.5641601197156753E-2</v>
      </c>
      <c r="AJ207" s="50"/>
      <c r="AK207" s="10"/>
      <c r="AL207" s="23">
        <f t="shared" si="147"/>
        <v>41685</v>
      </c>
      <c r="AM207" s="24"/>
      <c r="AN207" s="24"/>
      <c r="AO207" s="24">
        <v>178263</v>
      </c>
      <c r="AP207" s="24">
        <v>4818509</v>
      </c>
      <c r="AQ207" s="24"/>
      <c r="AR207" s="504">
        <f t="shared" si="148"/>
        <v>8.7265094966865013E-3</v>
      </c>
      <c r="AS207" s="25"/>
      <c r="AT207" s="25"/>
      <c r="AU207" s="24"/>
      <c r="AV207" s="341">
        <f t="shared" si="149"/>
        <v>0.63515268614974285</v>
      </c>
      <c r="AW207" s="341"/>
      <c r="AX207" s="24">
        <f t="shared" si="150"/>
        <v>24335.904040404039</v>
      </c>
      <c r="AY207" s="351"/>
      <c r="AZ207" s="10"/>
      <c r="BA207" s="66">
        <f t="shared" si="151"/>
        <v>955837</v>
      </c>
      <c r="BB207" s="67"/>
      <c r="BC207" s="67">
        <v>110526283</v>
      </c>
      <c r="BD207" s="67"/>
      <c r="BE207" s="67">
        <f t="shared" si="152"/>
        <v>48925</v>
      </c>
      <c r="BF207" s="67"/>
      <c r="BG207" s="156">
        <f t="shared" si="153"/>
        <v>5.1185505478444547E-2</v>
      </c>
      <c r="BH207" s="67"/>
      <c r="BI207" s="183"/>
      <c r="BJ207" s="67"/>
      <c r="BK207" s="67">
        <f t="shared" si="154"/>
        <v>6950760</v>
      </c>
      <c r="BL207" s="67"/>
      <c r="BM207" s="156">
        <f t="shared" si="155"/>
        <v>0</v>
      </c>
      <c r="BN207" s="66">
        <f t="shared" si="156"/>
        <v>558213.55050505046</v>
      </c>
      <c r="BO207" s="67"/>
      <c r="BP207" s="67">
        <f t="shared" si="157"/>
        <v>7269071</v>
      </c>
      <c r="BQ207" s="67"/>
      <c r="BR207" s="478">
        <f t="shared" si="158"/>
        <v>6.5767804749210651E-2</v>
      </c>
      <c r="BS207" s="67"/>
      <c r="BT207" s="86"/>
      <c r="BU207" s="183"/>
      <c r="BV207" s="1"/>
      <c r="BW207" s="61">
        <f t="shared" si="160"/>
        <v>198</v>
      </c>
    </row>
    <row r="208" spans="2:75" x14ac:dyDescent="0.3">
      <c r="B208" s="390">
        <f t="shared" si="159"/>
        <v>44108</v>
      </c>
      <c r="C208" s="61"/>
      <c r="D208" s="17">
        <v>34066</v>
      </c>
      <c r="E208" s="16"/>
      <c r="F208" s="16"/>
      <c r="G208" s="16"/>
      <c r="H208" s="16">
        <f t="shared" si="138"/>
        <v>7620445</v>
      </c>
      <c r="I208" s="16"/>
      <c r="J208" s="479">
        <f t="shared" si="139"/>
        <v>4.4904163106008806E-3</v>
      </c>
      <c r="K208" s="16"/>
      <c r="L208" s="16"/>
      <c r="M208" s="16"/>
      <c r="N208" s="16">
        <f t="shared" si="140"/>
        <v>304357</v>
      </c>
      <c r="O208" s="16">
        <f t="shared" si="141"/>
        <v>38293.693467336685</v>
      </c>
      <c r="P208" s="41"/>
      <c r="Q208" s="453"/>
      <c r="R208" s="16"/>
      <c r="S208" s="60"/>
      <c r="T208" s="16"/>
      <c r="U208" s="41"/>
      <c r="V208" s="391">
        <f t="shared" si="109"/>
        <v>100</v>
      </c>
      <c r="W208" s="34">
        <v>332</v>
      </c>
      <c r="X208" s="33"/>
      <c r="Y208" s="33"/>
      <c r="Z208" s="33"/>
      <c r="AA208" s="33">
        <f t="shared" si="142"/>
        <v>214604</v>
      </c>
      <c r="AB208" s="33"/>
      <c r="AC208" s="46">
        <f t="shared" si="143"/>
        <v>2.8161609984718741E-2</v>
      </c>
      <c r="AD208" s="33"/>
      <c r="AE208" s="33">
        <f t="shared" si="144"/>
        <v>1078.4120603015076</v>
      </c>
      <c r="AF208" s="50"/>
      <c r="AG208" s="33">
        <f t="shared" si="162"/>
        <v>5158</v>
      </c>
      <c r="AH208" s="33">
        <f>SUM(D179:D301)</f>
        <v>458734002.35152841</v>
      </c>
      <c r="AI208" s="231">
        <f t="shared" si="146"/>
        <v>-3.1906906906906909E-2</v>
      </c>
      <c r="AJ208" s="50"/>
      <c r="AK208" s="10"/>
      <c r="AL208" s="23">
        <f t="shared" si="147"/>
        <v>30529</v>
      </c>
      <c r="AM208" s="24"/>
      <c r="AN208" s="24"/>
      <c r="AO208" s="24">
        <v>178263</v>
      </c>
      <c r="AP208" s="24">
        <v>4849038</v>
      </c>
      <c r="AQ208" s="24"/>
      <c r="AR208" s="504">
        <f t="shared" si="148"/>
        <v>6.3357773120274342E-3</v>
      </c>
      <c r="AS208" s="25"/>
      <c r="AT208" s="25"/>
      <c r="AU208" s="24"/>
      <c r="AV208" s="341">
        <f t="shared" si="149"/>
        <v>0.63631953252073858</v>
      </c>
      <c r="AW208" s="341"/>
      <c r="AX208" s="24">
        <f t="shared" si="150"/>
        <v>24367.025125628141</v>
      </c>
      <c r="AY208" s="351"/>
      <c r="AZ208" s="391"/>
      <c r="BA208" s="66">
        <f t="shared" si="151"/>
        <v>943983</v>
      </c>
      <c r="BB208" s="67"/>
      <c r="BC208" s="67">
        <v>111470266</v>
      </c>
      <c r="BD208" s="67"/>
      <c r="BE208" s="67">
        <f t="shared" si="152"/>
        <v>34066</v>
      </c>
      <c r="BF208" s="67"/>
      <c r="BG208" s="156">
        <f t="shared" si="153"/>
        <v>3.6087514287863234E-2</v>
      </c>
      <c r="BH208" s="67"/>
      <c r="BI208" s="183"/>
      <c r="BJ208" s="67"/>
      <c r="BK208" s="67">
        <f t="shared" si="154"/>
        <v>7135104</v>
      </c>
      <c r="BL208" s="67"/>
      <c r="BM208" s="156">
        <f t="shared" si="155"/>
        <v>0</v>
      </c>
      <c r="BN208" s="66">
        <f t="shared" si="156"/>
        <v>560152.09045226127</v>
      </c>
      <c r="BO208" s="67"/>
      <c r="BP208" s="67">
        <f t="shared" si="157"/>
        <v>7303137</v>
      </c>
      <c r="BQ208" s="67"/>
      <c r="BR208" s="478">
        <f t="shared" si="158"/>
        <v>6.5516457994278049E-2</v>
      </c>
      <c r="BS208" s="67"/>
      <c r="BT208" s="86"/>
      <c r="BU208" s="183"/>
      <c r="BV208" s="1"/>
      <c r="BW208" s="61">
        <f t="shared" si="160"/>
        <v>199</v>
      </c>
    </row>
    <row r="209" spans="2:75" x14ac:dyDescent="0.3">
      <c r="B209" s="171">
        <f t="shared" si="159"/>
        <v>44109</v>
      </c>
      <c r="C209" s="61"/>
      <c r="D209" s="17">
        <v>37717</v>
      </c>
      <c r="E209" s="16"/>
      <c r="F209" s="16"/>
      <c r="G209" s="16"/>
      <c r="H209" s="16">
        <f t="shared" si="138"/>
        <v>7658162</v>
      </c>
      <c r="I209" s="16"/>
      <c r="J209" s="479">
        <f t="shared" si="139"/>
        <v>4.9494484902128421E-3</v>
      </c>
      <c r="K209" s="16"/>
      <c r="L209" s="16"/>
      <c r="M209" s="16"/>
      <c r="N209" s="16">
        <f t="shared" si="140"/>
        <v>304656</v>
      </c>
      <c r="O209" s="16">
        <f t="shared" si="141"/>
        <v>38290.81</v>
      </c>
      <c r="P209" s="41"/>
      <c r="Q209" s="453"/>
      <c r="R209" s="16"/>
      <c r="S209" s="60"/>
      <c r="T209" s="16"/>
      <c r="U209" s="41"/>
      <c r="V209" s="10">
        <f t="shared" si="109"/>
        <v>101</v>
      </c>
      <c r="W209" s="34">
        <v>348</v>
      </c>
      <c r="X209" s="33"/>
      <c r="Y209" s="33"/>
      <c r="Z209" s="33"/>
      <c r="AA209" s="33">
        <f t="shared" si="142"/>
        <v>214952</v>
      </c>
      <c r="AB209" s="33"/>
      <c r="AC209" s="46">
        <f t="shared" si="143"/>
        <v>2.8068353738142388E-2</v>
      </c>
      <c r="AD209" s="33"/>
      <c r="AE209" s="33">
        <f t="shared" si="144"/>
        <v>1074.76</v>
      </c>
      <c r="AF209" s="50"/>
      <c r="AG209" s="33">
        <f t="shared" si="162"/>
        <v>5151</v>
      </c>
      <c r="AH209" s="33">
        <f>SUM(D180:D302)</f>
        <v>458691910.35152841</v>
      </c>
      <c r="AI209" s="231">
        <f t="shared" si="146"/>
        <v>-2.7929798075108512E-2</v>
      </c>
      <c r="AJ209" s="50"/>
      <c r="AK209" s="10"/>
      <c r="AL209" s="23">
        <f t="shared" si="147"/>
        <v>38801</v>
      </c>
      <c r="AM209" s="24"/>
      <c r="AN209" s="24"/>
      <c r="AO209" s="24">
        <v>178263</v>
      </c>
      <c r="AP209" s="24">
        <v>4887839</v>
      </c>
      <c r="AQ209" s="24"/>
      <c r="AR209" s="504">
        <f t="shared" si="148"/>
        <v>8.0017933454017073E-3</v>
      </c>
      <c r="AS209" s="25"/>
      <c r="AT209" s="25"/>
      <c r="AU209" s="24"/>
      <c r="AV209" s="341">
        <f t="shared" si="149"/>
        <v>0.63825223336879011</v>
      </c>
      <c r="AW209" s="341"/>
      <c r="AX209" s="24">
        <f t="shared" si="150"/>
        <v>24439.195</v>
      </c>
      <c r="AY209" s="351"/>
      <c r="AZ209" s="10"/>
      <c r="BA209" s="66">
        <f t="shared" si="151"/>
        <v>901908</v>
      </c>
      <c r="BB209" s="67"/>
      <c r="BC209" s="67">
        <v>112372174</v>
      </c>
      <c r="BD209" s="67"/>
      <c r="BE209" s="67">
        <f t="shared" si="152"/>
        <v>37717</v>
      </c>
      <c r="BF209" s="67"/>
      <c r="BG209" s="156">
        <f t="shared" si="153"/>
        <v>4.1819121240747395E-2</v>
      </c>
      <c r="BH209" s="67"/>
      <c r="BI209" s="183"/>
      <c r="BJ209" s="67"/>
      <c r="BK209" s="67">
        <f t="shared" si="154"/>
        <v>6970468</v>
      </c>
      <c r="BL209" s="67"/>
      <c r="BM209" s="156">
        <f t="shared" si="155"/>
        <v>0</v>
      </c>
      <c r="BN209" s="66">
        <f t="shared" si="156"/>
        <v>561860.87</v>
      </c>
      <c r="BO209" s="67"/>
      <c r="BP209" s="67">
        <f t="shared" si="157"/>
        <v>7340854</v>
      </c>
      <c r="BQ209" s="67"/>
      <c r="BR209" s="478">
        <f t="shared" si="158"/>
        <v>6.5326261286001289E-2</v>
      </c>
      <c r="BS209" s="67"/>
      <c r="BT209" s="86"/>
      <c r="BU209" s="183"/>
      <c r="BV209" s="1"/>
      <c r="BW209" s="61">
        <f t="shared" si="160"/>
        <v>200</v>
      </c>
    </row>
    <row r="210" spans="2:75" x14ac:dyDescent="0.3">
      <c r="B210" s="171">
        <f t="shared" si="159"/>
        <v>44110</v>
      </c>
      <c r="C210" s="61"/>
      <c r="D210" s="17">
        <v>43660</v>
      </c>
      <c r="E210" s="16"/>
      <c r="F210" s="16"/>
      <c r="G210" s="16"/>
      <c r="H210" s="16">
        <f t="shared" si="138"/>
        <v>7701822</v>
      </c>
      <c r="I210" s="16"/>
      <c r="J210" s="479">
        <f t="shared" si="139"/>
        <v>5.7011068713354457E-3</v>
      </c>
      <c r="K210" s="16"/>
      <c r="L210" s="16"/>
      <c r="M210" s="16"/>
      <c r="N210" s="16">
        <f t="shared" si="140"/>
        <v>304089</v>
      </c>
      <c r="O210" s="16">
        <f t="shared" si="141"/>
        <v>38317.522388059704</v>
      </c>
      <c r="P210" s="41"/>
      <c r="Q210" s="453"/>
      <c r="R210" s="16"/>
      <c r="S210" s="60"/>
      <c r="T210" s="16"/>
      <c r="U210" s="41"/>
      <c r="V210" s="10">
        <f t="shared" si="109"/>
        <v>102</v>
      </c>
      <c r="W210" s="34">
        <v>790</v>
      </c>
      <c r="X210" s="33"/>
      <c r="Y210" s="33"/>
      <c r="Z210" s="33"/>
      <c r="AA210" s="33">
        <f t="shared" si="142"/>
        <v>215742</v>
      </c>
      <c r="AB210" s="33"/>
      <c r="AC210" s="46">
        <f t="shared" si="143"/>
        <v>2.8011813308591135E-2</v>
      </c>
      <c r="AD210" s="33"/>
      <c r="AE210" s="33">
        <f t="shared" si="144"/>
        <v>1073.3432835820895</v>
      </c>
      <c r="AF210" s="50"/>
      <c r="AG210" s="33">
        <f t="shared" si="162"/>
        <v>4964</v>
      </c>
      <c r="AH210" s="33">
        <f>SUM(D181:D303)</f>
        <v>458660800.35152841</v>
      </c>
      <c r="AI210" s="231">
        <f t="shared" si="146"/>
        <v>-6.2865773079101378E-2</v>
      </c>
      <c r="AJ210" s="50"/>
      <c r="AK210" s="10"/>
      <c r="AL210" s="23">
        <f t="shared" si="147"/>
        <v>47706</v>
      </c>
      <c r="AM210" s="24"/>
      <c r="AN210" s="24"/>
      <c r="AO210" s="24">
        <v>178263</v>
      </c>
      <c r="AP210" s="24">
        <v>4935545</v>
      </c>
      <c r="AQ210" s="24"/>
      <c r="AR210" s="504">
        <f t="shared" si="148"/>
        <v>9.7601414449207512E-3</v>
      </c>
      <c r="AS210" s="25"/>
      <c r="AT210" s="25"/>
      <c r="AU210" s="24"/>
      <c r="AV210" s="341">
        <f t="shared" si="149"/>
        <v>0.6408282351890241</v>
      </c>
      <c r="AW210" s="341"/>
      <c r="AX210" s="24">
        <f t="shared" si="150"/>
        <v>24554.95024875622</v>
      </c>
      <c r="AY210" s="351"/>
      <c r="AZ210" s="10"/>
      <c r="BA210" s="66">
        <f t="shared" si="151"/>
        <v>947144</v>
      </c>
      <c r="BB210" s="67"/>
      <c r="BC210" s="67">
        <v>113319318</v>
      </c>
      <c r="BD210" s="67"/>
      <c r="BE210" s="67">
        <f t="shared" si="152"/>
        <v>43660</v>
      </c>
      <c r="BF210" s="67"/>
      <c r="BG210" s="156">
        <f t="shared" si="153"/>
        <v>4.609647529837068E-2</v>
      </c>
      <c r="BH210" s="67"/>
      <c r="BI210" s="183"/>
      <c r="BJ210" s="67"/>
      <c r="BK210" s="67">
        <f t="shared" si="154"/>
        <v>7146096</v>
      </c>
      <c r="BL210" s="67"/>
      <c r="BM210" s="156">
        <f t="shared" si="155"/>
        <v>0</v>
      </c>
      <c r="BN210" s="66">
        <f t="shared" si="156"/>
        <v>563777.70149253728</v>
      </c>
      <c r="BO210" s="67"/>
      <c r="BP210" s="67">
        <f t="shared" si="157"/>
        <v>7384514</v>
      </c>
      <c r="BQ210" s="67"/>
      <c r="BR210" s="478">
        <f t="shared" si="158"/>
        <v>6.5165535147325898E-2</v>
      </c>
      <c r="BS210" s="67"/>
      <c r="BT210" s="86"/>
      <c r="BU210" s="183"/>
      <c r="BV210" s="1"/>
      <c r="BW210" s="61">
        <f t="shared" si="160"/>
        <v>201</v>
      </c>
    </row>
    <row r="211" spans="2:75" x14ac:dyDescent="0.3">
      <c r="B211" s="171">
        <f t="shared" si="159"/>
        <v>44111</v>
      </c>
      <c r="C211" s="61"/>
      <c r="D211" s="17">
        <v>48715</v>
      </c>
      <c r="E211" s="16"/>
      <c r="F211" s="16"/>
      <c r="G211" s="16"/>
      <c r="H211" s="16">
        <f t="shared" si="138"/>
        <v>7750537</v>
      </c>
      <c r="I211" s="16"/>
      <c r="J211" s="479">
        <f t="shared" si="139"/>
        <v>6.3251267037851564E-3</v>
      </c>
      <c r="K211" s="16"/>
      <c r="L211" s="16"/>
      <c r="M211" s="16"/>
      <c r="N211" s="16">
        <f t="shared" si="140"/>
        <v>311875</v>
      </c>
      <c r="O211" s="16">
        <f t="shared" si="141"/>
        <v>38368.995049504949</v>
      </c>
      <c r="P211" s="41"/>
      <c r="Q211" s="453"/>
      <c r="R211" s="16"/>
      <c r="S211" s="60"/>
      <c r="T211" s="16"/>
      <c r="U211" s="41"/>
      <c r="V211" s="10">
        <f t="shared" si="109"/>
        <v>103</v>
      </c>
      <c r="W211" s="34">
        <v>932</v>
      </c>
      <c r="X211" s="33"/>
      <c r="Y211" s="33"/>
      <c r="Z211" s="33"/>
      <c r="AA211" s="33">
        <f t="shared" si="142"/>
        <v>216674</v>
      </c>
      <c r="AB211" s="33"/>
      <c r="AC211" s="46">
        <f t="shared" si="143"/>
        <v>2.7955998403723509E-2</v>
      </c>
      <c r="AD211" s="33"/>
      <c r="AE211" s="33">
        <f t="shared" si="144"/>
        <v>1072.6435643564357</v>
      </c>
      <c r="AF211" s="50"/>
      <c r="AG211" s="33">
        <f t="shared" si="162"/>
        <v>4941</v>
      </c>
      <c r="AH211" s="33">
        <f>SUM(D182:D304)</f>
        <v>458635380.35152841</v>
      </c>
      <c r="AI211" s="231">
        <f t="shared" si="146"/>
        <v>-3.8154564921160213E-2</v>
      </c>
      <c r="AJ211" s="50"/>
      <c r="AK211" s="10"/>
      <c r="AL211" s="23">
        <f t="shared" si="147"/>
        <v>47835</v>
      </c>
      <c r="AM211" s="24"/>
      <c r="AN211" s="24"/>
      <c r="AO211" s="24">
        <v>178263</v>
      </c>
      <c r="AP211" s="24">
        <v>4983380</v>
      </c>
      <c r="AQ211" s="24"/>
      <c r="AR211" s="504">
        <f t="shared" si="148"/>
        <v>9.6919387828497162E-3</v>
      </c>
      <c r="AS211" s="25"/>
      <c r="AT211" s="25"/>
      <c r="AU211" s="24"/>
      <c r="AV211" s="341">
        <f t="shared" si="149"/>
        <v>0.64297222244084506</v>
      </c>
      <c r="AW211" s="341"/>
      <c r="AX211" s="24">
        <f t="shared" si="150"/>
        <v>24670.198019801981</v>
      </c>
      <c r="AY211" s="351"/>
      <c r="AZ211" s="10"/>
      <c r="BA211" s="66">
        <f t="shared" si="151"/>
        <v>839531</v>
      </c>
      <c r="BB211" s="67"/>
      <c r="BC211" s="67">
        <v>114158849</v>
      </c>
      <c r="BD211" s="67"/>
      <c r="BE211" s="67">
        <f t="shared" si="152"/>
        <v>48715</v>
      </c>
      <c r="BF211" s="67"/>
      <c r="BG211" s="156">
        <f t="shared" si="153"/>
        <v>5.8026445717906786E-2</v>
      </c>
      <c r="BH211" s="67"/>
      <c r="BI211" s="183"/>
      <c r="BJ211" s="67"/>
      <c r="BK211" s="67">
        <f t="shared" si="154"/>
        <v>6622624</v>
      </c>
      <c r="BL211" s="67"/>
      <c r="BM211" s="156">
        <f t="shared" si="155"/>
        <v>0</v>
      </c>
      <c r="BN211" s="66">
        <f t="shared" si="156"/>
        <v>565142.81683168316</v>
      </c>
      <c r="BO211" s="67"/>
      <c r="BP211" s="67">
        <f t="shared" si="157"/>
        <v>7433229</v>
      </c>
      <c r="BQ211" s="67"/>
      <c r="BR211" s="478">
        <f t="shared" si="158"/>
        <v>6.51130338568848E-2</v>
      </c>
      <c r="BS211" s="67"/>
      <c r="BT211" s="86"/>
      <c r="BU211" s="183"/>
      <c r="BV211" s="1"/>
      <c r="BW211" s="61">
        <f t="shared" si="160"/>
        <v>202</v>
      </c>
    </row>
    <row r="212" spans="2:75" x14ac:dyDescent="0.3">
      <c r="B212" s="171">
        <f t="shared" si="159"/>
        <v>44112</v>
      </c>
      <c r="C212" s="61"/>
      <c r="D212" s="17">
        <v>56652</v>
      </c>
      <c r="E212" s="16"/>
      <c r="F212" s="16"/>
      <c r="G212" s="16"/>
      <c r="H212" s="16">
        <f t="shared" si="138"/>
        <v>7807189</v>
      </c>
      <c r="I212" s="16"/>
      <c r="J212" s="479">
        <f t="shared" si="139"/>
        <v>7.3094290111769033E-3</v>
      </c>
      <c r="K212" s="16"/>
      <c r="L212" s="16"/>
      <c r="M212" s="16"/>
      <c r="N212" s="16">
        <f t="shared" si="140"/>
        <v>321138</v>
      </c>
      <c r="O212" s="16">
        <f t="shared" si="141"/>
        <v>38459.059113300493</v>
      </c>
      <c r="P212" s="41"/>
      <c r="Q212" s="453"/>
      <c r="R212" s="16"/>
      <c r="S212" s="60"/>
      <c r="T212" s="16"/>
      <c r="U212" s="41"/>
      <c r="V212" s="10">
        <f t="shared" si="109"/>
        <v>104</v>
      </c>
      <c r="W212" s="34">
        <v>957</v>
      </c>
      <c r="X212" s="33"/>
      <c r="Y212" s="33"/>
      <c r="Z212" s="33"/>
      <c r="AA212" s="33">
        <f t="shared" si="142"/>
        <v>217631</v>
      </c>
      <c r="AB212" s="33"/>
      <c r="AC212" s="46">
        <f t="shared" si="143"/>
        <v>2.787571813619473E-2</v>
      </c>
      <c r="AD212" s="33"/>
      <c r="AE212" s="33">
        <f t="shared" si="144"/>
        <v>1072.0738916256157</v>
      </c>
      <c r="AF212" s="50"/>
      <c r="AG212" s="33">
        <f t="shared" si="162"/>
        <v>4978</v>
      </c>
      <c r="AH212" s="33">
        <f>SUM(D183:D305)</f>
        <v>458606941.35152841</v>
      </c>
      <c r="AI212" s="231">
        <f t="shared" si="146"/>
        <v>-2.678396871945259E-2</v>
      </c>
      <c r="AJ212" s="50"/>
      <c r="AK212" s="10"/>
      <c r="AL212" s="23">
        <f t="shared" si="147"/>
        <v>41813</v>
      </c>
      <c r="AM212" s="24"/>
      <c r="AN212" s="24"/>
      <c r="AO212" s="24">
        <v>178263</v>
      </c>
      <c r="AP212" s="24">
        <v>5025193</v>
      </c>
      <c r="AQ212" s="24"/>
      <c r="AR212" s="504">
        <f t="shared" si="148"/>
        <v>8.3904899887225128E-3</v>
      </c>
      <c r="AS212" s="25"/>
      <c r="AT212" s="25"/>
      <c r="AU212" s="24"/>
      <c r="AV212" s="341">
        <f t="shared" si="149"/>
        <v>0.6436622707609615</v>
      </c>
      <c r="AW212" s="341"/>
      <c r="AX212" s="24">
        <f t="shared" si="150"/>
        <v>24754.645320197043</v>
      </c>
      <c r="AY212" s="351"/>
      <c r="AZ212" s="10"/>
      <c r="BA212" s="66">
        <f t="shared" si="151"/>
        <v>1184966</v>
      </c>
      <c r="BB212" s="67"/>
      <c r="BC212" s="67">
        <v>115343815</v>
      </c>
      <c r="BD212" s="67"/>
      <c r="BE212" s="67">
        <f t="shared" si="152"/>
        <v>56652</v>
      </c>
      <c r="BF212" s="67"/>
      <c r="BG212" s="156">
        <f t="shared" si="153"/>
        <v>4.7808966670773674E-2</v>
      </c>
      <c r="BH212" s="67"/>
      <c r="BI212" s="183"/>
      <c r="BJ212" s="67"/>
      <c r="BK212" s="67">
        <f t="shared" si="154"/>
        <v>6911855</v>
      </c>
      <c r="BL212" s="67"/>
      <c r="BM212" s="156">
        <f t="shared" si="155"/>
        <v>0</v>
      </c>
      <c r="BN212" s="66">
        <f t="shared" si="156"/>
        <v>568196.13300492615</v>
      </c>
      <c r="BO212" s="67"/>
      <c r="BP212" s="67">
        <f t="shared" si="157"/>
        <v>7489881</v>
      </c>
      <c r="BQ212" s="67"/>
      <c r="BR212" s="478">
        <f t="shared" si="158"/>
        <v>6.4935263325562792E-2</v>
      </c>
      <c r="BS212" s="67"/>
      <c r="BT212" s="86"/>
      <c r="BU212" s="183"/>
      <c r="BV212" s="1"/>
      <c r="BW212" s="61">
        <f t="shared" si="160"/>
        <v>203</v>
      </c>
    </row>
    <row r="213" spans="2:75" x14ac:dyDescent="0.3">
      <c r="B213" s="171">
        <f t="shared" si="159"/>
        <v>44113</v>
      </c>
      <c r="C213" s="61"/>
      <c r="D213" s="17">
        <v>60558</v>
      </c>
      <c r="E213" s="16"/>
      <c r="F213" s="16"/>
      <c r="G213" s="16"/>
      <c r="H213" s="16">
        <f t="shared" ref="H213" si="163">+H212+D213</f>
        <v>7867747</v>
      </c>
      <c r="I213" s="16"/>
      <c r="J213" s="479">
        <f t="shared" ref="J213" si="164">+D213/H212</f>
        <v>7.7566970647181717E-3</v>
      </c>
      <c r="K213" s="16"/>
      <c r="L213" s="16"/>
      <c r="M213" s="16"/>
      <c r="N213" s="16">
        <f t="shared" ref="N213" si="165">SUM(D207:D213)</f>
        <v>330293</v>
      </c>
      <c r="O213" s="16">
        <f t="shared" ref="O213" si="166">+H213/BW213</f>
        <v>38567.387254901958</v>
      </c>
      <c r="P213" s="41"/>
      <c r="Q213" s="453"/>
      <c r="R213" s="16"/>
      <c r="S213" s="60"/>
      <c r="T213" s="16"/>
      <c r="U213" s="41"/>
      <c r="V213" s="10">
        <f t="shared" si="109"/>
        <v>105</v>
      </c>
      <c r="W213" s="34">
        <v>909</v>
      </c>
      <c r="X213" s="33"/>
      <c r="Y213" s="33"/>
      <c r="Z213" s="33"/>
      <c r="AA213" s="33">
        <f t="shared" ref="AA213" si="167">+AA212+W213</f>
        <v>218540</v>
      </c>
      <c r="AB213" s="33"/>
      <c r="AC213" s="46">
        <f t="shared" ref="AC213" si="168">+AA213/H213</f>
        <v>2.7776693887081014E-2</v>
      </c>
      <c r="AD213" s="33"/>
      <c r="AE213" s="33">
        <f t="shared" ref="AE213" si="169">+AA213/BW213</f>
        <v>1071.2745098039215</v>
      </c>
      <c r="AF213" s="50"/>
      <c r="AG213" s="33">
        <f t="shared" ref="AG213" si="170">SUM(W207:W213)</f>
        <v>5023</v>
      </c>
      <c r="AH213" s="33">
        <f>SUM(D184:D306)</f>
        <v>458571698.35152841</v>
      </c>
      <c r="AI213" s="231">
        <f t="shared" ref="AI213" si="171">+(AG213-AG206)/AG206</f>
        <v>-1.1998426435877263E-2</v>
      </c>
      <c r="AJ213" s="50"/>
      <c r="AK213" s="10"/>
      <c r="AL213" s="23">
        <f t="shared" ref="AL213" si="172">+AP213-AP212</f>
        <v>39107</v>
      </c>
      <c r="AM213" s="24"/>
      <c r="AN213" s="24"/>
      <c r="AO213" s="24">
        <v>178263</v>
      </c>
      <c r="AP213" s="24">
        <v>5064300</v>
      </c>
      <c r="AQ213" s="24"/>
      <c r="AR213" s="504">
        <f t="shared" ref="AR213" si="173">+AL213/AP212</f>
        <v>7.7821886641965795E-3</v>
      </c>
      <c r="AS213" s="25"/>
      <c r="AT213" s="25"/>
      <c r="AU213" s="24"/>
      <c r="AV213" s="341">
        <f t="shared" ref="AV213" si="174">+AP213/H213</f>
        <v>0.64367855244964034</v>
      </c>
      <c r="AW213" s="341"/>
      <c r="AX213" s="24">
        <f t="shared" ref="AX213" si="175">+AP213/BW213</f>
        <v>24825</v>
      </c>
      <c r="AY213" s="351"/>
      <c r="AZ213" s="10"/>
      <c r="BA213" s="66">
        <f t="shared" ref="BA213" si="176">+BC213-BC212</f>
        <v>1154320</v>
      </c>
      <c r="BB213" s="67"/>
      <c r="BC213" s="67">
        <v>116498135</v>
      </c>
      <c r="BD213" s="67"/>
      <c r="BE213" s="67">
        <f t="shared" ref="BE213" si="177">+D213</f>
        <v>60558</v>
      </c>
      <c r="BF213" s="67"/>
      <c r="BG213" s="156">
        <f t="shared" ref="BG213" si="178">+BE213/BA213</f>
        <v>5.2462055582507452E-2</v>
      </c>
      <c r="BH213" s="67"/>
      <c r="BI213" s="183"/>
      <c r="BJ213" s="67"/>
      <c r="BK213" s="67">
        <f t="shared" ref="BK213" si="179">SUM(BA207:BA213)</f>
        <v>6927689</v>
      </c>
      <c r="BL213" s="67"/>
      <c r="BM213" s="156">
        <f t="shared" ref="BM213" si="180">+Q213/BK213</f>
        <v>0</v>
      </c>
      <c r="BN213" s="66">
        <f t="shared" ref="BN213" si="181">+BC213/BW213</f>
        <v>571069.28921568627</v>
      </c>
      <c r="BO213" s="67"/>
      <c r="BP213" s="67">
        <f t="shared" ref="BP213" si="182">+BP212+BE213</f>
        <v>7550439</v>
      </c>
      <c r="BQ213" s="67"/>
      <c r="BR213" s="478">
        <f t="shared" ref="BR213" si="183">+BP213/BC213</f>
        <v>6.4811672736220197E-2</v>
      </c>
      <c r="BS213" s="67"/>
      <c r="BT213" s="86"/>
      <c r="BU213" s="183"/>
      <c r="BV213" s="1"/>
      <c r="BW213" s="61">
        <f t="shared" si="160"/>
        <v>204</v>
      </c>
    </row>
    <row r="214" spans="2:75" x14ac:dyDescent="0.3">
      <c r="B214" s="171">
        <f t="shared" si="159"/>
        <v>44114</v>
      </c>
      <c r="C214" s="61"/>
      <c r="D214" s="17">
        <v>50876</v>
      </c>
      <c r="E214" s="16"/>
      <c r="F214" s="16"/>
      <c r="G214" s="16"/>
      <c r="H214" s="16">
        <f t="shared" ref="H214" si="184">+H213+D214</f>
        <v>7918623</v>
      </c>
      <c r="I214" s="16"/>
      <c r="J214" s="479">
        <f t="shared" ref="J214" si="185">+D214/H213</f>
        <v>6.4664001015792708E-3</v>
      </c>
      <c r="K214" s="16"/>
      <c r="L214" s="16"/>
      <c r="M214" s="16"/>
      <c r="N214" s="16">
        <f t="shared" ref="N214" si="186">SUM(D208:D214)</f>
        <v>332244</v>
      </c>
      <c r="O214" s="16">
        <f t="shared" ref="O214" si="187">+H214/BW214</f>
        <v>38627.429268292683</v>
      </c>
      <c r="P214" s="41"/>
      <c r="Q214" s="453"/>
      <c r="R214" s="16"/>
      <c r="S214" s="60"/>
      <c r="T214" s="16"/>
      <c r="U214" s="41"/>
      <c r="V214" s="10">
        <f t="shared" si="109"/>
        <v>106</v>
      </c>
      <c r="W214" s="34">
        <v>635</v>
      </c>
      <c r="X214" s="33"/>
      <c r="Y214" s="33"/>
      <c r="Z214" s="33"/>
      <c r="AA214" s="33">
        <f t="shared" ref="AA214" si="188">+AA213+W214</f>
        <v>219175</v>
      </c>
      <c r="AB214" s="33"/>
      <c r="AC214" s="46">
        <f t="shared" ref="AC214" si="189">+AA214/H214</f>
        <v>2.7678423382449194E-2</v>
      </c>
      <c r="AD214" s="33"/>
      <c r="AE214" s="33">
        <f t="shared" ref="AE214" si="190">+AA214/BW214</f>
        <v>1069.1463414634147</v>
      </c>
      <c r="AF214" s="50"/>
      <c r="AG214" s="33">
        <f t="shared" ref="AG214" si="191">SUM(W208:W214)</f>
        <v>4903</v>
      </c>
      <c r="AH214" s="33">
        <f>SUM(D185:D307)</f>
        <v>458532887.35152841</v>
      </c>
      <c r="AI214" s="231">
        <f t="shared" ref="AI214" si="192">+(AG214-AG207)/AG207</f>
        <v>-3.9004312034496273E-2</v>
      </c>
      <c r="AJ214" s="50"/>
      <c r="AK214" s="10"/>
      <c r="AL214" s="23">
        <f t="shared" ref="AL214" si="193">+AP214-AP213</f>
        <v>25542</v>
      </c>
      <c r="AM214" s="24"/>
      <c r="AN214" s="24"/>
      <c r="AO214" s="24">
        <v>178263</v>
      </c>
      <c r="AP214" s="24">
        <v>5089842</v>
      </c>
      <c r="AQ214" s="24"/>
      <c r="AR214" s="504">
        <f t="shared" ref="AR214" si="194">+AL214/AP213</f>
        <v>5.0435400746401283E-3</v>
      </c>
      <c r="AS214" s="25"/>
      <c r="AT214" s="25"/>
      <c r="AU214" s="24"/>
      <c r="AV214" s="341">
        <f t="shared" ref="AV214" si="195">+AP214/H214</f>
        <v>0.64276857226313211</v>
      </c>
      <c r="AW214" s="341"/>
      <c r="AX214" s="24">
        <f t="shared" ref="AX214" si="196">+AP214/BW214</f>
        <v>24828.497560975611</v>
      </c>
      <c r="AY214" s="351"/>
      <c r="AZ214" s="10"/>
      <c r="BA214" s="66">
        <f t="shared" ref="BA214" si="197">+BC214-BC213</f>
        <v>1103287</v>
      </c>
      <c r="BB214" s="67"/>
      <c r="BC214" s="67">
        <v>117601422</v>
      </c>
      <c r="BD214" s="67"/>
      <c r="BE214" s="67">
        <f t="shared" ref="BE214" si="198">+D214</f>
        <v>50876</v>
      </c>
      <c r="BF214" s="67"/>
      <c r="BG214" s="156">
        <f t="shared" ref="BG214" si="199">+BE214/BA214</f>
        <v>4.6113114719923284E-2</v>
      </c>
      <c r="BH214" s="67"/>
      <c r="BI214" s="183"/>
      <c r="BJ214" s="67"/>
      <c r="BK214" s="67">
        <f t="shared" ref="BK214" si="200">SUM(BA208:BA214)</f>
        <v>7075139</v>
      </c>
      <c r="BL214" s="67"/>
      <c r="BM214" s="156">
        <f t="shared" ref="BM214" si="201">+Q214/BK214</f>
        <v>0</v>
      </c>
      <c r="BN214" s="66">
        <f t="shared" ref="BN214" si="202">+BC214/BW214</f>
        <v>573665.47317073168</v>
      </c>
      <c r="BO214" s="67"/>
      <c r="BP214" s="67">
        <f t="shared" ref="BP214" si="203">+BP213+BE214</f>
        <v>7601315</v>
      </c>
      <c r="BQ214" s="67"/>
      <c r="BR214" s="478">
        <f t="shared" ref="BR214" si="204">+BP214/BC214</f>
        <v>6.4636250741934062E-2</v>
      </c>
      <c r="BS214" s="67"/>
      <c r="BT214" s="86"/>
      <c r="BU214" s="183"/>
      <c r="BV214" s="1"/>
      <c r="BW214" s="61">
        <f t="shared" si="160"/>
        <v>205</v>
      </c>
    </row>
    <row r="215" spans="2:75" x14ac:dyDescent="0.3">
      <c r="B215" s="390">
        <f t="shared" si="159"/>
        <v>44115</v>
      </c>
      <c r="C215" s="61"/>
      <c r="D215" s="17">
        <v>41935</v>
      </c>
      <c r="E215" s="16"/>
      <c r="F215" s="16"/>
      <c r="G215" s="16"/>
      <c r="H215" s="16">
        <f t="shared" ref="H215" si="205">+H214+D215</f>
        <v>7960558</v>
      </c>
      <c r="I215" s="16"/>
      <c r="J215" s="479">
        <f>+D215/H214</f>
        <v>5.2957439696270422E-3</v>
      </c>
      <c r="K215" s="16"/>
      <c r="L215" s="16"/>
      <c r="M215" s="16"/>
      <c r="N215" s="16">
        <f t="shared" ref="N215" si="206">SUM(D209:D215)</f>
        <v>340113</v>
      </c>
      <c r="O215" s="16">
        <f t="shared" ref="O215" si="207">+H215/BW215</f>
        <v>38643.485436893206</v>
      </c>
      <c r="P215" s="41"/>
      <c r="Q215" s="453"/>
      <c r="R215" s="16"/>
      <c r="S215" s="60"/>
      <c r="T215" s="16"/>
      <c r="U215" s="41"/>
      <c r="V215" s="10">
        <f t="shared" si="109"/>
        <v>107</v>
      </c>
      <c r="W215" s="34">
        <v>325</v>
      </c>
      <c r="X215" s="33"/>
      <c r="Y215" s="33"/>
      <c r="Z215" s="33"/>
      <c r="AA215" s="33">
        <f t="shared" ref="AA215" si="208">+AA214+W215</f>
        <v>219500</v>
      </c>
      <c r="AB215" s="33"/>
      <c r="AC215" s="46">
        <f t="shared" ref="AC215" si="209">+AA215/H215</f>
        <v>2.757344397214366E-2</v>
      </c>
      <c r="AD215" s="33"/>
      <c r="AE215" s="33">
        <f t="shared" ref="AE215" si="210">+AA215/BW215</f>
        <v>1065.5339805825242</v>
      </c>
      <c r="AF215" s="50"/>
      <c r="AG215" s="33">
        <f t="shared" ref="AG215" si="211">SUM(W209:W215)</f>
        <v>4896</v>
      </c>
      <c r="AH215" s="33">
        <f>SUM(D186:D308)</f>
        <v>458486287.35152841</v>
      </c>
      <c r="AI215" s="231">
        <f t="shared" ref="AI215" si="212">+(AG215-AG208)/AG208</f>
        <v>-5.0794881737107403E-2</v>
      </c>
      <c r="AJ215" s="50"/>
      <c r="AK215" s="10"/>
      <c r="AL215" s="23">
        <f t="shared" ref="AL215" si="213">+AP215-AP214</f>
        <v>38320</v>
      </c>
      <c r="AM215" s="24"/>
      <c r="AN215" s="24"/>
      <c r="AO215" s="24">
        <v>178263</v>
      </c>
      <c r="AP215" s="24">
        <v>5128162</v>
      </c>
      <c r="AQ215" s="24"/>
      <c r="AR215" s="504">
        <f t="shared" ref="AR215" si="214">+AL215/AP214</f>
        <v>7.5287209308265365E-3</v>
      </c>
      <c r="AS215" s="25"/>
      <c r="AT215" s="25"/>
      <c r="AU215" s="24"/>
      <c r="AV215" s="341">
        <f t="shared" ref="AV215" si="215">+AP215/H215</f>
        <v>0.64419629880216944</v>
      </c>
      <c r="AW215" s="341"/>
      <c r="AX215" s="24">
        <f t="shared" ref="AX215" si="216">+AP215/BW215</f>
        <v>24893.990291262136</v>
      </c>
      <c r="AY215" s="351"/>
      <c r="AZ215" s="10"/>
      <c r="BA215" s="66">
        <f t="shared" ref="BA215" si="217">+BC215-BC214</f>
        <v>885476</v>
      </c>
      <c r="BB215" s="67"/>
      <c r="BC215" s="67">
        <v>118486898</v>
      </c>
      <c r="BD215" s="67"/>
      <c r="BE215" s="67">
        <f t="shared" ref="BE215" si="218">+D215</f>
        <v>41935</v>
      </c>
      <c r="BF215" s="67"/>
      <c r="BG215" s="156">
        <f t="shared" ref="BG215" si="219">+BE215/BA215</f>
        <v>4.7358708762292825E-2</v>
      </c>
      <c r="BH215" s="67"/>
      <c r="BI215" s="183"/>
      <c r="BJ215" s="67"/>
      <c r="BK215" s="67">
        <f t="shared" ref="BK215" si="220">SUM(BA209:BA215)</f>
        <v>7016632</v>
      </c>
      <c r="BL215" s="67"/>
      <c r="BM215" s="156">
        <f t="shared" ref="BM215" si="221">+Q215/BK215</f>
        <v>0</v>
      </c>
      <c r="BN215" s="66">
        <f t="shared" ref="BN215" si="222">+BC215/BW215</f>
        <v>575179.11650485441</v>
      </c>
      <c r="BO215" s="67"/>
      <c r="BP215" s="67">
        <f t="shared" ref="BP215" si="223">+BP214+BE215</f>
        <v>7643250</v>
      </c>
      <c r="BQ215" s="67"/>
      <c r="BR215" s="478">
        <f>+BP215/BC215</f>
        <v>6.4507132256935273E-2</v>
      </c>
      <c r="BS215" s="67"/>
      <c r="BT215" s="86"/>
      <c r="BU215" s="183"/>
      <c r="BV215" s="1"/>
      <c r="BW215" s="61">
        <f t="shared" si="160"/>
        <v>206</v>
      </c>
    </row>
    <row r="216" spans="2:75" x14ac:dyDescent="0.3">
      <c r="B216" s="171">
        <f t="shared" si="159"/>
        <v>44116</v>
      </c>
      <c r="C216" s="61"/>
      <c r="D216" s="17"/>
      <c r="E216" s="16"/>
      <c r="F216" s="16"/>
      <c r="G216" s="16"/>
      <c r="H216" s="16"/>
      <c r="I216" s="16"/>
      <c r="J216" s="479"/>
      <c r="K216" s="16"/>
      <c r="L216" s="16"/>
      <c r="M216" s="16"/>
      <c r="N216" s="16"/>
      <c r="O216" s="16"/>
      <c r="P216" s="41"/>
      <c r="Q216" s="453"/>
      <c r="R216" s="16"/>
      <c r="S216" s="60"/>
      <c r="T216" s="16"/>
      <c r="U216" s="41"/>
      <c r="V216" s="10"/>
      <c r="W216" s="34"/>
      <c r="X216" s="33"/>
      <c r="Y216" s="33"/>
      <c r="Z216" s="33"/>
      <c r="AA216" s="33"/>
      <c r="AB216" s="33"/>
      <c r="AC216" s="46"/>
      <c r="AD216" s="33"/>
      <c r="AE216" s="33"/>
      <c r="AF216" s="50"/>
      <c r="AG216" s="33"/>
      <c r="AH216" s="33"/>
      <c r="AI216" s="231"/>
      <c r="AJ216" s="50"/>
      <c r="AK216" s="10"/>
      <c r="AL216" s="23"/>
      <c r="AM216" s="24"/>
      <c r="AN216" s="24"/>
      <c r="AO216" s="24"/>
      <c r="AP216" s="24"/>
      <c r="AQ216" s="24"/>
      <c r="AR216" s="504"/>
      <c r="AS216" s="25"/>
      <c r="AT216" s="25"/>
      <c r="AU216" s="24"/>
      <c r="AV216" s="341"/>
      <c r="AW216" s="341"/>
      <c r="AX216" s="24"/>
      <c r="AY216" s="351"/>
      <c r="AZ216" s="10"/>
      <c r="BA216" s="66"/>
      <c r="BB216" s="67"/>
      <c r="BC216" s="67"/>
      <c r="BD216" s="67"/>
      <c r="BE216" s="67"/>
      <c r="BF216" s="67"/>
      <c r="BG216" s="156"/>
      <c r="BH216" s="67"/>
      <c r="BI216" s="183"/>
      <c r="BJ216" s="67"/>
      <c r="BK216" s="67"/>
      <c r="BL216" s="67"/>
      <c r="BM216" s="156"/>
      <c r="BN216" s="66"/>
      <c r="BO216" s="67"/>
      <c r="BP216" s="67"/>
      <c r="BQ216" s="67"/>
      <c r="BR216" s="478"/>
      <c r="BS216" s="67"/>
      <c r="BT216" s="86"/>
      <c r="BU216" s="183"/>
      <c r="BV216" s="1"/>
      <c r="BW216" s="61">
        <f t="shared" ref="BW216:BW222" si="224">+BW215+1</f>
        <v>207</v>
      </c>
    </row>
    <row r="217" spans="2:75" x14ac:dyDescent="0.3">
      <c r="B217" s="171">
        <f t="shared" si="159"/>
        <v>44117</v>
      </c>
      <c r="C217" s="61"/>
      <c r="D217" s="17"/>
      <c r="E217" s="16"/>
      <c r="F217" s="16"/>
      <c r="G217" s="16"/>
      <c r="H217" s="16"/>
      <c r="I217" s="16"/>
      <c r="J217" s="479"/>
      <c r="K217" s="16"/>
      <c r="L217" s="16"/>
      <c r="M217" s="16"/>
      <c r="N217" s="16"/>
      <c r="O217" s="16"/>
      <c r="P217" s="41"/>
      <c r="Q217" s="453"/>
      <c r="R217" s="16"/>
      <c r="S217" s="60"/>
      <c r="T217" s="16"/>
      <c r="U217" s="41"/>
      <c r="V217" s="10"/>
      <c r="W217" s="34"/>
      <c r="X217" s="33"/>
      <c r="Y217" s="33"/>
      <c r="Z217" s="33"/>
      <c r="AA217" s="33"/>
      <c r="AB217" s="33"/>
      <c r="AC217" s="46"/>
      <c r="AD217" s="33"/>
      <c r="AE217" s="33"/>
      <c r="AF217" s="50"/>
      <c r="AG217" s="33"/>
      <c r="AH217" s="33"/>
      <c r="AI217" s="231"/>
      <c r="AJ217" s="50"/>
      <c r="AK217" s="10"/>
      <c r="AL217" s="23"/>
      <c r="AM217" s="24"/>
      <c r="AN217" s="24"/>
      <c r="AO217" s="24"/>
      <c r="AP217" s="24"/>
      <c r="AQ217" s="24"/>
      <c r="AR217" s="504"/>
      <c r="AS217" s="25"/>
      <c r="AT217" s="25"/>
      <c r="AU217" s="24"/>
      <c r="AV217" s="341"/>
      <c r="AW217" s="341"/>
      <c r="AX217" s="24"/>
      <c r="AY217" s="351"/>
      <c r="AZ217" s="10"/>
      <c r="BA217" s="66"/>
      <c r="BB217" s="67"/>
      <c r="BC217" s="67"/>
      <c r="BD217" s="67"/>
      <c r="BE217" s="67"/>
      <c r="BF217" s="67"/>
      <c r="BG217" s="156"/>
      <c r="BH217" s="67"/>
      <c r="BI217" s="183"/>
      <c r="BJ217" s="67"/>
      <c r="BK217" s="67"/>
      <c r="BL217" s="67"/>
      <c r="BM217" s="156"/>
      <c r="BN217" s="66"/>
      <c r="BO217" s="67"/>
      <c r="BP217" s="67"/>
      <c r="BQ217" s="67"/>
      <c r="BR217" s="478"/>
      <c r="BS217" s="67"/>
      <c r="BT217" s="86"/>
      <c r="BU217" s="183"/>
      <c r="BV217" s="1"/>
      <c r="BW217" s="61">
        <f t="shared" si="224"/>
        <v>208</v>
      </c>
    </row>
    <row r="218" spans="2:75" x14ac:dyDescent="0.3">
      <c r="B218" s="171">
        <f t="shared" si="159"/>
        <v>44118</v>
      </c>
      <c r="C218" s="61"/>
      <c r="D218" s="17"/>
      <c r="E218" s="16"/>
      <c r="F218" s="16"/>
      <c r="G218" s="16"/>
      <c r="H218" s="16"/>
      <c r="I218" s="16"/>
      <c r="J218" s="479"/>
      <c r="K218" s="16"/>
      <c r="L218" s="16"/>
      <c r="M218" s="16"/>
      <c r="N218" s="16"/>
      <c r="O218" s="16"/>
      <c r="P218" s="41"/>
      <c r="Q218" s="453"/>
      <c r="R218" s="16"/>
      <c r="S218" s="60"/>
      <c r="T218" s="16"/>
      <c r="U218" s="41"/>
      <c r="V218" s="10"/>
      <c r="W218" s="34"/>
      <c r="X218" s="33"/>
      <c r="Y218" s="33"/>
      <c r="Z218" s="33"/>
      <c r="AA218" s="33"/>
      <c r="AB218" s="33"/>
      <c r="AC218" s="46"/>
      <c r="AD218" s="33"/>
      <c r="AE218" s="33"/>
      <c r="AF218" s="50"/>
      <c r="AG218" s="33"/>
      <c r="AH218" s="33"/>
      <c r="AI218" s="231"/>
      <c r="AJ218" s="50"/>
      <c r="AK218" s="10"/>
      <c r="AL218" s="23"/>
      <c r="AM218" s="24"/>
      <c r="AN218" s="24"/>
      <c r="AO218" s="24"/>
      <c r="AP218" s="24"/>
      <c r="AQ218" s="24"/>
      <c r="AR218" s="504"/>
      <c r="AS218" s="25"/>
      <c r="AT218" s="25"/>
      <c r="AU218" s="24"/>
      <c r="AV218" s="341"/>
      <c r="AW218" s="341"/>
      <c r="AX218" s="24"/>
      <c r="AY218" s="351"/>
      <c r="AZ218" s="10"/>
      <c r="BA218" s="66"/>
      <c r="BB218" s="67"/>
      <c r="BC218" s="67"/>
      <c r="BD218" s="67"/>
      <c r="BE218" s="67"/>
      <c r="BF218" s="67"/>
      <c r="BG218" s="156"/>
      <c r="BH218" s="67"/>
      <c r="BI218" s="183"/>
      <c r="BJ218" s="67"/>
      <c r="BK218" s="67"/>
      <c r="BL218" s="67"/>
      <c r="BM218" s="156"/>
      <c r="BN218" s="66"/>
      <c r="BO218" s="67"/>
      <c r="BP218" s="67"/>
      <c r="BQ218" s="67"/>
      <c r="BR218" s="478"/>
      <c r="BS218" s="67"/>
      <c r="BT218" s="86"/>
      <c r="BU218" s="183"/>
      <c r="BV218" s="1"/>
      <c r="BW218" s="61">
        <f t="shared" si="224"/>
        <v>209</v>
      </c>
    </row>
    <row r="219" spans="2:75" x14ac:dyDescent="0.3">
      <c r="B219" s="171">
        <f t="shared" si="159"/>
        <v>44119</v>
      </c>
      <c r="C219" s="61"/>
      <c r="D219" s="17"/>
      <c r="E219" s="16"/>
      <c r="F219" s="16"/>
      <c r="G219" s="16"/>
      <c r="H219" s="16"/>
      <c r="I219" s="16"/>
      <c r="J219" s="479"/>
      <c r="K219" s="16"/>
      <c r="L219" s="16"/>
      <c r="M219" s="16"/>
      <c r="N219" s="16"/>
      <c r="O219" s="16"/>
      <c r="P219" s="41"/>
      <c r="Q219" s="453"/>
      <c r="R219" s="16"/>
      <c r="S219" s="60"/>
      <c r="T219" s="16"/>
      <c r="U219" s="41"/>
      <c r="V219" s="10"/>
      <c r="W219" s="34"/>
      <c r="X219" s="33"/>
      <c r="Y219" s="33"/>
      <c r="Z219" s="33"/>
      <c r="AA219" s="33"/>
      <c r="AB219" s="33"/>
      <c r="AC219" s="46"/>
      <c r="AD219" s="33"/>
      <c r="AE219" s="33"/>
      <c r="AF219" s="50"/>
      <c r="AG219" s="33"/>
      <c r="AH219" s="33"/>
      <c r="AI219" s="231"/>
      <c r="AJ219" s="50"/>
      <c r="AK219" s="10"/>
      <c r="AL219" s="23"/>
      <c r="AM219" s="24"/>
      <c r="AN219" s="24"/>
      <c r="AO219" s="24"/>
      <c r="AP219" s="24"/>
      <c r="AQ219" s="24"/>
      <c r="AR219" s="504"/>
      <c r="AS219" s="25"/>
      <c r="AT219" s="25"/>
      <c r="AU219" s="24"/>
      <c r="AV219" s="341"/>
      <c r="AW219" s="341"/>
      <c r="AX219" s="24"/>
      <c r="AY219" s="351"/>
      <c r="AZ219" s="10"/>
      <c r="BA219" s="66"/>
      <c r="BB219" s="67"/>
      <c r="BC219" s="67"/>
      <c r="BD219" s="67"/>
      <c r="BE219" s="67"/>
      <c r="BF219" s="67"/>
      <c r="BG219" s="156"/>
      <c r="BH219" s="67"/>
      <c r="BI219" s="183"/>
      <c r="BJ219" s="67"/>
      <c r="BK219" s="67"/>
      <c r="BL219" s="67"/>
      <c r="BM219" s="156"/>
      <c r="BN219" s="66"/>
      <c r="BO219" s="67"/>
      <c r="BP219" s="67"/>
      <c r="BQ219" s="67"/>
      <c r="BR219" s="478"/>
      <c r="BS219" s="67"/>
      <c r="BT219" s="86"/>
      <c r="BU219" s="183"/>
      <c r="BV219" s="1"/>
      <c r="BW219" s="61">
        <f t="shared" si="224"/>
        <v>210</v>
      </c>
    </row>
    <row r="220" spans="2:75" x14ac:dyDescent="0.3">
      <c r="B220" s="171">
        <f t="shared" si="159"/>
        <v>44120</v>
      </c>
      <c r="C220" s="61"/>
      <c r="D220" s="17"/>
      <c r="E220" s="16"/>
      <c r="F220" s="16"/>
      <c r="G220" s="16"/>
      <c r="H220" s="16"/>
      <c r="I220" s="16"/>
      <c r="J220" s="479"/>
      <c r="K220" s="16"/>
      <c r="L220" s="16"/>
      <c r="M220" s="16"/>
      <c r="N220" s="16"/>
      <c r="O220" s="16"/>
      <c r="P220" s="41"/>
      <c r="Q220" s="453"/>
      <c r="R220" s="16"/>
      <c r="S220" s="60"/>
      <c r="T220" s="16"/>
      <c r="U220" s="41"/>
      <c r="V220" s="10"/>
      <c r="W220" s="34"/>
      <c r="X220" s="33"/>
      <c r="Y220" s="33"/>
      <c r="Z220" s="33"/>
      <c r="AA220" s="33"/>
      <c r="AB220" s="33"/>
      <c r="AC220" s="46"/>
      <c r="AD220" s="33"/>
      <c r="AE220" s="33"/>
      <c r="AF220" s="50"/>
      <c r="AG220" s="33"/>
      <c r="AH220" s="33"/>
      <c r="AI220" s="231"/>
      <c r="AJ220" s="50"/>
      <c r="AK220" s="10"/>
      <c r="AL220" s="23"/>
      <c r="AM220" s="24"/>
      <c r="AN220" s="24"/>
      <c r="AO220" s="24"/>
      <c r="AP220" s="24"/>
      <c r="AQ220" s="24"/>
      <c r="AR220" s="504"/>
      <c r="AS220" s="25"/>
      <c r="AT220" s="25"/>
      <c r="AU220" s="24"/>
      <c r="AV220" s="341"/>
      <c r="AW220" s="341"/>
      <c r="AX220" s="24"/>
      <c r="AY220" s="351"/>
      <c r="AZ220" s="10"/>
      <c r="BA220" s="66"/>
      <c r="BB220" s="67"/>
      <c r="BC220" s="67"/>
      <c r="BD220" s="67"/>
      <c r="BE220" s="67"/>
      <c r="BF220" s="67"/>
      <c r="BG220" s="156"/>
      <c r="BH220" s="67"/>
      <c r="BI220" s="183"/>
      <c r="BJ220" s="67"/>
      <c r="BK220" s="67"/>
      <c r="BL220" s="67"/>
      <c r="BM220" s="156"/>
      <c r="BN220" s="66"/>
      <c r="BO220" s="67"/>
      <c r="BP220" s="67"/>
      <c r="BQ220" s="67"/>
      <c r="BR220" s="478"/>
      <c r="BS220" s="67"/>
      <c r="BT220" s="86"/>
      <c r="BU220" s="183"/>
      <c r="BV220" s="1"/>
      <c r="BW220" s="61">
        <f t="shared" si="224"/>
        <v>211</v>
      </c>
    </row>
    <row r="221" spans="2:75" x14ac:dyDescent="0.3">
      <c r="B221" s="171">
        <f t="shared" si="159"/>
        <v>44121</v>
      </c>
      <c r="C221" s="61"/>
      <c r="D221" s="17"/>
      <c r="E221" s="16"/>
      <c r="F221" s="16"/>
      <c r="G221" s="16"/>
      <c r="H221" s="16"/>
      <c r="I221" s="16"/>
      <c r="J221" s="479"/>
      <c r="K221" s="16"/>
      <c r="L221" s="16"/>
      <c r="M221" s="16"/>
      <c r="N221" s="16"/>
      <c r="O221" s="16"/>
      <c r="P221" s="41"/>
      <c r="Q221" s="453"/>
      <c r="R221" s="16"/>
      <c r="S221" s="60"/>
      <c r="T221" s="16"/>
      <c r="U221" s="41"/>
      <c r="V221" s="10"/>
      <c r="W221" s="34"/>
      <c r="X221" s="33"/>
      <c r="Y221" s="33"/>
      <c r="Z221" s="33"/>
      <c r="AA221" s="33"/>
      <c r="AB221" s="33"/>
      <c r="AC221" s="46"/>
      <c r="AD221" s="33"/>
      <c r="AE221" s="33"/>
      <c r="AF221" s="50"/>
      <c r="AG221" s="33"/>
      <c r="AH221" s="33"/>
      <c r="AI221" s="231"/>
      <c r="AJ221" s="50"/>
      <c r="AK221" s="10"/>
      <c r="AL221" s="23"/>
      <c r="AM221" s="24"/>
      <c r="AN221" s="24"/>
      <c r="AO221" s="24"/>
      <c r="AP221" s="24"/>
      <c r="AQ221" s="24"/>
      <c r="AR221" s="504"/>
      <c r="AS221" s="25"/>
      <c r="AT221" s="25"/>
      <c r="AU221" s="24"/>
      <c r="AV221" s="341"/>
      <c r="AW221" s="341"/>
      <c r="AX221" s="24"/>
      <c r="AY221" s="351"/>
      <c r="AZ221" s="10"/>
      <c r="BA221" s="66"/>
      <c r="BB221" s="67"/>
      <c r="BC221" s="67"/>
      <c r="BD221" s="67"/>
      <c r="BE221" s="67"/>
      <c r="BF221" s="67"/>
      <c r="BG221" s="156"/>
      <c r="BH221" s="67"/>
      <c r="BI221" s="183"/>
      <c r="BJ221" s="67"/>
      <c r="BK221" s="67"/>
      <c r="BL221" s="67"/>
      <c r="BM221" s="156"/>
      <c r="BN221" s="66"/>
      <c r="BO221" s="67"/>
      <c r="BP221" s="67"/>
      <c r="BQ221" s="67"/>
      <c r="BR221" s="478"/>
      <c r="BS221" s="67"/>
      <c r="BT221" s="86"/>
      <c r="BU221" s="183"/>
      <c r="BV221" s="1"/>
      <c r="BW221" s="61">
        <f t="shared" si="224"/>
        <v>212</v>
      </c>
    </row>
    <row r="222" spans="2:75" x14ac:dyDescent="0.3">
      <c r="B222" s="171">
        <f t="shared" si="159"/>
        <v>44122</v>
      </c>
      <c r="C222" s="61"/>
      <c r="D222" s="17"/>
      <c r="E222" s="16"/>
      <c r="F222" s="16"/>
      <c r="G222" s="16"/>
      <c r="H222" s="16"/>
      <c r="I222" s="16"/>
      <c r="J222" s="479"/>
      <c r="K222" s="16"/>
      <c r="L222" s="16"/>
      <c r="M222" s="16"/>
      <c r="N222" s="16"/>
      <c r="O222" s="16"/>
      <c r="P222" s="41"/>
      <c r="Q222" s="453"/>
      <c r="R222" s="16"/>
      <c r="S222" s="60"/>
      <c r="T222" s="16"/>
      <c r="U222" s="41"/>
      <c r="V222" s="10"/>
      <c r="W222" s="34"/>
      <c r="X222" s="33"/>
      <c r="Y222" s="33"/>
      <c r="Z222" s="33"/>
      <c r="AA222" s="33"/>
      <c r="AB222" s="33"/>
      <c r="AC222" s="46"/>
      <c r="AD222" s="33"/>
      <c r="AE222" s="33"/>
      <c r="AF222" s="50"/>
      <c r="AG222" s="33"/>
      <c r="AH222" s="33"/>
      <c r="AI222" s="231"/>
      <c r="AJ222" s="50"/>
      <c r="AK222" s="10"/>
      <c r="AL222" s="23"/>
      <c r="AM222" s="24"/>
      <c r="AN222" s="24"/>
      <c r="AO222" s="24"/>
      <c r="AP222" s="24"/>
      <c r="AQ222" s="24"/>
      <c r="AR222" s="504"/>
      <c r="AS222" s="25"/>
      <c r="AT222" s="25"/>
      <c r="AU222" s="24"/>
      <c r="AV222" s="341"/>
      <c r="AW222" s="341"/>
      <c r="AX222" s="24"/>
      <c r="AY222" s="351"/>
      <c r="AZ222" s="10"/>
      <c r="BA222" s="66"/>
      <c r="BB222" s="67"/>
      <c r="BC222" s="67"/>
      <c r="BD222" s="67"/>
      <c r="BE222" s="67"/>
      <c r="BF222" s="67"/>
      <c r="BG222" s="156"/>
      <c r="BH222" s="67"/>
      <c r="BI222" s="183"/>
      <c r="BJ222" s="67"/>
      <c r="BK222" s="67"/>
      <c r="BL222" s="67"/>
      <c r="BM222" s="156"/>
      <c r="BN222" s="66"/>
      <c r="BO222" s="67"/>
      <c r="BP222" s="67"/>
      <c r="BQ222" s="67"/>
      <c r="BR222" s="478"/>
      <c r="BS222" s="67"/>
      <c r="BT222" s="86"/>
      <c r="BU222" s="183"/>
      <c r="BV222" s="1"/>
      <c r="BW222" s="61">
        <f t="shared" si="224"/>
        <v>213</v>
      </c>
    </row>
    <row r="223" spans="2:75" x14ac:dyDescent="0.3">
      <c r="B223" s="171">
        <f t="shared" si="159"/>
        <v>44123</v>
      </c>
      <c r="D223" s="18"/>
      <c r="E223" s="19"/>
      <c r="F223" s="19"/>
      <c r="G223" s="19"/>
      <c r="H223" s="19"/>
      <c r="I223" s="19"/>
      <c r="J223" s="39"/>
      <c r="K223" s="19"/>
      <c r="L223" s="19"/>
      <c r="M223" s="19"/>
      <c r="N223" s="19"/>
      <c r="O223" s="19"/>
      <c r="P223" s="43"/>
      <c r="Q223" s="18"/>
      <c r="R223" s="19"/>
      <c r="S223" s="19"/>
      <c r="T223" s="19"/>
      <c r="U223" s="43"/>
      <c r="V223" s="1"/>
      <c r="W223" s="35"/>
      <c r="X223" s="36"/>
      <c r="Y223" s="36"/>
      <c r="Z223" s="36"/>
      <c r="AA223" s="36"/>
      <c r="AB223" s="36"/>
      <c r="AC223" s="47"/>
      <c r="AD223" s="36"/>
      <c r="AE223" s="36"/>
      <c r="AF223" s="51"/>
      <c r="AG223" s="36"/>
      <c r="AH223" s="36"/>
      <c r="AI223" s="36"/>
      <c r="AJ223" s="51"/>
      <c r="AK223" s="1"/>
      <c r="AL223" s="26"/>
      <c r="AM223" s="27"/>
      <c r="AN223" s="27"/>
      <c r="AO223" s="27"/>
      <c r="AP223" s="27"/>
      <c r="AQ223" s="27"/>
      <c r="AR223" s="27"/>
      <c r="AS223" s="27"/>
      <c r="AT223" s="27"/>
      <c r="AU223" s="27"/>
      <c r="AV223" s="343"/>
      <c r="AW223" s="343"/>
      <c r="AX223" s="27"/>
      <c r="AY223" s="350"/>
      <c r="AZ223" s="1"/>
      <c r="BA223" s="68"/>
      <c r="BB223" s="69"/>
      <c r="BC223" s="69"/>
      <c r="BD223" s="69"/>
      <c r="BE223" s="69"/>
      <c r="BF223" s="69"/>
      <c r="BG223" s="69"/>
      <c r="BH223" s="69"/>
      <c r="BI223" s="184"/>
      <c r="BJ223" s="69"/>
      <c r="BK223" s="69"/>
      <c r="BL223" s="69"/>
      <c r="BM223" s="69"/>
      <c r="BN223" s="68"/>
      <c r="BO223" s="69"/>
      <c r="BP223" s="69"/>
      <c r="BQ223" s="69"/>
      <c r="BR223" s="71"/>
      <c r="BS223" s="69"/>
      <c r="BT223" s="69"/>
      <c r="BU223" s="184"/>
      <c r="BV223" s="1"/>
      <c r="BW223" s="61">
        <f>+BW215+1</f>
        <v>207</v>
      </c>
    </row>
    <row r="224" spans="2:75" x14ac:dyDescent="0.3">
      <c r="B224" s="56"/>
      <c r="D224" s="1"/>
      <c r="E224" s="1"/>
      <c r="F224" s="1"/>
      <c r="G224" s="1"/>
      <c r="H224" s="59"/>
      <c r="I224" s="1"/>
      <c r="J224" s="5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59"/>
      <c r="X224" s="1"/>
      <c r="Y224" s="1"/>
      <c r="Z224" s="1"/>
      <c r="AA224" s="1"/>
      <c r="AB224" s="1"/>
      <c r="AC224" s="59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59"/>
      <c r="BD224" s="1"/>
      <c r="BE224" s="59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</row>
    <row r="225" spans="2:85" x14ac:dyDescent="0.3">
      <c r="B225" s="179" t="s">
        <v>82</v>
      </c>
      <c r="D225" s="56">
        <f>+D215</f>
        <v>41935</v>
      </c>
      <c r="E225" s="56">
        <f>+E193</f>
        <v>0</v>
      </c>
      <c r="F225" s="56">
        <f>+F193</f>
        <v>0</v>
      </c>
      <c r="G225" s="56">
        <f>+G193</f>
        <v>0</v>
      </c>
      <c r="H225" s="56">
        <f t="shared" ref="H225:BS225" si="225">+H215</f>
        <v>7960558</v>
      </c>
      <c r="I225" s="56">
        <f t="shared" si="225"/>
        <v>0</v>
      </c>
      <c r="J225" s="56">
        <f t="shared" si="225"/>
        <v>5.2957439696270422E-3</v>
      </c>
      <c r="K225" s="56">
        <f t="shared" si="225"/>
        <v>0</v>
      </c>
      <c r="L225" s="56">
        <f t="shared" si="225"/>
        <v>0</v>
      </c>
      <c r="M225" s="56">
        <f t="shared" si="225"/>
        <v>0</v>
      </c>
      <c r="N225" s="56">
        <f t="shared" si="225"/>
        <v>340113</v>
      </c>
      <c r="O225" s="56">
        <f t="shared" si="225"/>
        <v>38643.485436893206</v>
      </c>
      <c r="P225" s="56">
        <f t="shared" si="225"/>
        <v>0</v>
      </c>
      <c r="Q225" s="56">
        <f t="shared" si="225"/>
        <v>0</v>
      </c>
      <c r="R225" s="56">
        <f t="shared" si="225"/>
        <v>0</v>
      </c>
      <c r="S225" s="56">
        <f t="shared" si="225"/>
        <v>0</v>
      </c>
      <c r="T225" s="56">
        <f t="shared" si="225"/>
        <v>0</v>
      </c>
      <c r="U225" s="56">
        <f t="shared" si="225"/>
        <v>0</v>
      </c>
      <c r="V225" s="56">
        <f t="shared" si="225"/>
        <v>107</v>
      </c>
      <c r="W225" s="56">
        <f t="shared" si="225"/>
        <v>325</v>
      </c>
      <c r="X225" s="56">
        <f t="shared" si="225"/>
        <v>0</v>
      </c>
      <c r="Y225" s="56">
        <f t="shared" si="225"/>
        <v>0</v>
      </c>
      <c r="Z225" s="56">
        <f t="shared" si="225"/>
        <v>0</v>
      </c>
      <c r="AA225" s="56">
        <f t="shared" si="225"/>
        <v>219500</v>
      </c>
      <c r="AB225" s="56">
        <f t="shared" si="225"/>
        <v>0</v>
      </c>
      <c r="AC225" s="56">
        <f t="shared" si="225"/>
        <v>2.757344397214366E-2</v>
      </c>
      <c r="AD225" s="56">
        <f t="shared" si="225"/>
        <v>0</v>
      </c>
      <c r="AE225" s="56">
        <f t="shared" si="225"/>
        <v>1065.5339805825242</v>
      </c>
      <c r="AF225" s="56">
        <f t="shared" si="225"/>
        <v>0</v>
      </c>
      <c r="AG225" s="56">
        <f t="shared" si="225"/>
        <v>4896</v>
      </c>
      <c r="AH225" s="56">
        <f t="shared" si="225"/>
        <v>458486287.35152841</v>
      </c>
      <c r="AI225" s="56">
        <f t="shared" si="225"/>
        <v>-5.0794881737107403E-2</v>
      </c>
      <c r="AJ225" s="56">
        <f t="shared" si="225"/>
        <v>0</v>
      </c>
      <c r="AK225" s="56">
        <f t="shared" si="225"/>
        <v>0</v>
      </c>
      <c r="AL225" s="56">
        <f t="shared" si="225"/>
        <v>38320</v>
      </c>
      <c r="AM225" s="56">
        <f t="shared" si="225"/>
        <v>0</v>
      </c>
      <c r="AN225" s="56">
        <f t="shared" si="225"/>
        <v>0</v>
      </c>
      <c r="AO225" s="56">
        <f t="shared" si="225"/>
        <v>178263</v>
      </c>
      <c r="AP225" s="56">
        <f t="shared" si="225"/>
        <v>5128162</v>
      </c>
      <c r="AQ225" s="56">
        <f t="shared" si="225"/>
        <v>0</v>
      </c>
      <c r="AR225" s="56">
        <f t="shared" si="225"/>
        <v>7.5287209308265365E-3</v>
      </c>
      <c r="AS225" s="56">
        <f t="shared" si="225"/>
        <v>0</v>
      </c>
      <c r="AT225" s="56">
        <f t="shared" si="225"/>
        <v>0</v>
      </c>
      <c r="AU225" s="56">
        <f t="shared" si="225"/>
        <v>0</v>
      </c>
      <c r="AV225" s="56">
        <f t="shared" si="225"/>
        <v>0.64419629880216944</v>
      </c>
      <c r="AW225" s="56">
        <f t="shared" si="225"/>
        <v>0</v>
      </c>
      <c r="AX225" s="56">
        <f t="shared" si="225"/>
        <v>24893.990291262136</v>
      </c>
      <c r="AY225" s="56">
        <f t="shared" si="225"/>
        <v>0</v>
      </c>
      <c r="AZ225" s="56">
        <f t="shared" si="225"/>
        <v>0</v>
      </c>
      <c r="BA225" s="56">
        <f t="shared" si="225"/>
        <v>885476</v>
      </c>
      <c r="BB225" s="56">
        <f t="shared" si="225"/>
        <v>0</v>
      </c>
      <c r="BC225" s="56">
        <f t="shared" si="225"/>
        <v>118486898</v>
      </c>
      <c r="BD225" s="56">
        <f t="shared" si="225"/>
        <v>0</v>
      </c>
      <c r="BE225" s="56">
        <f t="shared" si="225"/>
        <v>41935</v>
      </c>
      <c r="BF225" s="56">
        <f t="shared" si="225"/>
        <v>0</v>
      </c>
      <c r="BG225" s="56">
        <f t="shared" si="225"/>
        <v>4.7358708762292825E-2</v>
      </c>
      <c r="BH225" s="56">
        <f t="shared" si="225"/>
        <v>0</v>
      </c>
      <c r="BI225" s="56">
        <f t="shared" si="225"/>
        <v>0</v>
      </c>
      <c r="BJ225" s="56">
        <f t="shared" si="225"/>
        <v>0</v>
      </c>
      <c r="BK225" s="56">
        <f t="shared" si="225"/>
        <v>7016632</v>
      </c>
      <c r="BL225" s="56">
        <f t="shared" si="225"/>
        <v>0</v>
      </c>
      <c r="BM225" s="56">
        <f t="shared" si="225"/>
        <v>0</v>
      </c>
      <c r="BN225" s="56">
        <f t="shared" si="225"/>
        <v>575179.11650485441</v>
      </c>
      <c r="BO225" s="56">
        <f t="shared" si="225"/>
        <v>0</v>
      </c>
      <c r="BP225" s="56">
        <f t="shared" si="225"/>
        <v>7643250</v>
      </c>
      <c r="BQ225" s="56">
        <f t="shared" si="225"/>
        <v>0</v>
      </c>
      <c r="BR225" s="56">
        <f t="shared" si="225"/>
        <v>6.4507132256935273E-2</v>
      </c>
      <c r="BS225" s="56">
        <f t="shared" si="225"/>
        <v>0</v>
      </c>
      <c r="BT225" s="10"/>
      <c r="BU225" s="10"/>
      <c r="BV225" s="10"/>
      <c r="BW225" s="160"/>
      <c r="BX225" s="10"/>
      <c r="BY225" s="62"/>
      <c r="BZ225" s="10"/>
      <c r="CA225" s="160"/>
      <c r="CB225" s="61"/>
      <c r="CC225" s="61"/>
      <c r="CD225" s="61"/>
      <c r="CE225" s="61"/>
      <c r="CF225" s="61"/>
      <c r="CG225" s="157"/>
    </row>
    <row r="226" spans="2:85" x14ac:dyDescent="0.3">
      <c r="B226" t="s">
        <v>118</v>
      </c>
      <c r="D226" s="56">
        <f>+D214-D225</f>
        <v>8941</v>
      </c>
      <c r="E226" s="56">
        <f>+E192-E225</f>
        <v>0</v>
      </c>
      <c r="F226" s="56">
        <f>+F192-F225</f>
        <v>0</v>
      </c>
      <c r="G226" s="56">
        <f>+G192-G225</f>
        <v>0</v>
      </c>
      <c r="H226" s="56">
        <f t="shared" ref="H226:BS226" si="226">+H214-H225</f>
        <v>-41935</v>
      </c>
      <c r="I226" s="56">
        <f t="shared" si="226"/>
        <v>0</v>
      </c>
      <c r="J226" s="56">
        <f t="shared" si="226"/>
        <v>1.1706561319522286E-3</v>
      </c>
      <c r="K226" s="56">
        <f t="shared" si="226"/>
        <v>0</v>
      </c>
      <c r="L226" s="56">
        <f t="shared" si="226"/>
        <v>0</v>
      </c>
      <c r="M226" s="56">
        <f t="shared" si="226"/>
        <v>0</v>
      </c>
      <c r="N226" s="56">
        <f t="shared" si="226"/>
        <v>-7869</v>
      </c>
      <c r="O226" s="56">
        <f t="shared" si="226"/>
        <v>-16.056168600523961</v>
      </c>
      <c r="P226" s="56">
        <f t="shared" si="226"/>
        <v>0</v>
      </c>
      <c r="Q226" s="56">
        <f t="shared" si="226"/>
        <v>0</v>
      </c>
      <c r="R226" s="56">
        <f t="shared" si="226"/>
        <v>0</v>
      </c>
      <c r="S226" s="56">
        <f t="shared" si="226"/>
        <v>0</v>
      </c>
      <c r="T226" s="56">
        <f t="shared" si="226"/>
        <v>0</v>
      </c>
      <c r="U226" s="56">
        <f t="shared" si="226"/>
        <v>0</v>
      </c>
      <c r="V226" s="56">
        <f t="shared" si="226"/>
        <v>-1</v>
      </c>
      <c r="W226" s="56">
        <f t="shared" si="226"/>
        <v>310</v>
      </c>
      <c r="X226" s="56">
        <f t="shared" si="226"/>
        <v>0</v>
      </c>
      <c r="Y226" s="56">
        <f t="shared" si="226"/>
        <v>0</v>
      </c>
      <c r="Z226" s="56">
        <f t="shared" si="226"/>
        <v>0</v>
      </c>
      <c r="AA226" s="56">
        <f t="shared" si="226"/>
        <v>-325</v>
      </c>
      <c r="AB226" s="56">
        <f t="shared" si="226"/>
        <v>0</v>
      </c>
      <c r="AC226" s="56">
        <f t="shared" si="226"/>
        <v>1.0497941030553418E-4</v>
      </c>
      <c r="AD226" s="56">
        <f t="shared" si="226"/>
        <v>0</v>
      </c>
      <c r="AE226" s="56">
        <f t="shared" si="226"/>
        <v>3.6123608808904919</v>
      </c>
      <c r="AF226" s="56">
        <f t="shared" si="226"/>
        <v>0</v>
      </c>
      <c r="AG226" s="56">
        <f t="shared" si="226"/>
        <v>7</v>
      </c>
      <c r="AH226" s="56">
        <f t="shared" si="226"/>
        <v>46600</v>
      </c>
      <c r="AI226" s="56">
        <f t="shared" si="226"/>
        <v>1.179056970261113E-2</v>
      </c>
      <c r="AJ226" s="56">
        <f t="shared" si="226"/>
        <v>0</v>
      </c>
      <c r="AK226" s="56">
        <f t="shared" si="226"/>
        <v>0</v>
      </c>
      <c r="AL226" s="56">
        <f t="shared" si="226"/>
        <v>-12778</v>
      </c>
      <c r="AM226" s="56">
        <f t="shared" si="226"/>
        <v>0</v>
      </c>
      <c r="AN226" s="56">
        <f t="shared" si="226"/>
        <v>0</v>
      </c>
      <c r="AO226" s="56">
        <f t="shared" si="226"/>
        <v>0</v>
      </c>
      <c r="AP226" s="56">
        <f t="shared" si="226"/>
        <v>-38320</v>
      </c>
      <c r="AQ226" s="56">
        <f t="shared" si="226"/>
        <v>0</v>
      </c>
      <c r="AR226" s="56">
        <f t="shared" si="226"/>
        <v>-2.4851808561864083E-3</v>
      </c>
      <c r="AS226" s="56">
        <f t="shared" si="226"/>
        <v>0</v>
      </c>
      <c r="AT226" s="56">
        <f t="shared" si="226"/>
        <v>0</v>
      </c>
      <c r="AU226" s="56">
        <f t="shared" si="226"/>
        <v>0</v>
      </c>
      <c r="AV226" s="56">
        <f t="shared" si="226"/>
        <v>-1.4277265390373328E-3</v>
      </c>
      <c r="AW226" s="56">
        <f t="shared" si="226"/>
        <v>0</v>
      </c>
      <c r="AX226" s="56">
        <f t="shared" si="226"/>
        <v>-65.49273028652533</v>
      </c>
      <c r="AY226" s="56">
        <f t="shared" si="226"/>
        <v>0</v>
      </c>
      <c r="AZ226" s="56">
        <f t="shared" si="226"/>
        <v>0</v>
      </c>
      <c r="BA226" s="56">
        <f t="shared" si="226"/>
        <v>217811</v>
      </c>
      <c r="BB226" s="56">
        <f t="shared" si="226"/>
        <v>0</v>
      </c>
      <c r="BC226" s="56">
        <f t="shared" si="226"/>
        <v>-885476</v>
      </c>
      <c r="BD226" s="56">
        <f t="shared" si="226"/>
        <v>0</v>
      </c>
      <c r="BE226" s="56">
        <f t="shared" si="226"/>
        <v>8941</v>
      </c>
      <c r="BF226" s="56">
        <f t="shared" si="226"/>
        <v>0</v>
      </c>
      <c r="BG226" s="56">
        <f t="shared" si="226"/>
        <v>-1.2455940423695411E-3</v>
      </c>
      <c r="BH226" s="56">
        <f t="shared" si="226"/>
        <v>0</v>
      </c>
      <c r="BI226" s="56">
        <f t="shared" si="226"/>
        <v>0</v>
      </c>
      <c r="BJ226" s="56">
        <f t="shared" si="226"/>
        <v>0</v>
      </c>
      <c r="BK226" s="56">
        <f t="shared" si="226"/>
        <v>58507</v>
      </c>
      <c r="BL226" s="56">
        <f t="shared" si="226"/>
        <v>0</v>
      </c>
      <c r="BM226" s="56">
        <f t="shared" si="226"/>
        <v>0</v>
      </c>
      <c r="BN226" s="56">
        <f t="shared" si="226"/>
        <v>-1513.6433341227239</v>
      </c>
      <c r="BO226" s="56">
        <f t="shared" si="226"/>
        <v>0</v>
      </c>
      <c r="BP226" s="56">
        <f t="shared" si="226"/>
        <v>-41935</v>
      </c>
      <c r="BQ226" s="56">
        <f t="shared" si="226"/>
        <v>0</v>
      </c>
      <c r="BR226" s="56">
        <f t="shared" si="226"/>
        <v>1.2911848499878864E-4</v>
      </c>
      <c r="BS226" s="56">
        <f t="shared" si="226"/>
        <v>0</v>
      </c>
      <c r="BT226" s="10"/>
      <c r="BU226" s="10"/>
      <c r="BV226" s="10"/>
      <c r="BW226" s="62"/>
      <c r="BX226" s="10"/>
      <c r="BY226" s="10"/>
      <c r="BZ226" s="10"/>
      <c r="CA226" s="62"/>
      <c r="CB226" s="61"/>
      <c r="CC226" s="61"/>
      <c r="CD226" s="61"/>
      <c r="CE226" s="61"/>
      <c r="CF226" s="61"/>
      <c r="CG226" s="117"/>
    </row>
    <row r="227" spans="2:85" x14ac:dyDescent="0.3">
      <c r="B227" s="56"/>
      <c r="D227" s="56"/>
      <c r="H227" s="56"/>
      <c r="O227" s="59"/>
      <c r="AA227" s="56"/>
      <c r="AC227" s="59"/>
      <c r="AE227" s="273"/>
      <c r="BA227" s="59"/>
      <c r="BG227" s="59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61"/>
      <c r="CC227" s="117"/>
      <c r="CD227" s="117"/>
      <c r="CE227" s="117"/>
      <c r="CF227" s="117"/>
    </row>
    <row r="228" spans="2:85" x14ac:dyDescent="0.3">
      <c r="B228" s="56"/>
      <c r="D228" s="56">
        <f>SUM(D144:D173)</f>
        <v>1455371</v>
      </c>
      <c r="H228" s="1"/>
      <c r="J228" t="s">
        <v>157</v>
      </c>
      <c r="O228" s="1">
        <f>SUM(W194:W203)</f>
        <v>6954</v>
      </c>
      <c r="W228" s="56">
        <f>SUM(W175:W203)</f>
        <v>23087</v>
      </c>
      <c r="AA228" s="576">
        <f>SUM(W190:W203)</f>
        <v>10600</v>
      </c>
      <c r="BA228" s="59"/>
      <c r="BC228" s="56"/>
      <c r="BE228" s="59"/>
      <c r="BJ228" s="61"/>
      <c r="BK228" s="10">
        <f>+BK187</f>
        <v>4928581</v>
      </c>
      <c r="BL228" s="61"/>
      <c r="BM228" s="61"/>
      <c r="BN228" s="61"/>
      <c r="BO228" s="61"/>
      <c r="BP228" s="61"/>
      <c r="BQ228" s="61"/>
      <c r="BR228" s="61"/>
      <c r="BS228" s="10"/>
      <c r="BT228" s="10"/>
    </row>
    <row r="229" spans="2:85" x14ac:dyDescent="0.3">
      <c r="B229" s="56"/>
      <c r="D229" s="56">
        <f>SUM(D178:D209)</f>
        <v>1293177</v>
      </c>
      <c r="H229" s="56">
        <f>SUM(D113:D143)</f>
        <v>1970617</v>
      </c>
      <c r="W229" s="56">
        <f>+W228/29</f>
        <v>796.10344827586209</v>
      </c>
      <c r="AA229" s="1">
        <f>+AA228/14</f>
        <v>757.14285714285711</v>
      </c>
      <c r="AD229" s="1"/>
      <c r="AE229" s="1"/>
      <c r="AF229" s="1"/>
      <c r="AG229" s="1">
        <f>+AG225/7</f>
        <v>699.42857142857144</v>
      </c>
      <c r="AH229" s="1"/>
      <c r="AI229" s="1"/>
      <c r="AJ229" s="1"/>
      <c r="AK229" s="1"/>
      <c r="AL229" s="1"/>
      <c r="AM229" s="1"/>
      <c r="AN229" s="1"/>
      <c r="AO229" s="1"/>
      <c r="BC229" s="1">
        <f>SUM(BA144:BA174)</f>
        <v>24131128</v>
      </c>
      <c r="BE229" s="59">
        <f>+D228/BC229</f>
        <v>6.0310939463749894E-2</v>
      </c>
      <c r="BG229" t="s">
        <v>168</v>
      </c>
      <c r="BH229" s="108"/>
      <c r="BI229" s="108"/>
      <c r="BJ229" s="108"/>
      <c r="BK229" s="537"/>
      <c r="BL229" s="108"/>
      <c r="BM229" s="108"/>
      <c r="BN229" s="108"/>
      <c r="BO229" s="108"/>
      <c r="BP229" s="108"/>
      <c r="BQ229" s="108"/>
      <c r="BR229" s="90"/>
      <c r="BS229" s="1"/>
      <c r="BT229" s="1"/>
    </row>
    <row r="230" spans="2:85" x14ac:dyDescent="0.3">
      <c r="D230" s="1"/>
      <c r="E230" s="123" t="s">
        <v>28</v>
      </c>
      <c r="F230" s="124"/>
      <c r="H230" s="124" t="s">
        <v>67</v>
      </c>
      <c r="I230" s="116"/>
      <c r="J230" s="116"/>
      <c r="K230" s="61"/>
      <c r="L230" s="10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BC230" s="56">
        <f>SUM(BA178:BA209)</f>
        <v>27490645</v>
      </c>
      <c r="BE230" s="59">
        <f>+D229/BC230</f>
        <v>4.7040620545643799E-2</v>
      </c>
      <c r="BG230" t="s">
        <v>166</v>
      </c>
      <c r="BH230" s="108"/>
      <c r="BI230" s="108"/>
      <c r="BJ230" s="108"/>
      <c r="BK230" s="537">
        <f>+BK194-BK225</f>
        <v>-1253523</v>
      </c>
      <c r="BL230" s="108"/>
      <c r="BM230" s="108"/>
      <c r="BN230" s="108"/>
      <c r="BO230" s="108"/>
      <c r="BP230" s="108"/>
      <c r="BQ230" s="108"/>
      <c r="BR230" s="90"/>
      <c r="BS230" s="1"/>
      <c r="BT230" s="1"/>
    </row>
    <row r="231" spans="2:85" x14ac:dyDescent="0.3">
      <c r="B231" s="56"/>
      <c r="D231" s="1"/>
      <c r="E231" s="123" t="s">
        <v>40</v>
      </c>
      <c r="F231" s="124"/>
      <c r="H231" s="124" t="s">
        <v>42</v>
      </c>
      <c r="I231" s="10"/>
      <c r="J231" s="10"/>
      <c r="K231" s="61"/>
      <c r="L231" s="10"/>
      <c r="AD231" s="1"/>
      <c r="AE231" s="1"/>
      <c r="AF231" s="1"/>
      <c r="AG231" s="1"/>
      <c r="AH231" s="1"/>
      <c r="AI231" s="1"/>
      <c r="AJ231" s="1"/>
      <c r="AK231" s="1"/>
      <c r="AL231" s="1" t="s">
        <v>17</v>
      </c>
      <c r="AM231" s="1"/>
      <c r="AN231" s="1"/>
      <c r="AO231" s="1"/>
      <c r="BC231" s="56">
        <f>SUM(BA113:BB143)</f>
        <v>24295686</v>
      </c>
      <c r="BE231" s="59">
        <f>+H229/BC231</f>
        <v>8.1109749278122867E-2</v>
      </c>
      <c r="BG231" t="s">
        <v>167</v>
      </c>
      <c r="BH231" s="109"/>
      <c r="BI231" s="109"/>
      <c r="BJ231" s="109"/>
      <c r="BK231" s="537">
        <f>+BK187-BK225</f>
        <v>-2088051</v>
      </c>
      <c r="BL231" s="109"/>
      <c r="BM231" s="109"/>
      <c r="BN231" s="109"/>
      <c r="BO231" s="109"/>
      <c r="BP231" s="109"/>
      <c r="BQ231" s="109"/>
      <c r="BR231" s="90"/>
      <c r="BS231" s="1"/>
      <c r="BT231" s="1"/>
    </row>
    <row r="232" spans="2:85" x14ac:dyDescent="0.3">
      <c r="B232" s="273"/>
      <c r="D232" s="1"/>
      <c r="E232" s="123" t="s">
        <v>47</v>
      </c>
      <c r="F232" s="124"/>
      <c r="H232" s="124" t="s">
        <v>57</v>
      </c>
      <c r="I232" s="10"/>
      <c r="J232" s="10"/>
      <c r="K232" s="61"/>
      <c r="L232" s="10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BC232" s="56"/>
      <c r="BE232" s="59"/>
      <c r="BH232" s="109"/>
      <c r="BI232" s="109"/>
      <c r="BJ232" s="109"/>
      <c r="BK232" s="537"/>
      <c r="BL232" s="109"/>
      <c r="BM232" s="109"/>
      <c r="BN232" s="109"/>
      <c r="BO232" s="109"/>
      <c r="BP232" s="109"/>
      <c r="BQ232" s="109"/>
      <c r="BR232" s="90"/>
      <c r="BS232" s="1"/>
      <c r="BT232" s="1"/>
    </row>
    <row r="233" spans="2:85" x14ac:dyDescent="0.3">
      <c r="D233" s="1"/>
      <c r="E233" s="123" t="s">
        <v>68</v>
      </c>
      <c r="F233" s="61"/>
      <c r="H233" s="93" t="s">
        <v>149</v>
      </c>
      <c r="I233" s="61"/>
      <c r="J233" s="61"/>
      <c r="K233" s="61"/>
      <c r="L233" s="6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BA233">
        <v>400000</v>
      </c>
      <c r="BH233" s="109"/>
      <c r="BI233" s="109"/>
      <c r="BJ233" s="109"/>
      <c r="BK233" s="540"/>
      <c r="BL233" s="109"/>
      <c r="BM233" s="109"/>
      <c r="BN233" s="109"/>
      <c r="BO233" s="109"/>
      <c r="BP233" s="109"/>
      <c r="BQ233" s="109"/>
      <c r="BR233" s="90"/>
      <c r="BS233" s="1"/>
      <c r="BT233" s="1"/>
    </row>
    <row r="234" spans="2:85" x14ac:dyDescent="0.3">
      <c r="E234" s="123" t="s">
        <v>150</v>
      </c>
      <c r="H234" s="93" t="s">
        <v>151</v>
      </c>
      <c r="AD234" s="1"/>
      <c r="AE234" s="1"/>
      <c r="AF234" s="1"/>
      <c r="AG234" s="1"/>
      <c r="AH234" s="1"/>
      <c r="AI234" s="1"/>
      <c r="BA234">
        <v>0.05</v>
      </c>
      <c r="BD234" s="90"/>
      <c r="BE234" s="90"/>
      <c r="BF234" s="90"/>
      <c r="BG234" s="90"/>
      <c r="BH234" s="90"/>
      <c r="BI234" s="90"/>
      <c r="BJ234" s="90"/>
      <c r="BK234" s="538"/>
      <c r="BL234" s="90"/>
      <c r="BM234" s="90"/>
      <c r="BN234" s="90"/>
      <c r="BO234" s="90"/>
      <c r="BP234" s="90"/>
      <c r="BQ234" s="90"/>
      <c r="BR234" s="90"/>
      <c r="BS234" s="1"/>
      <c r="BT234" s="1"/>
    </row>
    <row r="235" spans="2:85" x14ac:dyDescent="0.3">
      <c r="B235" s="56">
        <f>SUM(D144:D174)</f>
        <v>1493931</v>
      </c>
      <c r="AD235" s="1"/>
      <c r="AE235" s="1"/>
      <c r="AF235" s="1"/>
      <c r="AG235" s="1"/>
      <c r="AH235" s="1"/>
      <c r="AI235" s="1"/>
      <c r="BA235">
        <f>+BA233*BA234</f>
        <v>20000</v>
      </c>
      <c r="BK235" s="539"/>
    </row>
    <row r="236" spans="2:85" ht="15" thickBot="1" x14ac:dyDescent="0.35">
      <c r="D236" s="56"/>
      <c r="AD236" s="1"/>
      <c r="AE236" s="1"/>
      <c r="AF236" s="1"/>
      <c r="AG236" s="1"/>
      <c r="AH236" s="1"/>
      <c r="AI236" s="528"/>
      <c r="AJ236" s="529"/>
      <c r="AK236" s="529"/>
      <c r="AL236" s="529"/>
      <c r="AM236" s="529"/>
      <c r="AN236" s="529"/>
      <c r="AO236" s="529"/>
      <c r="AP236" s="529"/>
      <c r="AQ236" s="529"/>
      <c r="AR236" s="529"/>
      <c r="AS236" s="529"/>
      <c r="AT236" s="529"/>
      <c r="AU236" s="529"/>
      <c r="AV236" s="529"/>
      <c r="AW236" s="529"/>
      <c r="AX236" s="529"/>
      <c r="AZ236" s="118"/>
      <c r="BA236" s="118"/>
      <c r="BB236" s="118"/>
      <c r="BC236" s="118"/>
      <c r="BK236" s="1"/>
    </row>
    <row r="237" spans="2:85" x14ac:dyDescent="0.3">
      <c r="D237" s="575">
        <v>4900</v>
      </c>
      <c r="J237" s="530">
        <f>+BR125</f>
        <v>7.4075240343216359E-2</v>
      </c>
      <c r="V237" s="118"/>
      <c r="AA237" s="56"/>
      <c r="AD237" s="1"/>
      <c r="AE237" s="1"/>
      <c r="AF237" s="1"/>
      <c r="AG237" s="1"/>
      <c r="AH237" s="1"/>
      <c r="AI237" s="528"/>
      <c r="AJ237" s="507"/>
      <c r="AK237" s="508"/>
      <c r="AL237" s="508"/>
      <c r="AM237" s="508"/>
      <c r="AN237" s="508"/>
      <c r="AO237" s="508"/>
      <c r="AP237" s="508"/>
      <c r="AQ237" s="508"/>
      <c r="AR237" s="508"/>
      <c r="AS237" s="508"/>
      <c r="AT237" s="508"/>
      <c r="AU237" s="508"/>
      <c r="AV237" s="508"/>
      <c r="AW237" s="509"/>
      <c r="AX237" s="529"/>
      <c r="AZ237" s="118"/>
      <c r="BA237" s="118"/>
      <c r="BB237" s="118"/>
      <c r="BC237" s="118"/>
      <c r="BK237" s="56"/>
    </row>
    <row r="238" spans="2:85" x14ac:dyDescent="0.3">
      <c r="D238" s="1">
        <v>1000000</v>
      </c>
      <c r="J238" s="232">
        <f>+AC125</f>
        <v>3.9597054700687709E-2</v>
      </c>
      <c r="AD238" s="1"/>
      <c r="AE238" s="1"/>
      <c r="AF238" s="1"/>
      <c r="AG238" s="1"/>
      <c r="AH238" s="1"/>
      <c r="AI238" s="528"/>
      <c r="AJ238" s="510"/>
      <c r="AK238" s="599" t="s">
        <v>156</v>
      </c>
      <c r="AL238" s="599"/>
      <c r="AM238" s="599"/>
      <c r="AN238" s="599"/>
      <c r="AO238" s="599"/>
      <c r="AP238" s="599"/>
      <c r="AQ238" s="599"/>
      <c r="AR238" s="599"/>
      <c r="AS238" s="599"/>
      <c r="AT238" s="599"/>
      <c r="AU238" s="599"/>
      <c r="AV238" s="599"/>
      <c r="AW238" s="511"/>
      <c r="AX238" s="529"/>
      <c r="AZ238" s="118"/>
      <c r="BA238" s="118"/>
      <c r="BB238" s="118"/>
      <c r="BC238" s="118"/>
    </row>
    <row r="239" spans="2:85" ht="15.6" x14ac:dyDescent="0.3">
      <c r="J239" s="57">
        <f>+J237*J238</f>
        <v>2.9331613438369269E-3</v>
      </c>
      <c r="AD239" s="1"/>
      <c r="AE239" s="1"/>
      <c r="AF239" s="1"/>
      <c r="AG239" s="1"/>
      <c r="AH239" s="1"/>
      <c r="AI239" s="528"/>
      <c r="AJ239" s="510"/>
      <c r="AK239" s="599" t="s">
        <v>155</v>
      </c>
      <c r="AL239" s="599"/>
      <c r="AM239" s="599"/>
      <c r="AN239" s="599"/>
      <c r="AO239" s="516"/>
      <c r="AP239" s="517" t="s">
        <v>20</v>
      </c>
      <c r="AQ239" s="516"/>
      <c r="AR239" s="517" t="s">
        <v>4</v>
      </c>
      <c r="AS239" s="518"/>
      <c r="AT239" s="518"/>
      <c r="AU239" s="518"/>
      <c r="AV239" s="522" t="s">
        <v>10</v>
      </c>
      <c r="AW239" s="511"/>
      <c r="AX239" s="529"/>
      <c r="AZ239" s="118"/>
      <c r="BA239" s="118"/>
      <c r="BB239" s="118"/>
      <c r="BC239" s="118"/>
    </row>
    <row r="240" spans="2:85" ht="15.6" x14ac:dyDescent="0.3">
      <c r="AD240" s="1"/>
      <c r="AE240" s="1"/>
      <c r="AF240" s="1"/>
      <c r="AG240" s="1"/>
      <c r="AH240" s="1"/>
      <c r="AI240" s="528"/>
      <c r="AJ240" s="510"/>
      <c r="AK240" s="597" t="s">
        <v>152</v>
      </c>
      <c r="AL240" s="597"/>
      <c r="AM240" s="597"/>
      <c r="AN240" s="597"/>
      <c r="AO240" s="516"/>
      <c r="AP240" s="519">
        <f>+AH50</f>
        <v>898992</v>
      </c>
      <c r="AQ240" s="520"/>
      <c r="AR240" s="519">
        <f>+AH51</f>
        <v>55687</v>
      </c>
      <c r="AS240" s="521"/>
      <c r="AT240" s="521"/>
      <c r="AU240" s="521"/>
      <c r="AV240" s="535">
        <f>+AR240/AP240</f>
        <v>6.194382152455194E-2</v>
      </c>
      <c r="AW240" s="511"/>
      <c r="AX240" s="529"/>
      <c r="AZ240" s="118"/>
      <c r="BA240" s="118"/>
      <c r="BB240" s="118"/>
      <c r="BC240" s="118"/>
    </row>
    <row r="241" spans="2:87" ht="15.6" x14ac:dyDescent="0.3">
      <c r="D241" s="277">
        <f>+D237/D238</f>
        <v>4.8999999999999998E-3</v>
      </c>
      <c r="AD241" s="1"/>
      <c r="AE241" s="1"/>
      <c r="AF241" s="1"/>
      <c r="AG241" s="1"/>
      <c r="AH241" s="1"/>
      <c r="AI241" s="528"/>
      <c r="AJ241" s="510"/>
      <c r="AK241" s="600" t="s">
        <v>153</v>
      </c>
      <c r="AL241" s="598"/>
      <c r="AM241" s="598"/>
      <c r="AN241" s="598"/>
      <c r="AO241" s="65"/>
      <c r="AP241" s="512">
        <f>+AG83</f>
        <v>742147</v>
      </c>
      <c r="AQ241" s="65"/>
      <c r="AR241" s="512">
        <f>+AG84</f>
        <v>42339</v>
      </c>
      <c r="AS241" s="65"/>
      <c r="AT241" s="65"/>
      <c r="AU241" s="65"/>
      <c r="AV241" s="533">
        <f>+AR241/AP241</f>
        <v>5.7049344671608188E-2</v>
      </c>
      <c r="AW241" s="511"/>
      <c r="AX241" s="529"/>
      <c r="AZ241" s="118"/>
      <c r="BA241" s="118"/>
      <c r="BB241" s="118"/>
      <c r="BC241" s="118"/>
    </row>
    <row r="242" spans="2:87" ht="15.6" x14ac:dyDescent="0.3">
      <c r="AD242" s="1"/>
      <c r="AE242" s="1"/>
      <c r="AF242" s="1"/>
      <c r="AG242" s="1"/>
      <c r="AH242" s="1"/>
      <c r="AI242" s="528"/>
      <c r="AJ242" s="510"/>
      <c r="AK242" s="598" t="s">
        <v>154</v>
      </c>
      <c r="AL242" s="598"/>
      <c r="AM242" s="598"/>
      <c r="AN242" s="598"/>
      <c r="AO242" s="65"/>
      <c r="AP242" s="512">
        <f>+AH113</f>
        <v>869627</v>
      </c>
      <c r="AQ242" s="65"/>
      <c r="AR242" s="512">
        <f>+AH114</f>
        <v>21252</v>
      </c>
      <c r="AS242" s="65"/>
      <c r="AT242" s="65"/>
      <c r="AU242" s="65"/>
      <c r="AV242" s="533">
        <f>+AR242/AP242</f>
        <v>2.4438063675575852E-2</v>
      </c>
      <c r="AW242" s="511"/>
      <c r="AX242" s="529"/>
      <c r="AZ242" s="118"/>
      <c r="BA242" s="118"/>
      <c r="BB242" s="118"/>
      <c r="BC242" s="118"/>
    </row>
    <row r="243" spans="2:87" ht="15.6" x14ac:dyDescent="0.3">
      <c r="D243" s="471">
        <v>32000</v>
      </c>
      <c r="AD243" s="1"/>
      <c r="AE243" s="1"/>
      <c r="AF243" s="1"/>
      <c r="AG243" s="1"/>
      <c r="AH243" s="1"/>
      <c r="AI243" s="528"/>
      <c r="AJ243" s="510"/>
      <c r="AK243" s="598" t="s">
        <v>158</v>
      </c>
      <c r="AL243" s="598"/>
      <c r="AM243" s="598"/>
      <c r="AN243" s="598"/>
      <c r="AO243" s="65"/>
      <c r="AP243" s="512">
        <f>+AG246</f>
        <v>1970617</v>
      </c>
      <c r="AQ243" s="65"/>
      <c r="AR243" s="512">
        <f>+AG248</f>
        <v>25901</v>
      </c>
      <c r="AS243" s="65"/>
      <c r="AT243" s="65"/>
      <c r="AU243" s="65"/>
      <c r="AV243" s="533">
        <f>+AR243/AP243</f>
        <v>1.3143599187462607E-2</v>
      </c>
      <c r="AW243" s="511"/>
      <c r="AX243" s="529"/>
    </row>
    <row r="244" spans="2:87" ht="15" thickBot="1" x14ac:dyDescent="0.35">
      <c r="B244" s="470"/>
      <c r="D244" s="277"/>
      <c r="AD244" s="1"/>
      <c r="AE244" s="1"/>
      <c r="AF244" s="1"/>
      <c r="AG244" s="1"/>
      <c r="AH244" s="1"/>
      <c r="AI244" s="528"/>
      <c r="AJ244" s="510"/>
      <c r="AK244" s="523"/>
      <c r="AL244" s="523"/>
      <c r="AM244" s="523"/>
      <c r="AN244" s="523"/>
      <c r="AO244" s="524"/>
      <c r="AP244" s="525"/>
      <c r="AQ244" s="524"/>
      <c r="AR244" s="525"/>
      <c r="AS244" s="524"/>
      <c r="AT244" s="524"/>
      <c r="AU244" s="524"/>
      <c r="AV244" s="526"/>
      <c r="AW244" s="511"/>
      <c r="AX244" s="529"/>
    </row>
    <row r="245" spans="2:87" ht="15.6" x14ac:dyDescent="0.3">
      <c r="B245" s="470"/>
      <c r="D245" s="277"/>
      <c r="AD245" s="1"/>
      <c r="AE245" s="1"/>
      <c r="AF245" s="1"/>
      <c r="AG245" s="1"/>
      <c r="AH245" s="1"/>
      <c r="AI245" s="528"/>
      <c r="AJ245" s="510"/>
      <c r="AK245" s="597" t="s">
        <v>152</v>
      </c>
      <c r="AL245" s="597"/>
      <c r="AM245" s="597"/>
      <c r="AN245" s="597"/>
      <c r="AO245" s="65"/>
      <c r="AP245" s="512"/>
      <c r="AQ245" s="65"/>
      <c r="AR245" s="512">
        <f>+AR240</f>
        <v>55687</v>
      </c>
      <c r="AS245" s="65"/>
      <c r="AT245" s="65"/>
      <c r="AU245" s="65"/>
      <c r="AV245" s="156"/>
      <c r="AW245" s="511"/>
      <c r="AX245" s="529"/>
    </row>
    <row r="246" spans="2:87" ht="15.6" x14ac:dyDescent="0.3">
      <c r="B246" s="470"/>
      <c r="D246" s="277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10"/>
      <c r="AE246" s="10"/>
      <c r="AF246" s="1"/>
      <c r="AG246" s="33">
        <f>SUM(D113:D143)</f>
        <v>1970617</v>
      </c>
      <c r="AH246" s="1"/>
      <c r="AI246" s="528"/>
      <c r="AJ246" s="510"/>
      <c r="AK246" s="598" t="s">
        <v>158</v>
      </c>
      <c r="AL246" s="598"/>
      <c r="AM246" s="598"/>
      <c r="AN246" s="64"/>
      <c r="AO246" s="65"/>
      <c r="AP246" s="512"/>
      <c r="AQ246" s="65"/>
      <c r="AR246" s="512">
        <f>+AR243</f>
        <v>25901</v>
      </c>
      <c r="AS246" s="65"/>
      <c r="AT246" s="65"/>
      <c r="AU246" s="65"/>
      <c r="AV246" s="156"/>
      <c r="AW246" s="511"/>
      <c r="AX246" s="529"/>
    </row>
    <row r="247" spans="2:87" ht="15.6" x14ac:dyDescent="0.3">
      <c r="B247" s="470"/>
      <c r="D247" s="277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10"/>
      <c r="AE247" s="10"/>
      <c r="AF247" s="1"/>
      <c r="AG247" s="33">
        <f>SUM(W125:W138)</f>
        <v>12117</v>
      </c>
      <c r="AH247" s="1"/>
      <c r="AI247" s="528"/>
      <c r="AJ247" s="510"/>
      <c r="AK247" s="64"/>
      <c r="AL247" s="541" t="s">
        <v>3</v>
      </c>
      <c r="AM247" s="64"/>
      <c r="AN247" s="64"/>
      <c r="AO247" s="65"/>
      <c r="AP247" s="512"/>
      <c r="AQ247" s="65"/>
      <c r="AR247" s="512">
        <f>+AR245-AR246</f>
        <v>29786</v>
      </c>
      <c r="AS247" s="65"/>
      <c r="AT247" s="65"/>
      <c r="AU247" s="65"/>
      <c r="AV247" s="527">
        <f>+AR247/AR245</f>
        <v>0.53488246808052153</v>
      </c>
      <c r="AW247" s="511"/>
      <c r="AX247" s="529"/>
    </row>
    <row r="248" spans="2:87" ht="15" thickBot="1" x14ac:dyDescent="0.35">
      <c r="D248" s="470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10"/>
      <c r="AE248" s="10"/>
      <c r="AF248" s="1"/>
      <c r="AG248" s="33">
        <f>SUM(W113:W143)</f>
        <v>25901</v>
      </c>
      <c r="AH248" s="1"/>
      <c r="AI248" s="528"/>
      <c r="AJ248" s="513"/>
      <c r="AK248" s="514"/>
      <c r="AL248" s="514"/>
      <c r="AM248" s="514"/>
      <c r="AN248" s="514"/>
      <c r="AO248" s="514"/>
      <c r="AP248" s="514"/>
      <c r="AQ248" s="514"/>
      <c r="AR248" s="514"/>
      <c r="AS248" s="514"/>
      <c r="AT248" s="514"/>
      <c r="AU248" s="514"/>
      <c r="AV248" s="514"/>
      <c r="AW248" s="515"/>
      <c r="AX248" s="529"/>
      <c r="BD248" s="90"/>
      <c r="BE248" s="90"/>
      <c r="BF248" s="90"/>
      <c r="BG248" s="90"/>
      <c r="BH248" s="90"/>
      <c r="BI248" s="90"/>
      <c r="BJ248" s="90"/>
      <c r="BK248" s="90"/>
      <c r="BL248" s="90"/>
      <c r="BM248" s="90"/>
      <c r="BN248" s="90"/>
      <c r="BO248" s="90"/>
      <c r="BP248" s="90"/>
      <c r="BQ248" s="90"/>
      <c r="BR248" s="90"/>
      <c r="BS248" s="1"/>
      <c r="BT248" s="1"/>
      <c r="BU248" s="1"/>
      <c r="BV248" s="1"/>
      <c r="BW248" s="90"/>
      <c r="BX248" s="90"/>
      <c r="BY248" s="90"/>
      <c r="BZ248" s="90"/>
      <c r="CA248" s="90"/>
      <c r="CB248" s="90"/>
      <c r="CC248" s="90"/>
      <c r="CD248" s="90"/>
      <c r="CE248" s="90"/>
      <c r="CF248" s="90"/>
      <c r="CG248" s="90"/>
      <c r="CH248" s="90"/>
      <c r="CI248" s="90"/>
    </row>
    <row r="249" spans="2:87" x14ac:dyDescent="0.3"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10"/>
      <c r="AE249" s="10"/>
      <c r="AF249" s="10"/>
      <c r="AG249" s="10"/>
      <c r="AH249" s="10"/>
      <c r="AI249" s="528"/>
      <c r="AJ249" s="529"/>
      <c r="AK249" s="529"/>
      <c r="AL249" s="529"/>
      <c r="AM249" s="529"/>
      <c r="AN249" s="529"/>
      <c r="AO249" s="529"/>
      <c r="AP249" s="529"/>
      <c r="AQ249" s="529"/>
      <c r="AR249" s="529"/>
      <c r="AS249" s="529"/>
      <c r="AT249" s="529"/>
      <c r="AU249" s="529"/>
      <c r="AV249" s="529"/>
      <c r="AW249" s="529"/>
      <c r="AX249" s="529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89"/>
      <c r="BX249" s="89"/>
      <c r="BY249" s="89"/>
      <c r="BZ249" s="89"/>
      <c r="CA249" s="121"/>
      <c r="CB249" s="1"/>
      <c r="CC249" s="1"/>
      <c r="CD249" s="1"/>
      <c r="CE249" s="1"/>
      <c r="CF249" s="1"/>
      <c r="CG249" s="1"/>
      <c r="CH249" s="1"/>
      <c r="CI249" s="1"/>
    </row>
    <row r="250" spans="2:87" x14ac:dyDescent="0.3">
      <c r="D250">
        <v>10</v>
      </c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10"/>
      <c r="AE250" s="10"/>
      <c r="AF250" s="10"/>
      <c r="AG250" s="10"/>
      <c r="AH250" s="10"/>
      <c r="AI250" s="10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89"/>
      <c r="BX250" s="89"/>
      <c r="BY250" s="89"/>
      <c r="BZ250" s="89"/>
      <c r="CA250" s="89"/>
      <c r="CB250" s="1"/>
      <c r="CC250" s="1"/>
      <c r="CD250" s="1"/>
      <c r="CE250" s="1"/>
      <c r="CF250" s="1"/>
      <c r="CG250" s="1"/>
      <c r="CH250" s="1"/>
      <c r="CI250" s="1"/>
    </row>
    <row r="251" spans="2:87" x14ac:dyDescent="0.3">
      <c r="D251" s="1">
        <v>77000000</v>
      </c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10"/>
      <c r="AE251" s="10"/>
      <c r="AF251" s="10"/>
      <c r="AG251" s="10"/>
      <c r="AH251" s="10"/>
      <c r="AI251" s="10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89"/>
      <c r="BX251" s="89"/>
      <c r="BY251" s="89"/>
      <c r="BZ251" s="89"/>
      <c r="CA251" s="89"/>
      <c r="CB251" s="1"/>
      <c r="CC251" s="1"/>
      <c r="CD251" s="1"/>
      <c r="CE251" s="1"/>
      <c r="CF251" s="1"/>
      <c r="CG251" s="1"/>
    </row>
    <row r="252" spans="2:87" x14ac:dyDescent="0.3">
      <c r="D252" s="57">
        <f>+D251/D254</f>
        <v>0.23262839879154079</v>
      </c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10"/>
      <c r="AE252" s="10"/>
      <c r="AF252" s="10"/>
      <c r="AG252" s="545"/>
      <c r="AH252" s="10"/>
      <c r="AI252" s="10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89"/>
      <c r="BX252" s="89"/>
      <c r="BY252" s="89"/>
      <c r="BZ252" s="89"/>
      <c r="CA252" s="89"/>
      <c r="CB252" s="1"/>
      <c r="CC252" s="1"/>
      <c r="CD252" s="1"/>
      <c r="CE252" s="1"/>
      <c r="CF252" s="1"/>
      <c r="CG252" s="1"/>
    </row>
    <row r="253" spans="2:87" x14ac:dyDescent="0.3"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10"/>
      <c r="AE253" s="10"/>
      <c r="AF253" s="551"/>
      <c r="AG253" s="570"/>
      <c r="AH253" s="551"/>
      <c r="AI253" s="551"/>
      <c r="AJ253" s="544"/>
      <c r="AK253" s="544"/>
      <c r="AL253" s="544"/>
      <c r="AM253" s="544"/>
      <c r="AN253" s="544"/>
      <c r="AO253" s="544"/>
      <c r="AP253" s="544"/>
      <c r="AQ253" s="544"/>
      <c r="AR253" s="544"/>
      <c r="AS253" s="544"/>
      <c r="AT253" s="544"/>
      <c r="AU253" s="544"/>
      <c r="AV253" s="544"/>
      <c r="AW253" s="544"/>
      <c r="AX253" s="544"/>
      <c r="AY253" s="544"/>
      <c r="AZ253" s="544"/>
      <c r="BA253" s="544"/>
      <c r="BB253" s="544"/>
      <c r="BC253" s="544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89"/>
      <c r="BX253" s="89"/>
      <c r="BY253" s="122"/>
      <c r="BZ253" s="89"/>
      <c r="CA253" s="89"/>
    </row>
    <row r="254" spans="2:87" x14ac:dyDescent="0.3">
      <c r="D254" s="1">
        <v>331000000</v>
      </c>
      <c r="H254">
        <v>0.13400000000000001</v>
      </c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10"/>
      <c r="AE254" s="10"/>
      <c r="AF254" s="551"/>
      <c r="AG254" s="571"/>
      <c r="AH254" s="551"/>
      <c r="AI254" s="551"/>
      <c r="AJ254" s="568"/>
      <c r="AK254" s="568"/>
      <c r="AL254" s="569"/>
      <c r="AM254" s="569"/>
      <c r="AN254" s="569"/>
      <c r="AO254" s="569"/>
      <c r="AP254" s="569"/>
      <c r="AQ254" s="569"/>
      <c r="AR254" s="569"/>
      <c r="AS254" s="569"/>
      <c r="AT254" s="569"/>
      <c r="AU254" s="569"/>
      <c r="AV254" s="569"/>
      <c r="AW254" s="569"/>
      <c r="AX254" s="569"/>
      <c r="AY254" s="569"/>
      <c r="AZ254" s="569"/>
      <c r="BA254" s="569"/>
      <c r="BB254" s="568"/>
      <c r="BC254" s="568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89"/>
      <c r="BX254" s="89"/>
      <c r="BY254" s="89"/>
      <c r="BZ254" s="89"/>
      <c r="CA254" s="89"/>
    </row>
    <row r="255" spans="2:87" x14ac:dyDescent="0.3">
      <c r="D255" s="1">
        <f>+D254*H254</f>
        <v>44354000</v>
      </c>
      <c r="H255" s="1">
        <f>+D255*0.001</f>
        <v>44354</v>
      </c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10"/>
      <c r="AE255" s="10"/>
      <c r="AF255" s="551"/>
      <c r="AG255" s="570"/>
      <c r="AH255" s="551"/>
      <c r="AI255" s="551"/>
      <c r="AJ255" s="568"/>
      <c r="AK255" s="568"/>
      <c r="AL255" s="150"/>
      <c r="AM255" s="150"/>
      <c r="AN255" s="150"/>
      <c r="AO255" s="150"/>
      <c r="AP255" s="150"/>
      <c r="AQ255" s="150"/>
      <c r="AR255" s="150"/>
      <c r="AS255" s="90"/>
      <c r="AT255" s="90"/>
      <c r="AU255" s="90"/>
      <c r="AV255" s="110"/>
      <c r="AW255" s="110"/>
      <c r="AX255" s="110"/>
      <c r="AY255" s="110"/>
      <c r="AZ255" s="568"/>
      <c r="BA255" s="568"/>
      <c r="BB255" s="574"/>
      <c r="BC255" s="568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89"/>
      <c r="BX255" s="89"/>
      <c r="BY255" s="89"/>
      <c r="BZ255" s="89"/>
      <c r="CA255" s="89"/>
    </row>
    <row r="256" spans="2:87" x14ac:dyDescent="0.3">
      <c r="D256" s="468">
        <v>7.1999999999999995E-2</v>
      </c>
      <c r="H256" s="1">
        <f>+AA204*H254</f>
        <v>28372.222000000002</v>
      </c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10"/>
      <c r="AE256" s="10"/>
      <c r="AF256" s="551"/>
      <c r="AG256" s="570">
        <v>44031</v>
      </c>
      <c r="AH256" s="551"/>
      <c r="AI256" s="551"/>
      <c r="AJ256" s="568"/>
      <c r="AK256" s="568"/>
      <c r="AL256" s="150"/>
      <c r="AM256" s="150"/>
      <c r="AN256" s="150"/>
      <c r="AO256" s="150"/>
      <c r="AP256" s="150"/>
      <c r="AQ256" s="150"/>
      <c r="AR256" s="150"/>
      <c r="AS256" s="150"/>
      <c r="AT256" s="110"/>
      <c r="AU256" s="90"/>
      <c r="AV256" s="110"/>
      <c r="AW256" s="110"/>
      <c r="AX256" s="110"/>
      <c r="AY256" s="110"/>
      <c r="AZ256" s="568"/>
      <c r="BA256" s="568"/>
      <c r="BB256" s="574"/>
      <c r="BC256" s="568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89"/>
      <c r="BX256" s="89"/>
      <c r="BY256" s="89"/>
      <c r="BZ256" s="89"/>
      <c r="CA256" s="89"/>
    </row>
    <row r="257" spans="2:79" x14ac:dyDescent="0.3"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10"/>
      <c r="AE257" s="10"/>
      <c r="AF257" s="551"/>
      <c r="AG257" s="570">
        <v>44038</v>
      </c>
      <c r="AH257" s="551"/>
      <c r="AI257" s="551"/>
      <c r="AJ257" s="568"/>
      <c r="AK257" s="568"/>
      <c r="AL257" s="90"/>
      <c r="AM257" s="90"/>
      <c r="AN257" s="151"/>
      <c r="AO257" s="151"/>
      <c r="AP257" s="151"/>
      <c r="AQ257" s="151"/>
      <c r="AR257" s="151"/>
      <c r="AS257" s="90"/>
      <c r="AT257" s="90"/>
      <c r="AU257" s="90"/>
      <c r="AV257" s="110"/>
      <c r="AW257" s="110"/>
      <c r="AX257" s="110"/>
      <c r="AY257" s="110"/>
      <c r="AZ257" s="568"/>
      <c r="BA257" s="568"/>
      <c r="BB257" s="574"/>
      <c r="BC257" s="568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89"/>
      <c r="BX257" s="89"/>
      <c r="BY257" s="89"/>
      <c r="BZ257" s="89"/>
      <c r="CA257" s="89"/>
    </row>
    <row r="258" spans="2:79" x14ac:dyDescent="0.3">
      <c r="D258" s="277">
        <v>4.2000000000000003E-2</v>
      </c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10"/>
      <c r="AE258" s="10"/>
      <c r="AF258" s="551"/>
      <c r="AG258" s="570">
        <v>44045</v>
      </c>
      <c r="AH258" s="551"/>
      <c r="AI258" s="551"/>
      <c r="AJ258" s="568"/>
      <c r="AK258" s="568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10"/>
      <c r="AW258" s="110"/>
      <c r="AX258" s="110"/>
      <c r="AY258" s="110"/>
      <c r="AZ258" s="568"/>
      <c r="BA258" s="568"/>
      <c r="BB258" s="574"/>
      <c r="BC258" s="568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</row>
    <row r="259" spans="2:79" x14ac:dyDescent="0.3">
      <c r="D259" s="575">
        <f>+D254*D256*D258</f>
        <v>1000944.0000000001</v>
      </c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10"/>
      <c r="AE259" s="10"/>
      <c r="AF259" s="551"/>
      <c r="AG259" s="570">
        <v>44052</v>
      </c>
      <c r="AH259" s="551"/>
      <c r="AI259" s="551"/>
      <c r="AJ259" s="568"/>
      <c r="AK259" s="568"/>
      <c r="AL259" s="90"/>
      <c r="AM259" s="90"/>
      <c r="AN259" s="151"/>
      <c r="AO259" s="151"/>
      <c r="AP259" s="151"/>
      <c r="AQ259" s="151"/>
      <c r="AR259" s="151"/>
      <c r="AS259" s="151"/>
      <c r="AT259" s="151"/>
      <c r="AU259" s="90"/>
      <c r="AV259" s="110"/>
      <c r="AW259" s="110"/>
      <c r="AX259" s="110"/>
      <c r="AY259" s="110"/>
      <c r="AZ259" s="568"/>
      <c r="BA259" s="568"/>
      <c r="BB259" s="574"/>
      <c r="BC259" s="568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</row>
    <row r="260" spans="2:79" x14ac:dyDescent="0.3"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10"/>
      <c r="AE260" s="10"/>
      <c r="AF260" s="551"/>
      <c r="AG260" s="570"/>
      <c r="AH260" s="551"/>
      <c r="AI260" s="551"/>
      <c r="AJ260" s="568"/>
      <c r="AK260" s="568"/>
      <c r="AL260" s="90"/>
      <c r="AM260" s="90"/>
      <c r="AN260" s="151"/>
      <c r="AO260" s="151"/>
      <c r="AP260" s="151"/>
      <c r="AQ260" s="151"/>
      <c r="AR260" s="151"/>
      <c r="AS260" s="151"/>
      <c r="AT260" s="151"/>
      <c r="AU260" s="90"/>
      <c r="AV260" s="110"/>
      <c r="AW260" s="110"/>
      <c r="AX260" s="110"/>
      <c r="AY260" s="110"/>
      <c r="AZ260" s="568"/>
      <c r="BA260" s="568"/>
      <c r="BB260" s="574"/>
      <c r="BC260" s="568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</row>
    <row r="261" spans="2:79" x14ac:dyDescent="0.3"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10"/>
      <c r="AE261" s="10"/>
      <c r="AF261" s="551"/>
      <c r="AG261" s="570"/>
      <c r="AH261" s="551"/>
      <c r="AI261" s="551"/>
      <c r="AJ261" s="568"/>
      <c r="AK261" s="568"/>
      <c r="AL261" s="90"/>
      <c r="AM261" s="90"/>
      <c r="AN261" s="151"/>
      <c r="AO261" s="151"/>
      <c r="AP261" s="151"/>
      <c r="AQ261" s="151"/>
      <c r="AR261" s="151"/>
      <c r="AS261" s="151"/>
      <c r="AT261" s="151"/>
      <c r="AU261" s="90"/>
      <c r="AV261" s="110"/>
      <c r="AW261" s="110"/>
      <c r="AX261" s="110"/>
      <c r="AY261" s="110"/>
      <c r="AZ261" s="568"/>
      <c r="BA261" s="568"/>
      <c r="BB261" s="574"/>
      <c r="BC261" s="568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</row>
    <row r="262" spans="2:79" x14ac:dyDescent="0.3"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10"/>
      <c r="AE262" s="10"/>
      <c r="AF262" s="551"/>
      <c r="AG262" s="572"/>
      <c r="AH262" s="551"/>
      <c r="AI262" s="551"/>
      <c r="AJ262" s="568"/>
      <c r="AK262" s="568"/>
      <c r="AL262" s="90"/>
      <c r="AM262" s="90"/>
      <c r="AN262" s="151"/>
      <c r="AO262" s="151"/>
      <c r="AP262" s="151"/>
      <c r="AQ262" s="151"/>
      <c r="AR262" s="151"/>
      <c r="AS262" s="151"/>
      <c r="AT262" s="151"/>
      <c r="AU262" s="90"/>
      <c r="AV262" s="110"/>
      <c r="AW262" s="110"/>
      <c r="AX262" s="110"/>
      <c r="AY262" s="110"/>
      <c r="AZ262" s="568"/>
      <c r="BA262" s="568"/>
      <c r="BB262" s="574"/>
      <c r="BC262" s="568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</row>
    <row r="263" spans="2:79" x14ac:dyDescent="0.3"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10"/>
      <c r="AE263" s="10"/>
      <c r="AF263" s="551"/>
      <c r="AG263" s="551"/>
      <c r="AH263" s="551"/>
      <c r="AI263" s="551"/>
      <c r="AJ263" s="568"/>
      <c r="AK263" s="568"/>
      <c r="AL263" s="90"/>
      <c r="AM263" s="90"/>
      <c r="AN263" s="151"/>
      <c r="AO263" s="151"/>
      <c r="AP263" s="151"/>
      <c r="AQ263" s="151"/>
      <c r="AR263" s="151"/>
      <c r="AS263" s="151"/>
      <c r="AT263" s="151"/>
      <c r="AU263" s="90"/>
      <c r="AV263" s="110"/>
      <c r="AW263" s="110"/>
      <c r="AX263" s="110"/>
      <c r="AY263" s="110"/>
      <c r="AZ263" s="568"/>
      <c r="BA263" s="568"/>
      <c r="BB263" s="574"/>
      <c r="BC263" s="568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</row>
    <row r="264" spans="2:79" x14ac:dyDescent="0.3"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10"/>
      <c r="AE264" s="10"/>
      <c r="AF264" s="551"/>
      <c r="AG264" s="551"/>
      <c r="AH264" s="551"/>
      <c r="AI264" s="551"/>
      <c r="AJ264" s="568"/>
      <c r="AK264" s="568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90"/>
      <c r="AW264" s="90"/>
      <c r="AX264" s="90"/>
      <c r="AY264" s="90"/>
      <c r="AZ264" s="568"/>
      <c r="BA264" s="574"/>
      <c r="BB264" s="574"/>
      <c r="BC264" s="568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</row>
    <row r="265" spans="2:79" x14ac:dyDescent="0.3">
      <c r="AD265" s="10"/>
      <c r="AE265" s="10"/>
      <c r="AF265" s="551"/>
      <c r="AG265" s="551"/>
      <c r="AH265" s="551"/>
      <c r="AI265" s="551"/>
      <c r="AJ265" s="568"/>
      <c r="AK265" s="568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90"/>
      <c r="AW265" s="90"/>
      <c r="AX265" s="90"/>
      <c r="AY265" s="90"/>
      <c r="AZ265" s="568"/>
      <c r="BA265" s="574"/>
      <c r="BB265" s="574"/>
      <c r="BC265" s="568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</row>
    <row r="266" spans="2:79" ht="15" thickBot="1" x14ac:dyDescent="0.35">
      <c r="B266" s="544"/>
      <c r="C266" s="544"/>
      <c r="D266" s="544"/>
      <c r="E266" s="544"/>
      <c r="F266" s="544"/>
      <c r="G266" s="544"/>
      <c r="H266" s="544"/>
      <c r="I266" s="544"/>
      <c r="J266" s="544"/>
      <c r="K266" s="544"/>
      <c r="L266" s="544"/>
      <c r="M266" s="544"/>
      <c r="N266" s="544"/>
      <c r="O266" s="544"/>
      <c r="P266" s="544"/>
      <c r="Q266" s="544"/>
      <c r="R266" s="544"/>
      <c r="S266" s="544"/>
      <c r="T266" s="544"/>
      <c r="U266" s="544"/>
      <c r="V266" s="544"/>
      <c r="AD266" s="10"/>
      <c r="AE266" s="10"/>
      <c r="AF266" s="551"/>
      <c r="AG266" s="551"/>
      <c r="AH266" s="551"/>
      <c r="AI266" s="551"/>
      <c r="AJ266" s="568"/>
      <c r="AK266" s="568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90"/>
      <c r="AW266" s="90"/>
      <c r="AX266" s="90"/>
      <c r="AY266" s="90"/>
      <c r="AZ266" s="568"/>
      <c r="BA266" s="574"/>
      <c r="BB266" s="574"/>
      <c r="BC266" s="568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</row>
    <row r="267" spans="2:79" x14ac:dyDescent="0.3">
      <c r="B267" s="544"/>
      <c r="C267" s="554"/>
      <c r="D267" s="400"/>
      <c r="E267" s="400"/>
      <c r="F267" s="400"/>
      <c r="G267" s="400"/>
      <c r="H267" s="400"/>
      <c r="I267" s="400"/>
      <c r="J267" s="400"/>
      <c r="K267" s="400"/>
      <c r="L267" s="400"/>
      <c r="M267" s="400"/>
      <c r="N267" s="400"/>
      <c r="O267" s="400"/>
      <c r="P267" s="555"/>
      <c r="V267" s="544"/>
      <c r="AD267" s="10"/>
      <c r="AE267" s="10"/>
      <c r="AF267" s="551"/>
      <c r="AG267" s="551"/>
      <c r="AH267" s="551"/>
      <c r="AI267" s="551"/>
      <c r="AJ267" s="568"/>
      <c r="AK267" s="568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90"/>
      <c r="AW267" s="90"/>
      <c r="AX267" s="90"/>
      <c r="AY267" s="90"/>
      <c r="AZ267" s="568"/>
      <c r="BA267" s="574"/>
      <c r="BB267" s="574"/>
      <c r="BC267" s="568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</row>
    <row r="268" spans="2:79" x14ac:dyDescent="0.3">
      <c r="B268" s="544"/>
      <c r="C268" s="556"/>
      <c r="D268" s="546" t="s">
        <v>164</v>
      </c>
      <c r="E268" s="430"/>
      <c r="F268" s="430"/>
      <c r="G268" s="430"/>
      <c r="H268" s="577" t="s">
        <v>20</v>
      </c>
      <c r="I268" s="577"/>
      <c r="J268" s="577"/>
      <c r="K268" s="430"/>
      <c r="L268" s="430"/>
      <c r="M268" s="430"/>
      <c r="N268" s="430"/>
      <c r="O268" s="430"/>
      <c r="P268" s="557"/>
      <c r="V268" s="544"/>
      <c r="AD268" s="10"/>
      <c r="AE268" s="10"/>
      <c r="AF268" s="551"/>
      <c r="AG268" s="551"/>
      <c r="AH268" s="551"/>
      <c r="AI268" s="551"/>
      <c r="AJ268" s="568"/>
      <c r="AK268" s="568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90"/>
      <c r="AW268" s="90"/>
      <c r="AX268" s="90"/>
      <c r="AY268" s="90"/>
      <c r="AZ268" s="568"/>
      <c r="BA268" s="574"/>
      <c r="BB268" s="574"/>
      <c r="BC268" s="568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</row>
    <row r="269" spans="2:79" x14ac:dyDescent="0.3">
      <c r="B269" s="544"/>
      <c r="C269" s="556"/>
      <c r="D269" s="558" t="s">
        <v>165</v>
      </c>
      <c r="E269" s="430"/>
      <c r="F269" s="430"/>
      <c r="G269" s="430"/>
      <c r="H269" s="559" t="s">
        <v>162</v>
      </c>
      <c r="I269" s="546"/>
      <c r="J269" s="560" t="s">
        <v>163</v>
      </c>
      <c r="K269" s="546"/>
      <c r="L269" s="546"/>
      <c r="M269" s="546"/>
      <c r="N269" s="546"/>
      <c r="O269" s="561" t="s">
        <v>3</v>
      </c>
      <c r="P269" s="557"/>
      <c r="V269" s="544"/>
      <c r="AD269" s="10"/>
      <c r="AE269" s="10"/>
      <c r="AF269" s="551"/>
      <c r="AG269" s="551"/>
      <c r="AH269" s="551"/>
      <c r="AI269" s="551"/>
      <c r="AJ269" s="568"/>
      <c r="AK269" s="568"/>
      <c r="AL269" s="573"/>
      <c r="AM269" s="573"/>
      <c r="AN269" s="573"/>
      <c r="AO269" s="573"/>
      <c r="AP269" s="573"/>
      <c r="AQ269" s="573"/>
      <c r="AR269" s="573"/>
      <c r="AS269" s="573"/>
      <c r="AT269" s="573"/>
      <c r="AU269" s="573"/>
      <c r="AV269" s="568"/>
      <c r="AW269" s="568"/>
      <c r="AX269" s="568"/>
      <c r="AY269" s="568"/>
      <c r="AZ269" s="568"/>
      <c r="BA269" s="574"/>
      <c r="BB269" s="574"/>
      <c r="BC269" s="568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</row>
    <row r="270" spans="2:79" x14ac:dyDescent="0.3">
      <c r="B270" s="544"/>
      <c r="C270" s="556"/>
      <c r="D270" s="547" t="s">
        <v>161</v>
      </c>
      <c r="E270" s="15"/>
      <c r="F270" s="15"/>
      <c r="G270" s="15"/>
      <c r="H270" s="562">
        <f>SUM(D133:D139)</f>
        <v>471981</v>
      </c>
      <c r="I270" s="15"/>
      <c r="J270" s="16">
        <f>+H270/7</f>
        <v>67425.857142857145</v>
      </c>
      <c r="K270" s="15"/>
      <c r="L270" s="15"/>
      <c r="M270" s="15"/>
      <c r="N270" s="15"/>
      <c r="O270" s="15"/>
      <c r="P270" s="557"/>
      <c r="V270" s="544"/>
      <c r="AD270" s="10"/>
      <c r="AE270" s="10"/>
      <c r="AF270" s="551"/>
      <c r="AG270" s="551"/>
      <c r="AH270" s="551"/>
      <c r="AI270" s="551"/>
      <c r="AJ270" s="568"/>
      <c r="AK270" s="568"/>
      <c r="AL270" s="573"/>
      <c r="AM270" s="573"/>
      <c r="AN270" s="573"/>
      <c r="AO270" s="573"/>
      <c r="AP270" s="573"/>
      <c r="AQ270" s="573"/>
      <c r="AR270" s="573"/>
      <c r="AS270" s="573"/>
      <c r="AT270" s="573"/>
      <c r="AU270" s="573"/>
      <c r="AV270" s="573"/>
      <c r="AW270" s="573"/>
      <c r="AX270" s="573"/>
      <c r="AY270" s="573"/>
      <c r="AZ270" s="568"/>
      <c r="BA270" s="568"/>
      <c r="BB270" s="574"/>
      <c r="BC270" s="568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</row>
    <row r="271" spans="2:79" x14ac:dyDescent="0.3">
      <c r="B271" s="544"/>
      <c r="C271" s="556"/>
      <c r="D271" s="547" t="s">
        <v>160</v>
      </c>
      <c r="E271" s="15"/>
      <c r="F271" s="15"/>
      <c r="G271" s="15"/>
      <c r="H271" s="16">
        <f>SUM(D140:D146)</f>
        <v>427527</v>
      </c>
      <c r="I271" s="15"/>
      <c r="J271" s="16">
        <f>+H271/7</f>
        <v>61075.285714285717</v>
      </c>
      <c r="K271" s="15"/>
      <c r="L271" s="15"/>
      <c r="M271" s="15"/>
      <c r="N271" s="15"/>
      <c r="O271" s="15"/>
      <c r="P271" s="557"/>
      <c r="V271" s="544"/>
      <c r="AJ271" s="110"/>
      <c r="AK271" s="110"/>
      <c r="AL271" s="110"/>
      <c r="AM271" s="110"/>
      <c r="AN271" s="110"/>
      <c r="AO271" s="110"/>
      <c r="AP271" s="110"/>
      <c r="AQ271" s="110"/>
      <c r="AR271" s="110"/>
      <c r="AS271" s="110"/>
      <c r="AT271" s="90"/>
      <c r="AU271" s="110"/>
      <c r="AV271" s="152"/>
      <c r="AW271" s="152"/>
      <c r="AX271" s="152"/>
      <c r="AY271" s="152"/>
      <c r="AZ271" s="110"/>
      <c r="BA271" s="110"/>
      <c r="BB271" s="110"/>
      <c r="BC271" s="110"/>
    </row>
    <row r="272" spans="2:79" x14ac:dyDescent="0.3">
      <c r="B272" s="550"/>
      <c r="C272" s="556"/>
      <c r="D272" s="547" t="s">
        <v>159</v>
      </c>
      <c r="E272" s="15"/>
      <c r="F272" s="15"/>
      <c r="G272" s="15"/>
      <c r="H272" s="16">
        <f>SUM(D147:D153)</f>
        <v>383516</v>
      </c>
      <c r="I272" s="15"/>
      <c r="J272" s="16">
        <f>+H272/7</f>
        <v>54788</v>
      </c>
      <c r="K272" s="15"/>
      <c r="L272" s="15"/>
      <c r="M272" s="15"/>
      <c r="N272" s="15"/>
      <c r="O272" s="562">
        <f>+H270-H272</f>
        <v>88465</v>
      </c>
      <c r="P272" s="557"/>
      <c r="V272" s="544"/>
      <c r="AA272">
        <f>+O272/7</f>
        <v>12637.857142857143</v>
      </c>
      <c r="AJ272" s="110"/>
      <c r="AK272" s="110"/>
      <c r="AL272" s="110"/>
      <c r="AM272" s="110"/>
      <c r="AN272" s="110"/>
      <c r="AO272" s="110"/>
      <c r="AP272" s="110"/>
      <c r="AQ272" s="110"/>
      <c r="AR272" s="110"/>
      <c r="AS272" s="110"/>
      <c r="AT272" s="110"/>
      <c r="AU272" s="110"/>
      <c r="AV272" s="90"/>
      <c r="AW272" s="90"/>
      <c r="AX272" s="90"/>
      <c r="AY272" s="90"/>
      <c r="AZ272" s="110"/>
      <c r="BA272" s="153"/>
      <c r="BB272" s="110"/>
      <c r="BC272" s="110"/>
    </row>
    <row r="273" spans="2:55" x14ac:dyDescent="0.3">
      <c r="B273" s="551"/>
      <c r="C273" s="556"/>
      <c r="D273" s="563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60">
        <f>+O272/H270</f>
        <v>0.18743339244588236</v>
      </c>
      <c r="P273" s="557"/>
      <c r="V273" s="544"/>
      <c r="X273" s="61"/>
      <c r="Y273" s="61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0"/>
      <c r="AL273" s="110"/>
      <c r="AM273" s="110"/>
      <c r="AN273" s="110"/>
      <c r="AO273" s="110"/>
      <c r="AP273" s="90">
        <v>480454</v>
      </c>
      <c r="AQ273" s="110"/>
      <c r="AR273" s="110"/>
      <c r="AS273" s="110"/>
      <c r="AT273" s="110"/>
      <c r="AU273" s="110"/>
      <c r="AV273" s="110"/>
      <c r="AW273" s="110"/>
      <c r="AX273" s="110"/>
      <c r="AY273" s="110"/>
      <c r="AZ273" s="110"/>
      <c r="BA273" s="110"/>
      <c r="BB273" s="110"/>
      <c r="BC273" s="110"/>
    </row>
    <row r="274" spans="2:55" ht="15" thickBot="1" x14ac:dyDescent="0.35">
      <c r="B274" s="551"/>
      <c r="C274" s="564"/>
      <c r="D274" s="565"/>
      <c r="E274" s="565"/>
      <c r="F274" s="565"/>
      <c r="G274" s="565"/>
      <c r="H274" s="565"/>
      <c r="I274" s="565"/>
      <c r="J274" s="566"/>
      <c r="K274" s="565"/>
      <c r="L274" s="565"/>
      <c r="M274" s="565"/>
      <c r="N274" s="565"/>
      <c r="O274" s="565"/>
      <c r="P274" s="567"/>
      <c r="V274" s="544"/>
      <c r="X274" s="61"/>
      <c r="Y274" s="61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52">
        <f>+N201</f>
        <v>290088</v>
      </c>
      <c r="AQ274" s="110"/>
      <c r="AR274" s="110"/>
      <c r="AS274" s="110"/>
      <c r="AT274" s="110"/>
      <c r="AU274" s="110"/>
      <c r="AV274" s="110"/>
      <c r="AW274" s="110"/>
      <c r="AX274" s="110"/>
      <c r="AY274" s="110"/>
      <c r="AZ274" s="110"/>
      <c r="BA274" s="110"/>
      <c r="BB274" s="110"/>
      <c r="BC274" s="110"/>
    </row>
    <row r="275" spans="2:55" x14ac:dyDescent="0.3">
      <c r="B275" s="551"/>
      <c r="C275" s="544"/>
      <c r="D275" s="552"/>
      <c r="E275" s="544"/>
      <c r="F275" s="544"/>
      <c r="G275" s="544"/>
      <c r="H275" s="553"/>
      <c r="I275" s="544"/>
      <c r="J275" s="544"/>
      <c r="K275" s="544"/>
      <c r="L275" s="544"/>
      <c r="M275" s="544"/>
      <c r="N275" s="544"/>
      <c r="O275" s="544"/>
      <c r="P275" s="544"/>
      <c r="Q275" s="544"/>
      <c r="R275" s="544"/>
      <c r="S275" s="544"/>
      <c r="T275" s="544"/>
      <c r="U275" s="544"/>
      <c r="V275" s="544"/>
      <c r="X275" s="61"/>
      <c r="Y275" s="61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0"/>
      <c r="AK275" s="110"/>
      <c r="AL275" s="110"/>
      <c r="AM275" s="110"/>
      <c r="AN275" s="110"/>
      <c r="AO275" s="110"/>
      <c r="AP275" s="152">
        <f>+AP273-AP274</f>
        <v>190366</v>
      </c>
      <c r="AQ275" s="110"/>
      <c r="AR275" s="110"/>
    </row>
    <row r="276" spans="2:55" x14ac:dyDescent="0.3">
      <c r="B276" s="1"/>
      <c r="D276" s="55"/>
      <c r="X276" s="61"/>
      <c r="Y276" s="61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0"/>
      <c r="AK276" s="110"/>
      <c r="AL276" s="110"/>
      <c r="AM276" s="110"/>
      <c r="AN276" s="110"/>
      <c r="AO276" s="110"/>
      <c r="AP276" s="96">
        <f>+AP275/AP273</f>
        <v>0.3962210742339537</v>
      </c>
      <c r="AQ276" s="110"/>
      <c r="AR276" s="110"/>
    </row>
    <row r="277" spans="2:55" x14ac:dyDescent="0.3">
      <c r="B277" s="55"/>
      <c r="D277" s="55"/>
      <c r="J277" s="56">
        <f>+J270-J272</f>
        <v>12637.857142857145</v>
      </c>
      <c r="X277" s="61"/>
      <c r="Y277" s="61"/>
      <c r="Z277" s="110"/>
      <c r="AA277" s="110"/>
      <c r="AB277" s="110"/>
      <c r="AC277" s="110"/>
      <c r="AD277" s="110"/>
      <c r="AE277" s="110"/>
      <c r="AF277" s="110"/>
      <c r="AG277" s="110"/>
      <c r="AH277" s="110"/>
      <c r="AI277" s="110"/>
      <c r="AJ277" s="110"/>
      <c r="AK277" s="110"/>
      <c r="AL277" s="110"/>
      <c r="AM277" s="110"/>
      <c r="AN277" s="110"/>
      <c r="AO277" s="110"/>
      <c r="AP277" s="110"/>
      <c r="AQ277" s="110"/>
      <c r="AR277" s="110"/>
    </row>
    <row r="278" spans="2:55" x14ac:dyDescent="0.3">
      <c r="B278" s="57"/>
      <c r="D278" s="55"/>
      <c r="X278" s="61"/>
      <c r="Y278" s="61"/>
      <c r="Z278" s="110"/>
      <c r="AA278" s="110"/>
      <c r="AB278" s="110"/>
      <c r="AC278" s="110"/>
      <c r="AD278" s="110"/>
      <c r="AE278" s="110"/>
      <c r="AF278" s="110"/>
      <c r="AG278" s="110"/>
      <c r="AH278" s="110"/>
      <c r="AI278" s="110"/>
      <c r="AJ278" s="110"/>
      <c r="AK278" s="110"/>
      <c r="AL278" s="110"/>
      <c r="AM278" s="110"/>
      <c r="AN278" s="110"/>
      <c r="AO278" s="110"/>
      <c r="AP278" s="110"/>
      <c r="AQ278" s="110"/>
      <c r="AR278" s="110"/>
    </row>
    <row r="279" spans="2:55" x14ac:dyDescent="0.3">
      <c r="B279" s="1"/>
      <c r="D279" s="55"/>
      <c r="X279" s="61"/>
      <c r="Y279" s="61"/>
      <c r="Z279" s="110"/>
      <c r="AA279" s="110"/>
      <c r="AB279" s="110"/>
      <c r="AC279" s="110"/>
      <c r="AD279" s="110"/>
      <c r="AE279" s="110"/>
      <c r="AF279" s="110"/>
      <c r="AG279" s="110"/>
      <c r="AH279" s="110"/>
      <c r="AI279" s="110"/>
      <c r="AJ279" s="110"/>
      <c r="AK279" s="110"/>
      <c r="AL279" s="110"/>
      <c r="AM279" s="110"/>
      <c r="AN279" s="110"/>
      <c r="AO279" s="110"/>
      <c r="AP279" s="110"/>
      <c r="AQ279" s="110"/>
      <c r="AR279" s="110"/>
    </row>
    <row r="280" spans="2:55" x14ac:dyDescent="0.3">
      <c r="B280" s="1"/>
      <c r="D280" s="55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</row>
    <row r="281" spans="2:55" x14ac:dyDescent="0.3">
      <c r="B281" s="1"/>
      <c r="D281" s="55"/>
    </row>
    <row r="282" spans="2:55" x14ac:dyDescent="0.3">
      <c r="B282" s="1"/>
      <c r="D282" s="55"/>
    </row>
    <row r="283" spans="2:55" x14ac:dyDescent="0.3">
      <c r="B283" s="57" t="e">
        <f>+B282/B281</f>
        <v>#DIV/0!</v>
      </c>
      <c r="D283" s="55"/>
    </row>
    <row r="284" spans="2:55" x14ac:dyDescent="0.3">
      <c r="B284" s="1"/>
      <c r="D284" s="55"/>
    </row>
    <row r="285" spans="2:55" x14ac:dyDescent="0.3">
      <c r="B285" s="1"/>
      <c r="D285" s="55"/>
    </row>
    <row r="286" spans="2:55" x14ac:dyDescent="0.3">
      <c r="B286" s="1">
        <f>+B282*50</f>
        <v>0</v>
      </c>
      <c r="D286" s="55"/>
    </row>
    <row r="287" spans="2:55" x14ac:dyDescent="0.3">
      <c r="B287" s="1"/>
      <c r="D287" s="55"/>
    </row>
    <row r="288" spans="2:55" x14ac:dyDescent="0.3">
      <c r="B288" s="1"/>
      <c r="D288" s="55"/>
    </row>
    <row r="289" spans="2:4" x14ac:dyDescent="0.3">
      <c r="B289" s="1"/>
      <c r="D289" s="55"/>
    </row>
    <row r="290" spans="2:4" x14ac:dyDescent="0.3">
      <c r="B290" s="1"/>
      <c r="D290" s="55"/>
    </row>
    <row r="291" spans="2:4" x14ac:dyDescent="0.3">
      <c r="B291" s="1"/>
      <c r="D291" s="55"/>
    </row>
    <row r="292" spans="2:4" x14ac:dyDescent="0.3">
      <c r="B292" s="1"/>
      <c r="D292" s="55"/>
    </row>
    <row r="293" spans="2:4" x14ac:dyDescent="0.3">
      <c r="B293" s="1"/>
      <c r="D293" s="55"/>
    </row>
    <row r="294" spans="2:4" x14ac:dyDescent="0.3">
      <c r="B294" s="1"/>
      <c r="D294" s="55"/>
    </row>
    <row r="295" spans="2:4" x14ac:dyDescent="0.3">
      <c r="B295" s="1"/>
      <c r="D295" s="55"/>
    </row>
    <row r="296" spans="2:4" x14ac:dyDescent="0.3">
      <c r="B296" s="1"/>
    </row>
    <row r="297" spans="2:4" x14ac:dyDescent="0.3">
      <c r="B297" s="1"/>
    </row>
    <row r="298" spans="2:4" x14ac:dyDescent="0.3">
      <c r="B298" s="1"/>
    </row>
    <row r="299" spans="2:4" x14ac:dyDescent="0.3">
      <c r="B299" s="1"/>
    </row>
    <row r="300" spans="2:4" x14ac:dyDescent="0.3">
      <c r="B300" s="1"/>
    </row>
    <row r="301" spans="2:4" x14ac:dyDescent="0.3">
      <c r="B301" s="1"/>
    </row>
    <row r="302" spans="2:4" x14ac:dyDescent="0.3">
      <c r="B302" s="1"/>
    </row>
    <row r="303" spans="2:4" x14ac:dyDescent="0.3">
      <c r="B303" s="1"/>
    </row>
  </sheetData>
  <mergeCells count="28">
    <mergeCell ref="AK241:AN241"/>
    <mergeCell ref="AK242:AN242"/>
    <mergeCell ref="AK243:AN243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68:J268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45:AN245"/>
    <mergeCell ref="AK246:AM246"/>
    <mergeCell ref="AK239:AN239"/>
    <mergeCell ref="AK238:AV238"/>
    <mergeCell ref="AK240:AN240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38"/>
  <sheetViews>
    <sheetView topLeftCell="A196" workbookViewId="0">
      <selection activeCell="K221" sqref="K221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3" t="s">
        <v>7</v>
      </c>
      <c r="F7" s="614"/>
      <c r="G7" s="618">
        <v>0.7</v>
      </c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9"/>
    </row>
    <row r="8" spans="3:40" x14ac:dyDescent="0.3">
      <c r="E8" s="615" t="s">
        <v>123</v>
      </c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7"/>
    </row>
    <row r="9" spans="3:40" x14ac:dyDescent="0.3">
      <c r="E9" s="633" t="s">
        <v>37</v>
      </c>
      <c r="F9" s="634"/>
      <c r="G9" s="634"/>
      <c r="H9" s="634"/>
      <c r="I9" s="634"/>
      <c r="J9" s="634"/>
      <c r="K9" s="634"/>
      <c r="L9" s="634"/>
      <c r="M9" s="634"/>
      <c r="N9" s="634"/>
      <c r="O9" s="634"/>
      <c r="P9" s="635"/>
      <c r="Q9" s="631" t="s">
        <v>116</v>
      </c>
      <c r="R9" s="5"/>
      <c r="S9" s="628" t="s">
        <v>4</v>
      </c>
      <c r="T9" s="629"/>
      <c r="U9" s="630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2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5" t="s">
        <v>48</v>
      </c>
      <c r="AE14" s="626"/>
      <c r="AF14" s="627"/>
      <c r="AG14" s="206"/>
      <c r="AH14" s="623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4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+K226</f>
        <v>748552</v>
      </c>
      <c r="AG16" s="200"/>
      <c r="AH16" s="214">
        <f>+AJ31</f>
        <v>2307.1973283152383</v>
      </c>
      <c r="AI16" s="214"/>
      <c r="AJ16" s="215">
        <f>+S226</f>
        <v>53984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138903</v>
      </c>
      <c r="AG17" s="201"/>
      <c r="AH17" s="162">
        <v>2015</v>
      </c>
      <c r="AI17" s="214"/>
      <c r="AJ17" s="161">
        <v>9604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176781</v>
      </c>
      <c r="AG18" s="201"/>
      <c r="AH18" s="162">
        <v>1381</v>
      </c>
      <c r="AI18" s="214"/>
      <c r="AJ18" s="161">
        <v>8330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1064236</v>
      </c>
      <c r="AG19" s="201"/>
      <c r="AH19" s="201"/>
      <c r="AI19" s="201"/>
      <c r="AJ19" s="219">
        <f>SUM(AJ16:AJ18)</f>
        <v>71918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Table'!H225</f>
        <v>0.13368861831042497</v>
      </c>
      <c r="AG21" s="201"/>
      <c r="AH21" s="201"/>
      <c r="AI21" s="201"/>
      <c r="AJ21" s="221">
        <f>+AJ19/'Main Table'!AA225</f>
        <v>0.32764464692482914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5" t="s">
        <v>133</v>
      </c>
      <c r="AB25" s="626"/>
      <c r="AC25" s="626"/>
      <c r="AD25" s="626"/>
      <c r="AE25" s="626"/>
      <c r="AF25" s="626"/>
      <c r="AG25" s="626"/>
      <c r="AH25" s="626"/>
      <c r="AI25" s="626"/>
      <c r="AJ25" s="626"/>
      <c r="AK25" s="627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+E226</f>
        <v>474286</v>
      </c>
      <c r="AE27" s="168"/>
      <c r="AF27" s="199">
        <v>2432</v>
      </c>
      <c r="AG27" s="168"/>
      <c r="AH27" s="190">
        <f>+AD27/AD$31</f>
        <v>0.53443385861818349</v>
      </c>
      <c r="AI27" s="190"/>
      <c r="AJ27" s="168">
        <f>+AF27*AH27</f>
        <v>1299.7431441594222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+G226</f>
        <v>213628</v>
      </c>
      <c r="AE28" s="168"/>
      <c r="AF28" s="199">
        <v>2397</v>
      </c>
      <c r="AG28" s="168"/>
      <c r="AH28" s="190">
        <f>+AD28/AD$31</f>
        <v>0.24071981114535385</v>
      </c>
      <c r="AI28" s="190"/>
      <c r="AJ28" s="168">
        <f>+AF28*AH28</f>
        <v>577.00538731541315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+I226</f>
        <v>60638</v>
      </c>
      <c r="AE29" s="168"/>
      <c r="AF29" s="199">
        <v>1684</v>
      </c>
      <c r="AG29" s="168"/>
      <c r="AH29" s="190">
        <f>+AD29/AD$31</f>
        <v>6.8327971559121306E-2</v>
      </c>
      <c r="AI29" s="190"/>
      <c r="AJ29" s="168">
        <f>+AF29*AH29</f>
        <v>115.06430410556028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138903</v>
      </c>
      <c r="AE30" s="280"/>
      <c r="AF30" s="168">
        <f>+AH17</f>
        <v>2015</v>
      </c>
      <c r="AG30" s="280"/>
      <c r="AH30" s="190">
        <f>+AD30/AD$31</f>
        <v>0.15651835867734137</v>
      </c>
      <c r="AI30" s="280"/>
      <c r="AJ30" s="168">
        <f>+AF30*AH30</f>
        <v>315.38449273484287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887455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2307.1973283152383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20" t="s">
        <v>31</v>
      </c>
      <c r="AB36" s="621"/>
      <c r="AC36" s="621"/>
      <c r="AD36" s="621"/>
      <c r="AE36" s="621"/>
      <c r="AF36" s="621"/>
      <c r="AG36" s="621"/>
      <c r="AH36" s="621"/>
      <c r="AI36" s="622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Table'!AA225</f>
        <v>219500</v>
      </c>
      <c r="AJ49" s="56">
        <f>+AJ19</f>
        <v>71918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71918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147582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61984.439999999995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85597.56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0.38996610478359905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24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24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:K213" si="37">SUM(E184:I184)</f>
        <v>690019</v>
      </c>
      <c r="L184" s="6"/>
      <c r="M184" s="481">
        <f t="shared" ref="M184:M213" si="38">+(K184-K183)/K183</f>
        <v>1.4397113610932519E-3</v>
      </c>
      <c r="N184" s="29"/>
      <c r="O184" s="29"/>
      <c r="P184" s="29"/>
      <c r="Q184" s="375">
        <f t="shared" ref="Q184:Q213" si="39">+K184-K183</f>
        <v>992</v>
      </c>
      <c r="R184" s="6"/>
      <c r="S184" s="7">
        <f>33019+16008+4474</f>
        <v>53501</v>
      </c>
      <c r="T184" s="6"/>
      <c r="U184" s="286">
        <f t="shared" ref="U184:U213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si="37"/>
        <v>691418</v>
      </c>
      <c r="L185" s="6"/>
      <c r="M185" s="481">
        <f t="shared" si="38"/>
        <v>2.0274804027135486E-3</v>
      </c>
      <c r="N185" s="29"/>
      <c r="O185" s="29"/>
      <c r="P185" s="29"/>
      <c r="Q185" s="375">
        <f t="shared" si="39"/>
        <v>1399</v>
      </c>
      <c r="R185" s="6"/>
      <c r="S185" s="7">
        <f>33019+16008+4474</f>
        <v>53501</v>
      </c>
      <c r="T185" s="6"/>
      <c r="U185" s="286">
        <f t="shared" si="40"/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si="37"/>
        <v>693005</v>
      </c>
      <c r="L186" s="6"/>
      <c r="M186" s="481">
        <f t="shared" si="38"/>
        <v>2.2952830270545461E-3</v>
      </c>
      <c r="N186" s="29"/>
      <c r="O186" s="29"/>
      <c r="P186" s="29"/>
      <c r="Q186" s="375">
        <f t="shared" si="39"/>
        <v>1587</v>
      </c>
      <c r="R186" s="6"/>
      <c r="S186" s="7">
        <f>33019+16008+4474</f>
        <v>53501</v>
      </c>
      <c r="T186" s="6"/>
      <c r="U186" s="286">
        <f t="shared" si="40"/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si="37"/>
        <v>694303</v>
      </c>
      <c r="L187" s="6"/>
      <c r="M187" s="481">
        <f t="shared" si="38"/>
        <v>1.873002359290337E-3</v>
      </c>
      <c r="N187" s="29"/>
      <c r="O187" s="29"/>
      <c r="P187" s="29"/>
      <c r="Q187" s="375">
        <f t="shared" si="39"/>
        <v>1298</v>
      </c>
      <c r="R187" s="6"/>
      <c r="S187" s="7">
        <f>33023+16027+4480</f>
        <v>53530</v>
      </c>
      <c r="T187" s="6"/>
      <c r="U187" s="286">
        <f t="shared" si="40"/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si="37"/>
        <v>695326</v>
      </c>
      <c r="L188" s="6"/>
      <c r="M188" s="481">
        <f t="shared" si="38"/>
        <v>1.4734201062072323E-3</v>
      </c>
      <c r="N188" s="29"/>
      <c r="O188" s="29"/>
      <c r="P188" s="29"/>
      <c r="Q188" s="375">
        <f t="shared" si="39"/>
        <v>1023</v>
      </c>
      <c r="R188" s="6"/>
      <c r="S188" s="7">
        <f>33023+16027+4480</f>
        <v>53530</v>
      </c>
      <c r="T188" s="6"/>
      <c r="U188" s="286">
        <f t="shared" si="40"/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si="37"/>
        <v>696809</v>
      </c>
      <c r="L189" s="6"/>
      <c r="M189" s="481">
        <f t="shared" si="38"/>
        <v>2.1328125224714736E-3</v>
      </c>
      <c r="N189" s="29"/>
      <c r="O189" s="29"/>
      <c r="P189" s="29"/>
      <c r="Q189" s="375">
        <f t="shared" si="39"/>
        <v>1483</v>
      </c>
      <c r="R189" s="6"/>
      <c r="S189" s="7">
        <f>33030+16034+4485</f>
        <v>53549</v>
      </c>
      <c r="T189" s="6"/>
      <c r="U189" s="286">
        <f t="shared" si="40"/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si="37"/>
        <v>698149</v>
      </c>
      <c r="L190" s="6"/>
      <c r="M190" s="481">
        <f t="shared" si="38"/>
        <v>1.9230520845741085E-3</v>
      </c>
      <c r="N190" s="29"/>
      <c r="O190" s="29"/>
      <c r="P190" s="29"/>
      <c r="Q190" s="375">
        <f t="shared" si="39"/>
        <v>1340</v>
      </c>
      <c r="R190" s="6"/>
      <c r="S190" s="7">
        <f>33038+16043+4485</f>
        <v>53566</v>
      </c>
      <c r="T190" s="6"/>
      <c r="U190" s="286">
        <f t="shared" si="40"/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si="37"/>
        <v>699324</v>
      </c>
      <c r="L191" s="6"/>
      <c r="M191" s="481">
        <f t="shared" si="38"/>
        <v>1.6830218191245707E-3</v>
      </c>
      <c r="N191" s="29"/>
      <c r="O191" s="29"/>
      <c r="P191" s="29"/>
      <c r="Q191" s="375">
        <f t="shared" si="39"/>
        <v>1175</v>
      </c>
      <c r="R191" s="6"/>
      <c r="S191" s="7">
        <f>33038+16043+4485</f>
        <v>53566</v>
      </c>
      <c r="T191" s="6"/>
      <c r="U191" s="286">
        <f t="shared" si="40"/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si="37"/>
        <v>701009</v>
      </c>
      <c r="L192" s="6"/>
      <c r="M192" s="481">
        <f t="shared" si="38"/>
        <v>2.4094697164690473E-3</v>
      </c>
      <c r="N192" s="29"/>
      <c r="O192" s="29"/>
      <c r="P192" s="29"/>
      <c r="Q192" s="375">
        <f t="shared" si="39"/>
        <v>1685</v>
      </c>
      <c r="R192" s="6"/>
      <c r="S192" s="7">
        <f>33070+16057+4488</f>
        <v>53615</v>
      </c>
      <c r="T192" s="6"/>
      <c r="U192" s="286">
        <f t="shared" si="40"/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si="37"/>
        <v>702427</v>
      </c>
      <c r="L193" s="6"/>
      <c r="M193" s="481">
        <f t="shared" si="38"/>
        <v>2.0227985660669122E-3</v>
      </c>
      <c r="N193" s="29"/>
      <c r="O193" s="29"/>
      <c r="P193" s="29"/>
      <c r="Q193" s="375">
        <f t="shared" si="39"/>
        <v>1418</v>
      </c>
      <c r="R193" s="6"/>
      <c r="S193" s="7">
        <f>33085+16061+4492</f>
        <v>53638</v>
      </c>
      <c r="T193" s="6"/>
      <c r="U193" s="286">
        <f t="shared" si="40"/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si="37"/>
        <v>703875</v>
      </c>
      <c r="L194" s="6"/>
      <c r="M194" s="481">
        <f t="shared" si="38"/>
        <v>2.0614241764624649E-3</v>
      </c>
      <c r="N194" s="29"/>
      <c r="O194" s="29"/>
      <c r="P194" s="29"/>
      <c r="Q194" s="375">
        <f t="shared" si="39"/>
        <v>1448</v>
      </c>
      <c r="R194" s="6"/>
      <c r="S194" s="7">
        <f>33081+16064+4492</f>
        <v>53637</v>
      </c>
      <c r="T194" s="6"/>
      <c r="U194" s="286">
        <f t="shared" si="40"/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si="37"/>
        <v>705189</v>
      </c>
      <c r="L195" s="6"/>
      <c r="M195" s="481">
        <f t="shared" si="38"/>
        <v>1.86680873734683E-3</v>
      </c>
      <c r="N195" s="29"/>
      <c r="O195" s="29"/>
      <c r="P195" s="29"/>
      <c r="Q195" s="375">
        <f t="shared" si="39"/>
        <v>1314</v>
      </c>
      <c r="R195" s="6"/>
      <c r="S195" s="7">
        <f>33087+16067+4492</f>
        <v>53646</v>
      </c>
      <c r="T195" s="6"/>
      <c r="U195" s="286">
        <f t="shared" si="40"/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si="37"/>
        <v>706651</v>
      </c>
      <c r="L196" s="6"/>
      <c r="M196" s="481">
        <f t="shared" si="38"/>
        <v>2.0732030703825501E-3</v>
      </c>
      <c r="N196" s="29"/>
      <c r="O196" s="29"/>
      <c r="P196" s="29"/>
      <c r="Q196" s="375">
        <f t="shared" si="39"/>
        <v>1462</v>
      </c>
      <c r="R196" s="6"/>
      <c r="S196" s="7">
        <f>33092+16069+4495</f>
        <v>53656</v>
      </c>
      <c r="T196" s="6"/>
      <c r="U196" s="286">
        <f t="shared" si="40"/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si="37"/>
        <v>707967</v>
      </c>
      <c r="L197" s="6"/>
      <c r="M197" s="481">
        <f t="shared" si="38"/>
        <v>1.8623054379035761E-3</v>
      </c>
      <c r="N197" s="29"/>
      <c r="O197" s="29"/>
      <c r="P197" s="29"/>
      <c r="Q197" s="375">
        <f t="shared" si="39"/>
        <v>1316</v>
      </c>
      <c r="R197" s="6"/>
      <c r="S197" s="7">
        <f>33092+16069+4495</f>
        <v>53656</v>
      </c>
      <c r="T197" s="6"/>
      <c r="U197" s="286">
        <f t="shared" si="40"/>
        <v>7.5788843265293435E-2</v>
      </c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si="37"/>
        <v>709195</v>
      </c>
      <c r="L198" s="6"/>
      <c r="M198" s="481">
        <f t="shared" si="38"/>
        <v>1.7345441242317791E-3</v>
      </c>
      <c r="N198" s="29"/>
      <c r="O198" s="29"/>
      <c r="P198" s="29"/>
      <c r="Q198" s="375">
        <f t="shared" si="39"/>
        <v>1228</v>
      </c>
      <c r="R198" s="6"/>
      <c r="S198" s="7">
        <f>33090+16082+4497</f>
        <v>53669</v>
      </c>
      <c r="T198" s="6"/>
      <c r="U198" s="286">
        <f t="shared" si="40"/>
        <v>7.5675942441782579E-2</v>
      </c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si="37"/>
        <v>710535</v>
      </c>
      <c r="L199" s="6"/>
      <c r="M199" s="481">
        <f t="shared" si="38"/>
        <v>1.8894662257912141E-3</v>
      </c>
      <c r="N199" s="29"/>
      <c r="O199" s="29"/>
      <c r="P199" s="29"/>
      <c r="Q199" s="375">
        <f t="shared" si="39"/>
        <v>1340</v>
      </c>
      <c r="R199" s="6"/>
      <c r="S199" s="7">
        <f>33096+16091+4499</f>
        <v>53686</v>
      </c>
      <c r="T199" s="6"/>
      <c r="U199" s="286">
        <f t="shared" si="40"/>
        <v>7.5557150597788988E-2</v>
      </c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si="37"/>
        <v>712443</v>
      </c>
      <c r="L200" s="6"/>
      <c r="M200" s="481">
        <f t="shared" si="38"/>
        <v>2.6853005129937302E-3</v>
      </c>
      <c r="N200" s="29"/>
      <c r="O200" s="29"/>
      <c r="P200" s="29"/>
      <c r="Q200" s="375">
        <f t="shared" si="39"/>
        <v>1908</v>
      </c>
      <c r="R200" s="6"/>
      <c r="S200" s="7">
        <f>33102+16097+4501</f>
        <v>53700</v>
      </c>
      <c r="T200" s="6"/>
      <c r="U200" s="286">
        <f t="shared" si="40"/>
        <v>7.5374451008712276E-2</v>
      </c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si="37"/>
        <v>714197</v>
      </c>
      <c r="L201" s="6"/>
      <c r="M201" s="481">
        <f t="shared" si="38"/>
        <v>2.461951342072278E-3</v>
      </c>
      <c r="N201" s="29"/>
      <c r="O201" s="29"/>
      <c r="P201" s="29"/>
      <c r="Q201" s="375">
        <f t="shared" si="39"/>
        <v>1754</v>
      </c>
      <c r="R201" s="6"/>
      <c r="S201" s="7">
        <f>33126+16103+4501</f>
        <v>53730</v>
      </c>
      <c r="T201" s="6"/>
      <c r="U201" s="286">
        <f t="shared" si="40"/>
        <v>7.5231343732891628E-2</v>
      </c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si="37"/>
        <v>715063</v>
      </c>
      <c r="L202" s="6"/>
      <c r="M202" s="481">
        <f t="shared" si="38"/>
        <v>1.212550598784369E-3</v>
      </c>
      <c r="N202" s="29"/>
      <c r="O202" s="29"/>
      <c r="P202" s="29"/>
      <c r="Q202" s="375">
        <f t="shared" si="39"/>
        <v>866</v>
      </c>
      <c r="R202" s="6"/>
      <c r="S202" s="7">
        <f>33131+16103+4501</f>
        <v>53735</v>
      </c>
      <c r="T202" s="6"/>
      <c r="U202" s="286">
        <f t="shared" si="40"/>
        <v>7.5147224789983535E-2</v>
      </c>
      <c r="W202">
        <f t="shared" si="20"/>
        <v>192</v>
      </c>
      <c r="Y202" s="56"/>
    </row>
    <row r="203" spans="3:25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si="37"/>
        <v>717714</v>
      </c>
      <c r="L203" s="6"/>
      <c r="M203" s="481">
        <f t="shared" si="38"/>
        <v>3.7073656447054316E-3</v>
      </c>
      <c r="N203" s="29"/>
      <c r="O203" s="29"/>
      <c r="P203" s="29"/>
      <c r="Q203" s="375">
        <f t="shared" si="39"/>
        <v>2651</v>
      </c>
      <c r="R203" s="6"/>
      <c r="S203" s="7">
        <f>33140+16107+4503</f>
        <v>53750</v>
      </c>
      <c r="T203" s="6"/>
      <c r="U203" s="286">
        <f t="shared" si="40"/>
        <v>7.4890555290826152E-2</v>
      </c>
      <c r="W203">
        <f t="shared" si="20"/>
        <v>193</v>
      </c>
      <c r="Y203" s="56"/>
    </row>
    <row r="204" spans="3:25" x14ac:dyDescent="0.3">
      <c r="C204" s="170">
        <f t="shared" si="15"/>
        <v>44103</v>
      </c>
      <c r="E204" s="284">
        <v>457649</v>
      </c>
      <c r="F204" s="7"/>
      <c r="G204" s="7">
        <v>204563</v>
      </c>
      <c r="H204" s="7"/>
      <c r="I204" s="7">
        <v>57329</v>
      </c>
      <c r="J204" s="287"/>
      <c r="K204" s="7">
        <f t="shared" si="37"/>
        <v>719541</v>
      </c>
      <c r="L204" s="6"/>
      <c r="M204" s="481">
        <f t="shared" si="38"/>
        <v>2.5455822235598024E-3</v>
      </c>
      <c r="N204" s="29"/>
      <c r="O204" s="29"/>
      <c r="P204" s="29"/>
      <c r="Q204" s="375">
        <f t="shared" si="39"/>
        <v>1827</v>
      </c>
      <c r="R204" s="6"/>
      <c r="S204" s="7">
        <f>33144+16117+4506</f>
        <v>53767</v>
      </c>
      <c r="T204" s="6"/>
      <c r="U204" s="286">
        <f t="shared" si="40"/>
        <v>7.4724025455116527E-2</v>
      </c>
      <c r="W204">
        <f t="shared" si="20"/>
        <v>194</v>
      </c>
      <c r="Y204" s="56"/>
    </row>
    <row r="205" spans="3:25" x14ac:dyDescent="0.3">
      <c r="C205" s="170">
        <f t="shared" si="15"/>
        <v>44104</v>
      </c>
      <c r="E205" s="284">
        <v>458649</v>
      </c>
      <c r="F205" s="7"/>
      <c r="G205" s="7">
        <v>205275</v>
      </c>
      <c r="H205" s="7"/>
      <c r="I205" s="7">
        <v>57550</v>
      </c>
      <c r="J205" s="287"/>
      <c r="K205" s="7">
        <f t="shared" si="37"/>
        <v>721474</v>
      </c>
      <c r="L205" s="6"/>
      <c r="M205" s="481">
        <f t="shared" si="38"/>
        <v>2.6864348244227919E-3</v>
      </c>
      <c r="N205" s="29"/>
      <c r="O205" s="29"/>
      <c r="P205" s="29"/>
      <c r="Q205" s="375">
        <f t="shared" si="39"/>
        <v>1933</v>
      </c>
      <c r="R205" s="6"/>
      <c r="S205" s="7">
        <f>33153+16122+4508</f>
        <v>53783</v>
      </c>
      <c r="T205" s="6"/>
      <c r="U205" s="286">
        <f t="shared" si="40"/>
        <v>7.4545998885614723E-2</v>
      </c>
      <c r="W205">
        <f t="shared" si="20"/>
        <v>195</v>
      </c>
      <c r="Y205" s="56"/>
    </row>
    <row r="206" spans="3:25" x14ac:dyDescent="0.3">
      <c r="C206" s="170">
        <f t="shared" si="15"/>
        <v>44105</v>
      </c>
      <c r="E206" s="284">
        <v>460031</v>
      </c>
      <c r="F206" s="7"/>
      <c r="G206" s="7">
        <v>205889</v>
      </c>
      <c r="H206" s="7"/>
      <c r="I206" s="7">
        <v>57742</v>
      </c>
      <c r="J206" s="287"/>
      <c r="K206" s="7">
        <f t="shared" si="37"/>
        <v>723662</v>
      </c>
      <c r="L206" s="6"/>
      <c r="M206" s="481">
        <f t="shared" si="38"/>
        <v>3.0326803183482703E-3</v>
      </c>
      <c r="N206" s="29"/>
      <c r="O206" s="29"/>
      <c r="P206" s="29"/>
      <c r="Q206" s="375">
        <f t="shared" si="39"/>
        <v>2188</v>
      </c>
      <c r="R206" s="6"/>
      <c r="S206" s="7">
        <f>33159+16140+4511</f>
        <v>53810</v>
      </c>
      <c r="T206" s="6"/>
      <c r="U206" s="286">
        <f t="shared" si="40"/>
        <v>7.4357918475752488E-2</v>
      </c>
      <c r="W206">
        <f t="shared" si="20"/>
        <v>196</v>
      </c>
      <c r="Y206" s="56"/>
    </row>
    <row r="207" spans="3:25" x14ac:dyDescent="0.3">
      <c r="C207" s="170">
        <f t="shared" si="15"/>
        <v>44106</v>
      </c>
      <c r="E207" s="284">
        <v>461629</v>
      </c>
      <c r="F207" s="7"/>
      <c r="G207" s="7">
        <v>206629</v>
      </c>
      <c r="H207" s="7"/>
      <c r="I207" s="7">
        <v>58297</v>
      </c>
      <c r="J207" s="287"/>
      <c r="K207" s="7">
        <f t="shared" si="37"/>
        <v>726555</v>
      </c>
      <c r="L207" s="6"/>
      <c r="M207" s="481">
        <f t="shared" si="38"/>
        <v>3.9977226937437643E-3</v>
      </c>
      <c r="N207" s="29"/>
      <c r="O207" s="29"/>
      <c r="P207" s="29"/>
      <c r="Q207" s="375">
        <f t="shared" si="39"/>
        <v>2893</v>
      </c>
      <c r="R207" s="6"/>
      <c r="S207" s="7">
        <f>33199+16131+4513</f>
        <v>53843</v>
      </c>
      <c r="T207" s="6"/>
      <c r="U207" s="286">
        <f t="shared" si="40"/>
        <v>7.4107259601819547E-2</v>
      </c>
      <c r="W207">
        <f t="shared" si="20"/>
        <v>197</v>
      </c>
      <c r="Y207" s="56"/>
    </row>
    <row r="208" spans="3:25" x14ac:dyDescent="0.3">
      <c r="C208" s="170">
        <f t="shared" si="15"/>
        <v>44107</v>
      </c>
      <c r="E208" s="284">
        <v>463360</v>
      </c>
      <c r="F208" s="7"/>
      <c r="G208" s="7">
        <v>207576</v>
      </c>
      <c r="H208" s="7"/>
      <c r="I208" s="7">
        <v>58297</v>
      </c>
      <c r="J208" s="287"/>
      <c r="K208" s="7">
        <f t="shared" si="37"/>
        <v>729233</v>
      </c>
      <c r="L208" s="6"/>
      <c r="M208" s="481">
        <f t="shared" si="38"/>
        <v>3.6858875102366647E-3</v>
      </c>
      <c r="N208" s="29"/>
      <c r="O208" s="29"/>
      <c r="P208" s="29"/>
      <c r="Q208" s="375">
        <f t="shared" si="39"/>
        <v>2678</v>
      </c>
      <c r="R208" s="6"/>
      <c r="S208" s="7">
        <f>33197+16135+4513</f>
        <v>53845</v>
      </c>
      <c r="T208" s="6"/>
      <c r="U208" s="286">
        <f t="shared" si="40"/>
        <v>7.3837854293483704E-2</v>
      </c>
      <c r="W208">
        <f t="shared" si="20"/>
        <v>198</v>
      </c>
      <c r="Y208" s="56"/>
    </row>
    <row r="209" spans="3:25" x14ac:dyDescent="0.3">
      <c r="C209" s="170">
        <f t="shared" si="15"/>
        <v>44108</v>
      </c>
      <c r="E209" s="284">
        <v>464582</v>
      </c>
      <c r="F209" s="7"/>
      <c r="G209" s="7">
        <v>208202</v>
      </c>
      <c r="H209" s="7"/>
      <c r="I209" s="7">
        <v>58297</v>
      </c>
      <c r="J209" s="287"/>
      <c r="K209" s="7">
        <f t="shared" si="37"/>
        <v>731081</v>
      </c>
      <c r="L209" s="6"/>
      <c r="M209" s="481">
        <f t="shared" si="38"/>
        <v>2.5341694629837101E-3</v>
      </c>
      <c r="N209" s="29"/>
      <c r="O209" s="29"/>
      <c r="P209" s="29"/>
      <c r="Q209" s="375">
        <f t="shared" si="39"/>
        <v>1848</v>
      </c>
      <c r="R209" s="6"/>
      <c r="S209" s="7">
        <f>33206+16136+4513</f>
        <v>53855</v>
      </c>
      <c r="T209" s="6"/>
      <c r="U209" s="286">
        <f t="shared" si="40"/>
        <v>7.3664888021983885E-2</v>
      </c>
      <c r="W209">
        <f t="shared" si="20"/>
        <v>199</v>
      </c>
      <c r="Y209" s="56"/>
    </row>
    <row r="210" spans="3:25" x14ac:dyDescent="0.3">
      <c r="C210" s="170">
        <f t="shared" si="15"/>
        <v>44109</v>
      </c>
      <c r="E210" s="284">
        <v>465212</v>
      </c>
      <c r="F210" s="7"/>
      <c r="G210" s="7">
        <v>208159</v>
      </c>
      <c r="H210" s="7"/>
      <c r="I210" s="7">
        <v>59120</v>
      </c>
      <c r="J210" s="287"/>
      <c r="K210" s="7">
        <f t="shared" si="37"/>
        <v>732491</v>
      </c>
      <c r="L210" s="6"/>
      <c r="M210" s="481">
        <f t="shared" si="38"/>
        <v>1.9286508608485243E-3</v>
      </c>
      <c r="N210" s="29"/>
      <c r="O210" s="29"/>
      <c r="P210" s="29"/>
      <c r="Q210" s="375">
        <f t="shared" si="39"/>
        <v>1410</v>
      </c>
      <c r="R210" s="6"/>
      <c r="S210" s="7">
        <v>53862</v>
      </c>
      <c r="T210" s="6"/>
      <c r="U210" s="286">
        <f t="shared" si="40"/>
        <v>7.353264408709459E-2</v>
      </c>
      <c r="W210">
        <f t="shared" si="20"/>
        <v>200</v>
      </c>
      <c r="Y210" s="56"/>
    </row>
    <row r="211" spans="3:25" x14ac:dyDescent="0.3">
      <c r="C211" s="170">
        <f t="shared" si="15"/>
        <v>44110</v>
      </c>
      <c r="E211" s="284">
        <v>466908</v>
      </c>
      <c r="F211" s="7"/>
      <c r="G211" s="7">
        <v>209342</v>
      </c>
      <c r="H211" s="7"/>
      <c r="I211" s="7">
        <v>59241</v>
      </c>
      <c r="J211" s="287"/>
      <c r="K211" s="7">
        <f t="shared" si="37"/>
        <v>735491</v>
      </c>
      <c r="L211" s="6"/>
      <c r="M211" s="481">
        <f t="shared" si="38"/>
        <v>4.0956134614623255E-3</v>
      </c>
      <c r="N211" s="29"/>
      <c r="O211" s="29"/>
      <c r="P211" s="29"/>
      <c r="Q211" s="375">
        <f t="shared" si="39"/>
        <v>3000</v>
      </c>
      <c r="R211" s="6"/>
      <c r="S211" s="7">
        <f>33219+16147+4521</f>
        <v>53887</v>
      </c>
      <c r="T211" s="6"/>
      <c r="U211" s="286">
        <f t="shared" si="40"/>
        <v>7.3266702107843598E-2</v>
      </c>
      <c r="W211">
        <f t="shared" si="20"/>
        <v>201</v>
      </c>
      <c r="Y211" s="56"/>
    </row>
    <row r="212" spans="3:25" x14ac:dyDescent="0.3">
      <c r="C212" s="170">
        <f t="shared" si="15"/>
        <v>44111</v>
      </c>
      <c r="E212" s="284">
        <v>468268</v>
      </c>
      <c r="F212" s="7"/>
      <c r="G212" s="7">
        <v>209850</v>
      </c>
      <c r="H212" s="7"/>
      <c r="I212" s="7">
        <v>59364</v>
      </c>
      <c r="J212" s="287"/>
      <c r="K212" s="7">
        <f t="shared" si="37"/>
        <v>737482</v>
      </c>
      <c r="L212" s="6"/>
      <c r="M212" s="481">
        <f t="shared" si="38"/>
        <v>2.7070351642644167E-3</v>
      </c>
      <c r="N212" s="29"/>
      <c r="O212" s="29"/>
      <c r="P212" s="29"/>
      <c r="Q212" s="375">
        <f t="shared" si="39"/>
        <v>1991</v>
      </c>
      <c r="R212" s="6"/>
      <c r="S212" s="7">
        <f>33226+16152+4522</f>
        <v>53900</v>
      </c>
      <c r="T212" s="6"/>
      <c r="U212" s="286">
        <f t="shared" si="40"/>
        <v>7.308652956953525E-2</v>
      </c>
      <c r="W212">
        <f t="shared" si="20"/>
        <v>202</v>
      </c>
      <c r="Y212" s="56"/>
    </row>
    <row r="213" spans="3:25" x14ac:dyDescent="0.3">
      <c r="C213" s="170">
        <f t="shared" si="15"/>
        <v>44112</v>
      </c>
      <c r="E213" s="284">
        <v>470104</v>
      </c>
      <c r="F213" s="7"/>
      <c r="G213" s="7">
        <v>211148</v>
      </c>
      <c r="H213" s="7"/>
      <c r="I213" s="7">
        <v>59748</v>
      </c>
      <c r="J213" s="287"/>
      <c r="K213" s="7">
        <f t="shared" si="37"/>
        <v>741000</v>
      </c>
      <c r="L213" s="6"/>
      <c r="M213" s="481">
        <f t="shared" si="38"/>
        <v>4.7702859188427649E-3</v>
      </c>
      <c r="N213" s="29"/>
      <c r="O213" s="29"/>
      <c r="P213" s="29"/>
      <c r="Q213" s="375">
        <f t="shared" si="39"/>
        <v>3518</v>
      </c>
      <c r="R213" s="6"/>
      <c r="S213" s="7">
        <f>33227+16161+4527</f>
        <v>53915</v>
      </c>
      <c r="T213" s="6"/>
      <c r="U213" s="286">
        <f t="shared" si="40"/>
        <v>7.2759784075573555E-2</v>
      </c>
      <c r="W213">
        <f t="shared" si="20"/>
        <v>203</v>
      </c>
      <c r="Y213" s="56"/>
    </row>
    <row r="214" spans="3:25" x14ac:dyDescent="0.3">
      <c r="C214" s="170">
        <f t="shared" si="15"/>
        <v>44113</v>
      </c>
      <c r="E214" s="284">
        <v>471696</v>
      </c>
      <c r="F214" s="7"/>
      <c r="G214" s="7">
        <v>212013</v>
      </c>
      <c r="H214" s="7"/>
      <c r="I214" s="7">
        <v>60038</v>
      </c>
      <c r="J214" s="287"/>
      <c r="K214" s="7">
        <f t="shared" ref="K214" si="41">SUM(E214:I214)</f>
        <v>743747</v>
      </c>
      <c r="L214" s="6"/>
      <c r="M214" s="481">
        <f t="shared" ref="M214" si="42">+(K214-K213)/K213</f>
        <v>3.7071524966261807E-3</v>
      </c>
      <c r="N214" s="29"/>
      <c r="O214" s="29"/>
      <c r="P214" s="29"/>
      <c r="Q214" s="375">
        <f t="shared" ref="Q214" si="43">+K214-K213</f>
        <v>2747</v>
      </c>
      <c r="R214" s="6"/>
      <c r="S214" s="7">
        <f>33290+16164+4530</f>
        <v>53984</v>
      </c>
      <c r="T214" s="6"/>
      <c r="U214" s="286">
        <f t="shared" ref="U214" si="44">+S214/K214</f>
        <v>7.2583822186845795E-2</v>
      </c>
      <c r="W214">
        <f t="shared" si="20"/>
        <v>204</v>
      </c>
      <c r="Y214" s="56"/>
    </row>
    <row r="215" spans="3:25" x14ac:dyDescent="0.3">
      <c r="C215" s="170">
        <f t="shared" si="15"/>
        <v>44114</v>
      </c>
      <c r="E215" s="284">
        <v>473143</v>
      </c>
      <c r="F215" s="7"/>
      <c r="G215" s="7">
        <v>212844</v>
      </c>
      <c r="H215" s="7"/>
      <c r="I215" s="7">
        <v>60038</v>
      </c>
      <c r="J215" s="287"/>
      <c r="K215" s="7">
        <f t="shared" ref="K215" si="45">SUM(E215:I215)</f>
        <v>746025</v>
      </c>
      <c r="L215" s="6"/>
      <c r="M215" s="481">
        <f t="shared" ref="M215" si="46">+(K215-K214)/K214</f>
        <v>3.0628694972887286E-3</v>
      </c>
      <c r="N215" s="29"/>
      <c r="O215" s="29"/>
      <c r="P215" s="29"/>
      <c r="Q215" s="375">
        <f t="shared" ref="Q215" si="47">+K215-K214</f>
        <v>2278</v>
      </c>
      <c r="R215" s="6"/>
      <c r="S215" s="7">
        <f>33290+16164+4530</f>
        <v>53984</v>
      </c>
      <c r="T215" s="6"/>
      <c r="U215" s="286">
        <f t="shared" ref="U215" si="48">+S215/K215</f>
        <v>7.2362186253811869E-2</v>
      </c>
      <c r="W215">
        <f t="shared" si="20"/>
        <v>205</v>
      </c>
      <c r="Y215" s="56"/>
    </row>
    <row r="216" spans="3:25" x14ac:dyDescent="0.3">
      <c r="C216" s="170">
        <f t="shared" si="15"/>
        <v>44115</v>
      </c>
      <c r="E216" s="284">
        <v>474286</v>
      </c>
      <c r="F216" s="7"/>
      <c r="G216" s="7">
        <v>213628</v>
      </c>
      <c r="H216" s="7"/>
      <c r="I216" s="7">
        <v>60638</v>
      </c>
      <c r="J216" s="287"/>
      <c r="K216" s="7">
        <f t="shared" ref="K216" si="49">SUM(E216:I216)</f>
        <v>748552</v>
      </c>
      <c r="L216" s="6"/>
      <c r="M216" s="481">
        <f t="shared" ref="M216" si="50">+(K216-K215)/K215</f>
        <v>3.3872859488623037E-3</v>
      </c>
      <c r="N216" s="29"/>
      <c r="O216" s="29"/>
      <c r="P216" s="29"/>
      <c r="Q216" s="375">
        <f t="shared" ref="Q216" si="51">+K216-K215</f>
        <v>2527</v>
      </c>
      <c r="R216" s="6"/>
      <c r="S216" s="7">
        <f>33290+16164+4530</f>
        <v>53984</v>
      </c>
      <c r="T216" s="6"/>
      <c r="U216" s="286">
        <f t="shared" ref="U216" si="52">+S216/K216</f>
        <v>7.2117902296700828E-2</v>
      </c>
      <c r="W216">
        <f t="shared" si="20"/>
        <v>206</v>
      </c>
      <c r="Y216" s="56"/>
    </row>
    <row r="217" spans="3:25" x14ac:dyDescent="0.3">
      <c r="C217" s="170">
        <f t="shared" si="15"/>
        <v>44116</v>
      </c>
      <c r="E217" s="284"/>
      <c r="F217" s="7"/>
      <c r="G217" s="7"/>
      <c r="H217" s="7"/>
      <c r="I217" s="7"/>
      <c r="J217" s="287"/>
      <c r="K217" s="7"/>
      <c r="L217" s="6"/>
      <c r="M217" s="481"/>
      <c r="N217" s="29"/>
      <c r="O217" s="29"/>
      <c r="P217" s="29"/>
      <c r="Q217" s="375"/>
      <c r="R217" s="6"/>
      <c r="S217" s="7"/>
      <c r="T217" s="6"/>
      <c r="U217" s="286"/>
      <c r="W217">
        <f t="shared" si="20"/>
        <v>207</v>
      </c>
      <c r="Y217" s="56"/>
    </row>
    <row r="218" spans="3:25" x14ac:dyDescent="0.3">
      <c r="C218" s="170">
        <f t="shared" si="15"/>
        <v>44117</v>
      </c>
      <c r="E218" s="284"/>
      <c r="F218" s="7"/>
      <c r="G218" s="7"/>
      <c r="H218" s="7"/>
      <c r="I218" s="7"/>
      <c r="J218" s="287"/>
      <c r="K218" s="7"/>
      <c r="L218" s="6"/>
      <c r="M218" s="481"/>
      <c r="N218" s="29"/>
      <c r="O218" s="29"/>
      <c r="P218" s="29"/>
      <c r="Q218" s="375"/>
      <c r="R218" s="6"/>
      <c r="S218" s="7"/>
      <c r="T218" s="6"/>
      <c r="U218" s="286"/>
      <c r="W218">
        <f t="shared" si="20"/>
        <v>208</v>
      </c>
      <c r="Y218" s="56"/>
    </row>
    <row r="219" spans="3:25" x14ac:dyDescent="0.3">
      <c r="C219" s="170">
        <f t="shared" si="15"/>
        <v>44118</v>
      </c>
      <c r="E219" s="284"/>
      <c r="F219" s="7"/>
      <c r="G219" s="7"/>
      <c r="H219" s="7"/>
      <c r="I219" s="7"/>
      <c r="J219" s="287"/>
      <c r="K219" s="7"/>
      <c r="L219" s="6"/>
      <c r="M219" s="481"/>
      <c r="N219" s="29"/>
      <c r="O219" s="29"/>
      <c r="P219" s="29"/>
      <c r="Q219" s="375"/>
      <c r="R219" s="6"/>
      <c r="S219" s="7"/>
      <c r="T219" s="6"/>
      <c r="U219" s="286"/>
      <c r="W219">
        <f t="shared" si="20"/>
        <v>209</v>
      </c>
      <c r="Y219" s="56"/>
    </row>
    <row r="220" spans="3:25" x14ac:dyDescent="0.3">
      <c r="C220" s="170">
        <f t="shared" si="15"/>
        <v>44119</v>
      </c>
      <c r="E220" s="284"/>
      <c r="F220" s="7"/>
      <c r="G220" s="7"/>
      <c r="H220" s="7"/>
      <c r="I220" s="7"/>
      <c r="J220" s="287"/>
      <c r="K220" s="7"/>
      <c r="L220" s="6"/>
      <c r="M220" s="481"/>
      <c r="N220" s="29"/>
      <c r="O220" s="29"/>
      <c r="P220" s="29"/>
      <c r="Q220" s="375"/>
      <c r="R220" s="6"/>
      <c r="S220" s="7"/>
      <c r="T220" s="6"/>
      <c r="U220" s="286"/>
      <c r="W220">
        <f t="shared" si="20"/>
        <v>210</v>
      </c>
      <c r="Y220" s="56"/>
    </row>
    <row r="221" spans="3:25" x14ac:dyDescent="0.3">
      <c r="C221" s="170">
        <f t="shared" si="15"/>
        <v>44120</v>
      </c>
      <c r="E221" s="284"/>
      <c r="F221" s="7"/>
      <c r="G221" s="7"/>
      <c r="H221" s="7"/>
      <c r="I221" s="7"/>
      <c r="J221" s="287"/>
      <c r="K221" s="7"/>
      <c r="L221" s="6"/>
      <c r="M221" s="481"/>
      <c r="N221" s="29"/>
      <c r="O221" s="29"/>
      <c r="P221" s="29"/>
      <c r="Q221" s="375"/>
      <c r="R221" s="6"/>
      <c r="S221" s="7"/>
      <c r="T221" s="6"/>
      <c r="U221" s="286"/>
      <c r="W221">
        <f t="shared" si="20"/>
        <v>211</v>
      </c>
      <c r="Y221" s="56"/>
    </row>
    <row r="222" spans="3:25" x14ac:dyDescent="0.3">
      <c r="C222" s="170">
        <f t="shared" si="15"/>
        <v>44121</v>
      </c>
      <c r="E222" s="284"/>
      <c r="F222" s="7"/>
      <c r="G222" s="7"/>
      <c r="H222" s="7"/>
      <c r="I222" s="7"/>
      <c r="J222" s="287"/>
      <c r="K222" s="7"/>
      <c r="L222" s="6"/>
      <c r="M222" s="481"/>
      <c r="N222" s="29"/>
      <c r="O222" s="29"/>
      <c r="P222" s="29"/>
      <c r="Q222" s="375"/>
      <c r="R222" s="6"/>
      <c r="S222" s="7"/>
      <c r="T222" s="6"/>
      <c r="U222" s="286"/>
      <c r="W222">
        <f t="shared" si="20"/>
        <v>212</v>
      </c>
      <c r="Y222" s="56"/>
    </row>
    <row r="223" spans="3:25" x14ac:dyDescent="0.3">
      <c r="C223" s="170">
        <f t="shared" si="15"/>
        <v>44122</v>
      </c>
      <c r="E223" s="284"/>
      <c r="F223" s="7"/>
      <c r="G223" s="7"/>
      <c r="H223" s="7"/>
      <c r="I223" s="7"/>
      <c r="J223" s="287"/>
      <c r="K223" s="7"/>
      <c r="L223" s="6"/>
      <c r="M223" s="474"/>
      <c r="N223" s="29"/>
      <c r="O223" s="29"/>
      <c r="P223" s="29"/>
      <c r="Q223" s="375"/>
      <c r="R223" s="6"/>
      <c r="S223" s="7"/>
      <c r="T223" s="6"/>
      <c r="U223" s="286"/>
      <c r="W223">
        <f t="shared" si="20"/>
        <v>213</v>
      </c>
      <c r="Y223" s="56"/>
    </row>
    <row r="224" spans="3:25" ht="15" thickBot="1" x14ac:dyDescent="0.35">
      <c r="C224" s="170">
        <f t="shared" si="15"/>
        <v>44123</v>
      </c>
      <c r="E224" s="288"/>
      <c r="F224" s="289"/>
      <c r="G224" s="289"/>
      <c r="H224" s="289"/>
      <c r="I224" s="289"/>
      <c r="J224" s="289"/>
      <c r="K224" s="289"/>
      <c r="L224" s="290"/>
      <c r="M224" s="291"/>
      <c r="N224" s="291"/>
      <c r="O224" s="291"/>
      <c r="P224" s="291"/>
      <c r="Q224" s="374"/>
      <c r="R224" s="290"/>
      <c r="S224" s="290"/>
      <c r="T224" s="290"/>
      <c r="U224" s="292"/>
      <c r="W224">
        <f t="shared" si="20"/>
        <v>214</v>
      </c>
      <c r="Y224" s="59"/>
    </row>
    <row r="225" spans="3:41" x14ac:dyDescent="0.3">
      <c r="E225" s="56"/>
      <c r="F225" s="1"/>
      <c r="G225" s="56"/>
      <c r="H225" s="56"/>
      <c r="I225" s="56"/>
      <c r="J225" s="1"/>
      <c r="K225" s="56"/>
      <c r="S225" s="56"/>
    </row>
    <row r="226" spans="3:41" x14ac:dyDescent="0.3">
      <c r="C226" s="179" t="s">
        <v>81</v>
      </c>
      <c r="E226" s="56">
        <f>+E216</f>
        <v>474286</v>
      </c>
      <c r="F226" s="56"/>
      <c r="G226" s="56">
        <f t="shared" ref="G226:U226" si="53">+G216</f>
        <v>213628</v>
      </c>
      <c r="H226" s="56">
        <f t="shared" si="53"/>
        <v>0</v>
      </c>
      <c r="I226" s="56">
        <f t="shared" si="53"/>
        <v>60638</v>
      </c>
      <c r="J226" s="56">
        <f t="shared" si="53"/>
        <v>0</v>
      </c>
      <c r="K226" s="56">
        <f t="shared" si="53"/>
        <v>748552</v>
      </c>
      <c r="L226" s="56">
        <f t="shared" si="53"/>
        <v>0</v>
      </c>
      <c r="M226" s="56">
        <f t="shared" si="53"/>
        <v>3.3872859488623037E-3</v>
      </c>
      <c r="N226" s="56">
        <f t="shared" si="53"/>
        <v>0</v>
      </c>
      <c r="O226" s="56">
        <f t="shared" si="53"/>
        <v>0</v>
      </c>
      <c r="P226" s="56">
        <f t="shared" si="53"/>
        <v>0</v>
      </c>
      <c r="Q226" s="56">
        <f t="shared" si="53"/>
        <v>2527</v>
      </c>
      <c r="R226" s="56">
        <f t="shared" si="53"/>
        <v>0</v>
      </c>
      <c r="S226" s="56">
        <f t="shared" si="53"/>
        <v>53984</v>
      </c>
      <c r="T226" s="56">
        <f t="shared" si="53"/>
        <v>0</v>
      </c>
      <c r="U226" s="56">
        <f t="shared" si="53"/>
        <v>7.2117902296700828E-2</v>
      </c>
      <c r="V226" s="56">
        <f>+V199</f>
        <v>0</v>
      </c>
    </row>
    <row r="227" spans="3:41" x14ac:dyDescent="0.3">
      <c r="E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</row>
    <row r="228" spans="3:41" x14ac:dyDescent="0.3">
      <c r="E228" s="59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</row>
    <row r="229" spans="3:41" x14ac:dyDescent="0.3">
      <c r="C229" s="123"/>
      <c r="D229" s="124"/>
      <c r="E229" s="392"/>
      <c r="F229" s="10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</row>
    <row r="230" spans="3:41" x14ac:dyDescent="0.3">
      <c r="E230" s="56"/>
      <c r="K230" s="56"/>
      <c r="Q230" s="56"/>
    </row>
    <row r="231" spans="3:41" x14ac:dyDescent="0.3">
      <c r="Q231" s="56"/>
      <c r="S231" s="59"/>
    </row>
    <row r="234" spans="3:41" x14ac:dyDescent="0.3">
      <c r="AO234" s="1">
        <v>3797000</v>
      </c>
    </row>
    <row r="235" spans="3:41" x14ac:dyDescent="0.3">
      <c r="C235" s="1"/>
    </row>
    <row r="236" spans="3:41" x14ac:dyDescent="0.3">
      <c r="C236" s="1"/>
      <c r="AO236" s="1">
        <v>30000</v>
      </c>
    </row>
    <row r="237" spans="3:41" x14ac:dyDescent="0.3">
      <c r="C237" s="59"/>
    </row>
    <row r="238" spans="3:41" x14ac:dyDescent="0.3">
      <c r="AO238" s="277">
        <f>+AO236/AO234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17"/>
  <sheetViews>
    <sheetView workbookViewId="0">
      <selection activeCell="AL157" sqref="AL157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89" t="s">
        <v>114</v>
      </c>
      <c r="U3" s="690"/>
      <c r="V3" s="690"/>
      <c r="W3" s="690"/>
      <c r="X3" s="690"/>
      <c r="Y3" s="690"/>
      <c r="Z3" s="690"/>
      <c r="AA3" s="690"/>
      <c r="AB3" s="690"/>
      <c r="AC3" s="690"/>
      <c r="AD3" s="691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6.1459008275550536E-2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2" t="s">
        <v>104</v>
      </c>
      <c r="F15" s="692"/>
      <c r="G15" s="692"/>
      <c r="H15" s="692"/>
      <c r="I15" s="692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8" t="s">
        <v>46</v>
      </c>
      <c r="E18" s="699"/>
      <c r="F18" s="699"/>
      <c r="G18" s="699"/>
      <c r="H18" s="699"/>
      <c r="I18" s="699"/>
      <c r="J18" s="699"/>
      <c r="K18" s="699"/>
      <c r="L18" s="699"/>
      <c r="M18" s="699"/>
      <c r="N18" s="699"/>
      <c r="O18" s="700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01" t="s">
        <v>75</v>
      </c>
      <c r="F19" s="701"/>
      <c r="G19" s="701"/>
      <c r="H19" s="701"/>
      <c r="I19" s="146" t="s">
        <v>74</v>
      </c>
      <c r="J19" s="147"/>
      <c r="K19" s="706" t="s">
        <v>72</v>
      </c>
      <c r="L19" s="706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Table'!H205</f>
        <v>7486051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Table'!AA225</f>
        <v>219500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14741</v>
      </c>
      <c r="J22" s="128"/>
      <c r="K22" s="139"/>
      <c r="L22" s="281">
        <v>14720</v>
      </c>
      <c r="M22" s="139"/>
      <c r="N22" s="159">
        <f>+(I22-L22)/I22</f>
        <v>1.4245980598331185E-3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7251810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Table'!AP225</f>
        <v>5128162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2" t="s">
        <v>49</v>
      </c>
      <c r="E25" s="703"/>
      <c r="F25" s="703"/>
      <c r="G25" s="703"/>
      <c r="H25" s="703"/>
      <c r="I25" s="131">
        <f>+I23-I24</f>
        <v>2123648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5128162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2" t="s">
        <v>46</v>
      </c>
      <c r="E27" s="703"/>
      <c r="F27" s="703"/>
      <c r="G27" s="703"/>
      <c r="H27" s="703"/>
      <c r="I27" s="148">
        <f>+I25+I26</f>
        <v>7251810</v>
      </c>
      <c r="J27" s="128"/>
      <c r="K27" s="707">
        <v>7204767</v>
      </c>
      <c r="L27" s="707"/>
      <c r="M27" s="139"/>
      <c r="N27" s="149">
        <f>+I27-K27</f>
        <v>47043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4" t="s">
        <v>69</v>
      </c>
      <c r="F28" s="704"/>
      <c r="G28" s="704"/>
      <c r="H28" s="136"/>
      <c r="I28" s="274">
        <f>+I27/I32</f>
        <v>0.91096754775230582</v>
      </c>
      <c r="J28" s="139"/>
      <c r="K28" s="139"/>
      <c r="L28" s="139"/>
      <c r="M28" s="110"/>
      <c r="N28" s="506">
        <f>+N27/K27</f>
        <v>6.5294269752234875E-3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3" t="s">
        <v>114</v>
      </c>
      <c r="F31" s="684"/>
      <c r="G31" s="684"/>
      <c r="H31" s="684"/>
      <c r="I31" s="684"/>
      <c r="J31" s="685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8">
        <f>+'Main Table'!H225</f>
        <v>7960558</v>
      </c>
      <c r="J32" s="678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9">
        <f>+I27</f>
        <v>7251810</v>
      </c>
      <c r="J34" s="680"/>
      <c r="K34" s="22"/>
      <c r="L34" s="25">
        <f>+I34/$I$32</f>
        <v>0.91096754775230582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6">
        <f>+I21</f>
        <v>219500</v>
      </c>
      <c r="J35" s="687"/>
      <c r="K35" s="22"/>
      <c r="L35" s="25">
        <f>+I35/$I$32</f>
        <v>2.757344397214366E-2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5" t="s">
        <v>114</v>
      </c>
      <c r="F36" s="705"/>
      <c r="G36" s="705"/>
      <c r="H36" s="275"/>
      <c r="I36" s="681">
        <f>+I32-I34-I35</f>
        <v>489248</v>
      </c>
      <c r="J36" s="682"/>
      <c r="K36" s="302"/>
      <c r="L36" s="276">
        <f>+I36/$I$32</f>
        <v>6.1459008275550536E-2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3" t="s">
        <v>127</v>
      </c>
      <c r="E41" s="694"/>
      <c r="F41" s="694"/>
      <c r="G41" s="694"/>
      <c r="H41" s="694"/>
      <c r="I41" s="694"/>
      <c r="J41" s="694"/>
      <c r="K41" s="694"/>
      <c r="L41" s="694"/>
      <c r="M41" s="694"/>
      <c r="N41" s="694"/>
      <c r="O41" s="695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6" t="s">
        <v>75</v>
      </c>
      <c r="F42" s="696"/>
      <c r="G42" s="696"/>
      <c r="H42" s="696"/>
      <c r="I42" s="303" t="s">
        <v>74</v>
      </c>
      <c r="J42" s="304"/>
      <c r="K42" s="697" t="s">
        <v>37</v>
      </c>
      <c r="L42" s="697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Table'!AP243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2" t="s">
        <v>49</v>
      </c>
      <c r="E48" s="663"/>
      <c r="F48" s="663"/>
      <c r="G48" s="663"/>
      <c r="H48" s="663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2" t="s">
        <v>46</v>
      </c>
      <c r="E50" s="663"/>
      <c r="F50" s="663"/>
      <c r="G50" s="663"/>
      <c r="H50" s="663"/>
      <c r="I50" s="383">
        <f>+I48+I49</f>
        <v>22172</v>
      </c>
      <c r="J50" s="379"/>
      <c r="K50" s="664">
        <v>30167</v>
      </c>
      <c r="L50" s="664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5" t="s">
        <v>69</v>
      </c>
      <c r="F51" s="665"/>
      <c r="G51" s="665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81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6" t="s">
        <v>128</v>
      </c>
      <c r="F54" s="667"/>
      <c r="G54" s="667"/>
      <c r="H54" s="667"/>
      <c r="I54" s="667"/>
      <c r="J54" s="668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9">
        <f>+K50</f>
        <v>30167</v>
      </c>
      <c r="J55" s="669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0">
        <f>+I50</f>
        <v>22172</v>
      </c>
      <c r="J57" s="671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2">
        <f>+I44</f>
        <v>1836</v>
      </c>
      <c r="J58" s="673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4" t="s">
        <v>114</v>
      </c>
      <c r="F59" s="674"/>
      <c r="G59" s="674"/>
      <c r="H59" s="310"/>
      <c r="I59" s="675">
        <f>+I55-I57-I58</f>
        <v>6159</v>
      </c>
      <c r="J59" s="676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7">
        <f>+I45</f>
        <v>1397</v>
      </c>
      <c r="J60" s="677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5">
        <f>+I59-I60</f>
        <v>4762</v>
      </c>
      <c r="J61" s="675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6" t="s">
        <v>117</v>
      </c>
      <c r="F64" s="667"/>
      <c r="G64" s="667"/>
      <c r="H64" s="667"/>
      <c r="I64" s="667"/>
      <c r="J64" s="667"/>
      <c r="K64" s="667"/>
      <c r="L64" s="667"/>
      <c r="M64" s="668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1">
        <v>11690000</v>
      </c>
      <c r="J65" s="661"/>
      <c r="K65" s="661"/>
      <c r="L65" s="661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8" t="s">
        <v>108</v>
      </c>
      <c r="G67" s="688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6" t="s">
        <v>131</v>
      </c>
      <c r="E72" s="637"/>
      <c r="F72" s="637"/>
      <c r="G72" s="637"/>
      <c r="H72" s="637"/>
      <c r="I72" s="637"/>
      <c r="J72" s="637"/>
      <c r="K72" s="637"/>
      <c r="L72" s="637"/>
      <c r="M72" s="637"/>
      <c r="N72" s="637"/>
      <c r="O72" s="638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39" t="s">
        <v>75</v>
      </c>
      <c r="F73" s="639"/>
      <c r="G73" s="639"/>
      <c r="H73" s="639"/>
      <c r="I73" s="398" t="s">
        <v>74</v>
      </c>
      <c r="J73" s="399"/>
      <c r="K73" s="640" t="s">
        <v>37</v>
      </c>
      <c r="L73" s="640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Table'!AP281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41" t="s">
        <v>49</v>
      </c>
      <c r="E79" s="642"/>
      <c r="F79" s="642"/>
      <c r="G79" s="642"/>
      <c r="H79" s="642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41" t="s">
        <v>46</v>
      </c>
      <c r="E81" s="642"/>
      <c r="F81" s="642"/>
      <c r="G81" s="642"/>
      <c r="H81" s="642"/>
      <c r="I81" s="413">
        <f>+I79+I80</f>
        <v>36684</v>
      </c>
      <c r="J81" s="406"/>
      <c r="K81" s="644">
        <v>48675</v>
      </c>
      <c r="L81" s="644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3" t="s">
        <v>69</v>
      </c>
      <c r="F82" s="643"/>
      <c r="G82" s="643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6.1459008275550536E-2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:AA167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si="8"/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si="8"/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si="8"/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si="8"/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si="8"/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si="8"/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si="8"/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si="8"/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si="8"/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si="8"/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si="8"/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si="8"/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si="8"/>
        <v>3586</v>
      </c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si="8"/>
        <v>-45</v>
      </c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si="8"/>
        <v>-17089</v>
      </c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si="8"/>
        <v>-18744</v>
      </c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si="8"/>
        <v>-3007</v>
      </c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si="8"/>
        <v>12479</v>
      </c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>
        <v>418570</v>
      </c>
      <c r="X157" s="6"/>
      <c r="Y157" s="44">
        <v>5.7000000000000002E-2</v>
      </c>
      <c r="Z157" s="6"/>
      <c r="AA157" s="297">
        <f t="shared" si="8"/>
        <v>13992</v>
      </c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>
        <v>419325</v>
      </c>
      <c r="X158" s="6"/>
      <c r="Y158" s="44">
        <v>5.7000000000000002E-2</v>
      </c>
      <c r="Z158" s="6"/>
      <c r="AA158" s="297">
        <f t="shared" si="8"/>
        <v>-755</v>
      </c>
      <c r="AB158" s="6"/>
      <c r="AC158" s="301"/>
      <c r="AD158" s="294"/>
    </row>
    <row r="159" spans="15:30" x14ac:dyDescent="0.3">
      <c r="O159" s="110"/>
      <c r="T159" s="293"/>
      <c r="U159" s="295">
        <f t="shared" si="3"/>
        <v>44104</v>
      </c>
      <c r="V159" s="6"/>
      <c r="W159" s="296">
        <v>426855</v>
      </c>
      <c r="X159" s="6"/>
      <c r="Y159" s="44">
        <v>5.7000000000000002E-2</v>
      </c>
      <c r="Z159" s="6"/>
      <c r="AA159" s="297">
        <f t="shared" si="8"/>
        <v>-7530</v>
      </c>
      <c r="AB159" s="6"/>
      <c r="AC159" s="301"/>
      <c r="AD159" s="294"/>
    </row>
    <row r="160" spans="15:30" x14ac:dyDescent="0.3">
      <c r="O160" s="110"/>
      <c r="T160" s="293"/>
      <c r="U160" s="295">
        <f t="shared" si="3"/>
        <v>44105</v>
      </c>
      <c r="V160" s="6"/>
      <c r="W160" s="296">
        <v>437437</v>
      </c>
      <c r="X160" s="6"/>
      <c r="Y160" s="44">
        <v>5.8000000000000003E-2</v>
      </c>
      <c r="Z160" s="6"/>
      <c r="AA160" s="297">
        <f t="shared" si="8"/>
        <v>-10582</v>
      </c>
      <c r="AB160" s="6"/>
      <c r="AC160" s="301"/>
      <c r="AD160" s="294"/>
    </row>
    <row r="161" spans="15:30" x14ac:dyDescent="0.3">
      <c r="O161" s="110"/>
      <c r="T161" s="293"/>
      <c r="U161" s="295">
        <f t="shared" si="3"/>
        <v>44106</v>
      </c>
      <c r="V161" s="6"/>
      <c r="W161" s="296">
        <v>453144</v>
      </c>
      <c r="X161" s="6"/>
      <c r="Y161" s="44">
        <v>0.06</v>
      </c>
      <c r="Z161" s="6"/>
      <c r="AA161" s="297">
        <f t="shared" si="8"/>
        <v>-15707</v>
      </c>
      <c r="AB161" s="6"/>
      <c r="AC161" s="301"/>
      <c r="AD161" s="294"/>
    </row>
    <row r="162" spans="15:30" x14ac:dyDescent="0.3">
      <c r="O162" s="110"/>
      <c r="T162" s="293"/>
      <c r="U162" s="295">
        <f t="shared" si="3"/>
        <v>44107</v>
      </c>
      <c r="V162" s="6"/>
      <c r="W162" s="296">
        <v>460453</v>
      </c>
      <c r="X162" s="6"/>
      <c r="Y162" s="44">
        <v>6.0999999999999999E-2</v>
      </c>
      <c r="Z162" s="6"/>
      <c r="AA162" s="297">
        <f t="shared" si="8"/>
        <v>-7309</v>
      </c>
      <c r="AB162" s="6"/>
      <c r="AC162" s="301"/>
      <c r="AD162" s="294"/>
    </row>
    <row r="163" spans="15:30" x14ac:dyDescent="0.3">
      <c r="O163" s="110"/>
      <c r="T163" s="293"/>
      <c r="U163" s="295">
        <f t="shared" si="3"/>
        <v>44108</v>
      </c>
      <c r="V163" s="6"/>
      <c r="W163" s="296">
        <v>449172</v>
      </c>
      <c r="X163" s="6"/>
      <c r="Y163" s="44">
        <v>5.8999999999999997E-2</v>
      </c>
      <c r="Z163" s="6"/>
      <c r="AA163" s="297">
        <f t="shared" si="8"/>
        <v>11281</v>
      </c>
      <c r="AB163" s="6"/>
      <c r="AC163" s="301"/>
      <c r="AD163" s="294"/>
    </row>
    <row r="164" spans="15:30" x14ac:dyDescent="0.3">
      <c r="O164" s="110"/>
      <c r="T164" s="293"/>
      <c r="U164" s="295">
        <f t="shared" si="3"/>
        <v>44109</v>
      </c>
      <c r="V164" s="6"/>
      <c r="W164" s="296">
        <v>433260</v>
      </c>
      <c r="X164" s="6"/>
      <c r="Y164" s="44">
        <v>5.7000000000000002E-2</v>
      </c>
      <c r="Z164" s="6"/>
      <c r="AA164" s="297">
        <f t="shared" si="8"/>
        <v>15912</v>
      </c>
      <c r="AB164" s="6"/>
      <c r="AC164" s="301"/>
      <c r="AD164" s="294"/>
    </row>
    <row r="165" spans="15:30" x14ac:dyDescent="0.3">
      <c r="O165" s="110"/>
      <c r="T165" s="293"/>
      <c r="U165" s="295">
        <f t="shared" si="3"/>
        <v>44110</v>
      </c>
      <c r="V165" s="6"/>
      <c r="W165" s="296">
        <v>434017</v>
      </c>
      <c r="X165" s="6"/>
      <c r="Y165" s="44">
        <v>5.6000000000000001E-2</v>
      </c>
      <c r="Z165" s="6"/>
      <c r="AA165" s="297">
        <f t="shared" si="8"/>
        <v>-757</v>
      </c>
      <c r="AB165" s="6"/>
      <c r="AC165" s="301"/>
      <c r="AD165" s="294"/>
    </row>
    <row r="166" spans="15:30" x14ac:dyDescent="0.3">
      <c r="O166" s="110"/>
      <c r="T166" s="293"/>
      <c r="U166" s="295">
        <f t="shared" si="3"/>
        <v>44111</v>
      </c>
      <c r="V166" s="6"/>
      <c r="W166" s="296">
        <v>448950</v>
      </c>
      <c r="X166" s="6"/>
      <c r="Y166" s="44">
        <v>5.8000000000000003E-2</v>
      </c>
      <c r="Z166" s="6"/>
      <c r="AA166" s="297">
        <f t="shared" si="8"/>
        <v>-14933</v>
      </c>
      <c r="AB166" s="6"/>
      <c r="AC166" s="301"/>
      <c r="AD166" s="294"/>
    </row>
    <row r="167" spans="15:30" x14ac:dyDescent="0.3">
      <c r="O167" s="110"/>
      <c r="T167" s="293"/>
      <c r="U167" s="295">
        <f t="shared" si="3"/>
        <v>44112</v>
      </c>
      <c r="V167" s="6"/>
      <c r="W167" s="296">
        <v>468336</v>
      </c>
      <c r="X167" s="6"/>
      <c r="Y167" s="44">
        <v>0.06</v>
      </c>
      <c r="Z167" s="6"/>
      <c r="AA167" s="297">
        <f t="shared" si="8"/>
        <v>-19386</v>
      </c>
      <c r="AB167" s="6"/>
      <c r="AC167" s="301"/>
      <c r="AD167" s="294"/>
    </row>
    <row r="168" spans="15:30" x14ac:dyDescent="0.3">
      <c r="O168" s="110"/>
      <c r="T168" s="293"/>
      <c r="U168" s="295">
        <f t="shared" si="3"/>
        <v>44113</v>
      </c>
      <c r="V168" s="6"/>
      <c r="W168" s="296">
        <v>484791</v>
      </c>
      <c r="X168" s="6"/>
      <c r="Y168" s="44">
        <v>6.2E-2</v>
      </c>
      <c r="Z168" s="6"/>
      <c r="AA168" s="297">
        <f t="shared" ref="AA168" si="9">+W167-W168</f>
        <v>-16455</v>
      </c>
      <c r="AB168" s="6"/>
      <c r="AC168" s="301"/>
      <c r="AD168" s="294"/>
    </row>
    <row r="169" spans="15:30" x14ac:dyDescent="0.3">
      <c r="O169" s="110"/>
      <c r="T169" s="293"/>
      <c r="U169" s="295">
        <f t="shared" si="3"/>
        <v>44114</v>
      </c>
      <c r="V169" s="6"/>
      <c r="W169" s="296">
        <v>494681</v>
      </c>
      <c r="X169" s="6"/>
      <c r="Y169" s="44">
        <v>6.2E-2</v>
      </c>
      <c r="Z169" s="6"/>
      <c r="AA169" s="297">
        <f t="shared" ref="AA169" si="10">+W168-W169</f>
        <v>-9890</v>
      </c>
      <c r="AB169" s="6"/>
      <c r="AC169" s="301"/>
      <c r="AD169" s="294"/>
    </row>
    <row r="170" spans="15:30" x14ac:dyDescent="0.3">
      <c r="O170" s="110"/>
      <c r="T170" s="293"/>
      <c r="U170" s="295">
        <f t="shared" si="3"/>
        <v>44115</v>
      </c>
      <c r="V170" s="6"/>
      <c r="W170" s="296">
        <f>+I$36</f>
        <v>489248</v>
      </c>
      <c r="X170" s="6"/>
      <c r="Y170" s="44">
        <f>+L$36</f>
        <v>6.1459008275550536E-2</v>
      </c>
      <c r="Z170" s="6"/>
      <c r="AA170" s="297">
        <f t="shared" ref="AA170" si="11">+W169-W170</f>
        <v>5433</v>
      </c>
      <c r="AB170" s="6"/>
      <c r="AC170" s="301"/>
      <c r="AD170" s="294"/>
    </row>
    <row r="171" spans="15:30" x14ac:dyDescent="0.3">
      <c r="O171" s="110"/>
      <c r="T171" s="293"/>
      <c r="U171" s="295">
        <f t="shared" si="3"/>
        <v>44116</v>
      </c>
      <c r="V171" s="6"/>
      <c r="W171" s="296"/>
      <c r="X171" s="6"/>
      <c r="Y171" s="44"/>
      <c r="Z171" s="6"/>
      <c r="AA171" s="297"/>
      <c r="AB171" s="6"/>
      <c r="AC171" s="301"/>
      <c r="AD171" s="294"/>
    </row>
    <row r="172" spans="15:30" x14ac:dyDescent="0.3">
      <c r="O172" s="110"/>
      <c r="T172" s="293"/>
      <c r="U172" s="295">
        <f t="shared" si="3"/>
        <v>44117</v>
      </c>
      <c r="V172" s="6"/>
      <c r="W172" s="296"/>
      <c r="X172" s="6"/>
      <c r="Y172" s="44"/>
      <c r="Z172" s="6"/>
      <c r="AA172" s="297"/>
      <c r="AB172" s="6"/>
      <c r="AC172" s="301"/>
      <c r="AD172" s="294"/>
    </row>
    <row r="173" spans="15:30" x14ac:dyDescent="0.3">
      <c r="O173" s="110"/>
      <c r="T173" s="293"/>
      <c r="U173" s="295">
        <f t="shared" si="3"/>
        <v>44118</v>
      </c>
      <c r="V173" s="6"/>
      <c r="W173" s="296"/>
      <c r="X173" s="6"/>
      <c r="Y173" s="44"/>
      <c r="Z173" s="6"/>
      <c r="AA173" s="297"/>
      <c r="AB173" s="6"/>
      <c r="AC173" s="301"/>
      <c r="AD173" s="294"/>
    </row>
    <row r="174" spans="15:30" x14ac:dyDescent="0.3">
      <c r="O174" s="110"/>
      <c r="T174" s="293"/>
      <c r="U174" s="295">
        <f t="shared" si="3"/>
        <v>44119</v>
      </c>
      <c r="V174" s="6"/>
      <c r="W174" s="296"/>
      <c r="X174" s="6"/>
      <c r="Y174" s="44"/>
      <c r="Z174" s="6"/>
      <c r="AA174" s="297"/>
      <c r="AB174" s="6"/>
      <c r="AC174" s="301"/>
      <c r="AD174" s="294"/>
    </row>
    <row r="175" spans="15:30" x14ac:dyDescent="0.3">
      <c r="O175" s="110"/>
      <c r="T175" s="293"/>
      <c r="U175" s="295">
        <f t="shared" si="3"/>
        <v>44120</v>
      </c>
      <c r="V175" s="6"/>
      <c r="W175" s="296"/>
      <c r="X175" s="6"/>
      <c r="Y175" s="44"/>
      <c r="Z175" s="6"/>
      <c r="AA175" s="297"/>
      <c r="AB175" s="6"/>
      <c r="AC175" s="301"/>
      <c r="AD175" s="294"/>
    </row>
    <row r="176" spans="15:30" x14ac:dyDescent="0.3">
      <c r="O176" s="110"/>
      <c r="T176" s="293"/>
      <c r="U176" s="295">
        <f t="shared" si="3"/>
        <v>44121</v>
      </c>
      <c r="V176" s="6"/>
      <c r="W176" s="296"/>
      <c r="X176" s="6"/>
      <c r="Y176" s="44"/>
      <c r="Z176" s="6"/>
      <c r="AA176" s="297"/>
      <c r="AB176" s="6"/>
      <c r="AC176" s="301"/>
      <c r="AD176" s="294"/>
    </row>
    <row r="177" spans="5:36" x14ac:dyDescent="0.3">
      <c r="O177" s="110"/>
      <c r="T177" s="293"/>
      <c r="U177" s="295">
        <f t="shared" si="3"/>
        <v>44122</v>
      </c>
      <c r="V177" s="6"/>
      <c r="W177" s="296"/>
      <c r="X177" s="6"/>
      <c r="Y177" s="44"/>
      <c r="Z177" s="6"/>
      <c r="AA177" s="297"/>
      <c r="AB177" s="6"/>
      <c r="AC177" s="301"/>
      <c r="AD177" s="294"/>
    </row>
    <row r="178" spans="5:36" x14ac:dyDescent="0.3">
      <c r="O178" s="110"/>
      <c r="T178" s="293"/>
      <c r="U178" s="295">
        <f t="shared" si="3"/>
        <v>44123</v>
      </c>
      <c r="V178" s="6"/>
      <c r="W178" s="296"/>
      <c r="X178" s="6"/>
      <c r="Y178" s="44"/>
      <c r="Z178" s="6"/>
      <c r="AA178" s="297"/>
      <c r="AB178" s="6"/>
      <c r="AC178" s="301"/>
      <c r="AD178" s="294"/>
    </row>
    <row r="179" spans="5:36" x14ac:dyDescent="0.3">
      <c r="O179" s="110"/>
      <c r="T179" s="293"/>
      <c r="U179" s="295">
        <f t="shared" si="3"/>
        <v>44124</v>
      </c>
      <c r="V179" s="6"/>
      <c r="W179" s="296"/>
      <c r="X179" s="6"/>
      <c r="Y179" s="44"/>
      <c r="Z179" s="6"/>
      <c r="AA179" s="297"/>
      <c r="AB179" s="6"/>
      <c r="AC179" s="301"/>
      <c r="AD179" s="294"/>
    </row>
    <row r="180" spans="5:36" x14ac:dyDescent="0.3">
      <c r="O180" s="110"/>
      <c r="T180" s="293"/>
      <c r="U180" s="295">
        <f t="shared" si="3"/>
        <v>44125</v>
      </c>
      <c r="V180" s="6"/>
      <c r="W180" s="296"/>
      <c r="X180" s="6"/>
      <c r="Y180" s="44"/>
      <c r="Z180" s="6"/>
      <c r="AA180" s="297"/>
      <c r="AB180" s="6"/>
      <c r="AC180" s="301"/>
      <c r="AD180" s="294"/>
    </row>
    <row r="181" spans="5:36" ht="15" thickBot="1" x14ac:dyDescent="0.35">
      <c r="O181" s="110"/>
      <c r="T181" s="298"/>
      <c r="U181" s="393">
        <f t="shared" si="3"/>
        <v>44126</v>
      </c>
      <c r="V181" s="290"/>
      <c r="W181" s="394"/>
      <c r="X181" s="290"/>
      <c r="Y181" s="299"/>
      <c r="Z181" s="290"/>
      <c r="AA181" s="395"/>
      <c r="AB181" s="290"/>
      <c r="AC181" s="396"/>
      <c r="AD181" s="300"/>
    </row>
    <row r="182" spans="5:36" x14ac:dyDescent="0.3">
      <c r="O182" s="110"/>
    </row>
    <row r="183" spans="5:36" x14ac:dyDescent="0.3">
      <c r="O183" s="110"/>
      <c r="P183" s="57"/>
      <c r="Q183" s="57"/>
      <c r="R183" s="57"/>
    </row>
    <row r="184" spans="5:36" x14ac:dyDescent="0.3">
      <c r="O184" s="110"/>
    </row>
    <row r="185" spans="5:36" ht="15" thickBot="1" x14ac:dyDescent="0.35">
      <c r="O185" s="110"/>
    </row>
    <row r="186" spans="5:36" ht="15.6" thickTop="1" thickBot="1" x14ac:dyDescent="0.35">
      <c r="Q186" s="484"/>
      <c r="R186" s="485"/>
      <c r="S186" s="485"/>
      <c r="T186" s="485"/>
      <c r="U186" s="485"/>
      <c r="V186" s="485"/>
      <c r="W186" s="485"/>
      <c r="X186" s="485"/>
      <c r="Y186" s="485"/>
      <c r="Z186" s="485"/>
      <c r="AA186" s="485"/>
      <c r="AB186" s="486"/>
    </row>
    <row r="187" spans="5:36" ht="15" thickBot="1" x14ac:dyDescent="0.35">
      <c r="E187" s="648" t="s">
        <v>119</v>
      </c>
      <c r="F187" s="649"/>
      <c r="G187" s="649"/>
      <c r="H187" s="649"/>
      <c r="I187" s="649"/>
      <c r="J187" s="649"/>
      <c r="K187" s="649"/>
      <c r="L187" s="649"/>
      <c r="M187" s="650"/>
      <c r="Q187" s="487"/>
      <c r="R187" s="6"/>
      <c r="S187" s="6"/>
      <c r="T187" s="6"/>
      <c r="U187" s="5" t="s">
        <v>146</v>
      </c>
      <c r="V187" s="5"/>
      <c r="W187" s="5"/>
      <c r="X187" s="5"/>
      <c r="Y187" s="5"/>
      <c r="Z187" s="5"/>
      <c r="AA187" s="5" t="s">
        <v>30</v>
      </c>
      <c r="AB187" s="488"/>
    </row>
    <row r="188" spans="5:36" x14ac:dyDescent="0.3">
      <c r="E188" s="438"/>
      <c r="F188" s="439" t="s">
        <v>120</v>
      </c>
      <c r="G188" s="439"/>
      <c r="H188" s="439"/>
      <c r="I188" s="651">
        <v>21477737</v>
      </c>
      <c r="J188" s="651"/>
      <c r="K188" s="651"/>
      <c r="L188" s="651"/>
      <c r="M188" s="440"/>
      <c r="Q188" s="487"/>
      <c r="R188" s="480" t="s">
        <v>148</v>
      </c>
      <c r="S188" s="6"/>
      <c r="T188" s="6"/>
      <c r="U188" s="480" t="s">
        <v>147</v>
      </c>
      <c r="V188" s="5"/>
      <c r="W188" s="480" t="s">
        <v>20</v>
      </c>
      <c r="X188" s="5"/>
      <c r="Y188" s="480" t="s">
        <v>4</v>
      </c>
      <c r="Z188" s="5"/>
      <c r="AA188" s="489" t="s">
        <v>145</v>
      </c>
      <c r="AB188" s="488"/>
    </row>
    <row r="189" spans="5:36" x14ac:dyDescent="0.3">
      <c r="E189" s="438"/>
      <c r="F189" s="439" t="s">
        <v>110</v>
      </c>
      <c r="G189" s="439"/>
      <c r="H189" s="439"/>
      <c r="I189" s="439"/>
      <c r="J189" s="439"/>
      <c r="K189" s="439"/>
      <c r="L189" s="441">
        <f>+I201/I188</f>
        <v>4.5847474526762295E-4</v>
      </c>
      <c r="M189" s="440"/>
      <c r="Q189" s="487"/>
      <c r="R189" s="6" t="s">
        <v>135</v>
      </c>
      <c r="S189" s="6"/>
      <c r="T189" s="6"/>
      <c r="U189" s="7">
        <v>2003</v>
      </c>
      <c r="V189" s="6"/>
      <c r="W189" s="7">
        <v>389666</v>
      </c>
      <c r="X189" s="6"/>
      <c r="Y189" s="7">
        <v>31257</v>
      </c>
      <c r="Z189" s="6"/>
      <c r="AA189" s="296">
        <f>+AJ189</f>
        <v>19500</v>
      </c>
      <c r="AB189" s="488"/>
      <c r="AJ189" s="1">
        <v>19500</v>
      </c>
    </row>
    <row r="190" spans="5:36" x14ac:dyDescent="0.3">
      <c r="E190" s="438"/>
      <c r="F190" s="652" t="s">
        <v>108</v>
      </c>
      <c r="G190" s="652"/>
      <c r="H190" s="439"/>
      <c r="I190" s="439"/>
      <c r="J190" s="439"/>
      <c r="K190" s="439"/>
      <c r="L190" s="442">
        <f>+I201/(I188/100000)</f>
        <v>45.847474526762298</v>
      </c>
      <c r="M190" s="440"/>
      <c r="Q190" s="487"/>
      <c r="R190" s="6" t="s">
        <v>136</v>
      </c>
      <c r="S190" s="6"/>
      <c r="T190" s="6"/>
      <c r="U190" s="7">
        <v>1913</v>
      </c>
      <c r="V190" s="6"/>
      <c r="W190" s="7">
        <v>169892</v>
      </c>
      <c r="X190" s="6"/>
      <c r="Y190" s="7">
        <v>13076</v>
      </c>
      <c r="Z190" s="6"/>
      <c r="AA190" s="296">
        <f t="shared" ref="AA190:AA198" si="12">+AJ190</f>
        <v>8900</v>
      </c>
      <c r="AB190" s="488"/>
      <c r="AJ190" s="1">
        <v>8900</v>
      </c>
    </row>
    <row r="191" spans="5:36" x14ac:dyDescent="0.3">
      <c r="E191" s="438"/>
      <c r="F191" s="443"/>
      <c r="G191" s="443"/>
      <c r="H191" s="439"/>
      <c r="I191" s="439"/>
      <c r="J191" s="439"/>
      <c r="K191" s="439"/>
      <c r="L191" s="442"/>
      <c r="M191" s="440"/>
      <c r="Q191" s="487"/>
      <c r="R191" s="6" t="s">
        <v>137</v>
      </c>
      <c r="S191" s="6"/>
      <c r="T191" s="6"/>
      <c r="U191" s="7">
        <v>1568</v>
      </c>
      <c r="V191" s="6"/>
      <c r="W191" s="7">
        <v>16606</v>
      </c>
      <c r="X191" s="6"/>
      <c r="Y191" s="7">
        <v>912</v>
      </c>
      <c r="Z191" s="6"/>
      <c r="AA191" s="296">
        <f t="shared" si="12"/>
        <v>1100</v>
      </c>
      <c r="AB191" s="488"/>
      <c r="AJ191" s="1">
        <v>1100</v>
      </c>
    </row>
    <row r="192" spans="5:36" x14ac:dyDescent="0.3">
      <c r="E192" s="438"/>
      <c r="F192" s="443" t="s">
        <v>121</v>
      </c>
      <c r="G192" s="443"/>
      <c r="H192" s="652" t="s">
        <v>122</v>
      </c>
      <c r="I192" s="652"/>
      <c r="J192" s="439"/>
      <c r="K192" s="439"/>
      <c r="L192" s="442"/>
      <c r="M192" s="440"/>
      <c r="Q192" s="487"/>
      <c r="R192" s="6" t="s">
        <v>58</v>
      </c>
      <c r="S192" s="6"/>
      <c r="T192" s="6"/>
      <c r="U192" s="7">
        <v>1561</v>
      </c>
      <c r="V192" s="6"/>
      <c r="W192" s="7">
        <v>107611</v>
      </c>
      <c r="X192" s="6"/>
      <c r="Y192" s="7">
        <v>7937</v>
      </c>
      <c r="Z192" s="6"/>
      <c r="AA192" s="296">
        <f t="shared" si="12"/>
        <v>7000</v>
      </c>
      <c r="AB192" s="488"/>
      <c r="AJ192" s="1">
        <v>7000</v>
      </c>
    </row>
    <row r="193" spans="4:36" ht="15" thickBot="1" x14ac:dyDescent="0.35">
      <c r="E193" s="444"/>
      <c r="F193" s="445"/>
      <c r="G193" s="445"/>
      <c r="H193" s="445"/>
      <c r="I193" s="445"/>
      <c r="J193" s="445"/>
      <c r="K193" s="445"/>
      <c r="L193" s="445"/>
      <c r="M193" s="446"/>
      <c r="Q193" s="487"/>
      <c r="R193" s="6" t="s">
        <v>142</v>
      </c>
      <c r="S193" s="6"/>
      <c r="T193" s="6"/>
      <c r="U193" s="7">
        <v>1435</v>
      </c>
      <c r="V193" s="6"/>
      <c r="W193" s="7">
        <v>10128</v>
      </c>
      <c r="X193" s="6"/>
      <c r="Y193" s="7">
        <v>541</v>
      </c>
      <c r="Z193" s="6"/>
      <c r="AA193" s="296">
        <f t="shared" si="12"/>
        <v>700</v>
      </c>
      <c r="AB193" s="488"/>
      <c r="AJ193" s="1">
        <v>700</v>
      </c>
    </row>
    <row r="194" spans="4:36" x14ac:dyDescent="0.3">
      <c r="Q194" s="487"/>
      <c r="R194" s="6" t="s">
        <v>138</v>
      </c>
      <c r="S194" s="6"/>
      <c r="T194" s="6"/>
      <c r="U194" s="7">
        <v>1288</v>
      </c>
      <c r="V194" s="6"/>
      <c r="W194" s="7">
        <v>45913</v>
      </c>
      <c r="X194" s="6"/>
      <c r="Y194" s="7">
        <v>4287</v>
      </c>
      <c r="Z194" s="6"/>
      <c r="AA194" s="296">
        <f t="shared" si="12"/>
        <v>3600</v>
      </c>
      <c r="AB194" s="488"/>
      <c r="AJ194" s="1">
        <v>3600</v>
      </c>
    </row>
    <row r="195" spans="4:36" ht="15" thickBot="1" x14ac:dyDescent="0.35">
      <c r="D195" s="90"/>
      <c r="E195" s="151"/>
      <c r="F195" s="151"/>
      <c r="G195" s="151"/>
      <c r="H195" s="151"/>
      <c r="I195" s="353"/>
      <c r="J195" s="90"/>
      <c r="K195" s="110"/>
      <c r="L195" s="110"/>
      <c r="M195" s="110"/>
      <c r="N195" s="110"/>
      <c r="Q195" s="487"/>
      <c r="R195" s="6" t="s">
        <v>143</v>
      </c>
      <c r="S195" s="6"/>
      <c r="T195" s="6"/>
      <c r="U195" s="7">
        <v>1129</v>
      </c>
      <c r="V195" s="6"/>
      <c r="W195" s="7">
        <v>52477</v>
      </c>
      <c r="X195" s="6"/>
      <c r="Y195" s="7">
        <v>3152</v>
      </c>
      <c r="Z195" s="6"/>
      <c r="AA195" s="296">
        <f t="shared" si="12"/>
        <v>4600</v>
      </c>
      <c r="AB195" s="488"/>
      <c r="AJ195" s="1">
        <v>4600</v>
      </c>
    </row>
    <row r="196" spans="4:36" ht="16.2" thickBot="1" x14ac:dyDescent="0.35">
      <c r="D196" s="424"/>
      <c r="E196" s="653" t="s">
        <v>132</v>
      </c>
      <c r="F196" s="654"/>
      <c r="G196" s="654"/>
      <c r="H196" s="654"/>
      <c r="I196" s="654"/>
      <c r="J196" s="655"/>
      <c r="K196" s="425"/>
      <c r="L196" s="437" t="s">
        <v>10</v>
      </c>
      <c r="M196" s="426"/>
      <c r="N196" s="110"/>
      <c r="Q196" s="487"/>
      <c r="R196" s="6" t="s">
        <v>139</v>
      </c>
      <c r="S196" s="6"/>
      <c r="T196" s="6"/>
      <c r="U196" s="7">
        <v>1118</v>
      </c>
      <c r="V196" s="6"/>
      <c r="W196" s="7">
        <v>10889</v>
      </c>
      <c r="X196" s="6"/>
      <c r="Y196" s="7">
        <v>505</v>
      </c>
      <c r="Z196" s="6"/>
      <c r="AA196" s="296">
        <f t="shared" si="12"/>
        <v>980</v>
      </c>
      <c r="AB196" s="488"/>
      <c r="AJ196" s="1">
        <v>980</v>
      </c>
    </row>
    <row r="197" spans="4:36" x14ac:dyDescent="0.3">
      <c r="D197" s="403"/>
      <c r="E197" s="427" t="s">
        <v>88</v>
      </c>
      <c r="F197" s="16"/>
      <c r="G197" s="16"/>
      <c r="H197" s="16"/>
      <c r="I197" s="656">
        <f>+K81</f>
        <v>48675</v>
      </c>
      <c r="J197" s="656"/>
      <c r="K197" s="16"/>
      <c r="L197" s="60">
        <f>+I197/$I$197</f>
        <v>1</v>
      </c>
      <c r="M197" s="428"/>
      <c r="N197" s="110"/>
      <c r="Q197" s="487"/>
      <c r="R197" s="6" t="s">
        <v>140</v>
      </c>
      <c r="S197" s="6"/>
      <c r="T197" s="6"/>
      <c r="U197" s="7">
        <v>1093</v>
      </c>
      <c r="V197" s="6"/>
      <c r="W197" s="7">
        <v>138546</v>
      </c>
      <c r="X197" s="6"/>
      <c r="Y197" s="7">
        <v>6770</v>
      </c>
      <c r="Z197" s="6"/>
      <c r="AA197" s="296">
        <f t="shared" si="12"/>
        <v>12700</v>
      </c>
      <c r="AB197" s="488"/>
      <c r="AJ197" s="1">
        <v>12700</v>
      </c>
    </row>
    <row r="198" spans="4:36" x14ac:dyDescent="0.3">
      <c r="D198" s="403"/>
      <c r="E198" s="427"/>
      <c r="F198" s="16"/>
      <c r="G198" s="16"/>
      <c r="H198" s="16"/>
      <c r="I198" s="16"/>
      <c r="J198" s="16"/>
      <c r="K198" s="16"/>
      <c r="L198" s="16"/>
      <c r="M198" s="428"/>
      <c r="N198" s="110"/>
      <c r="Q198" s="487"/>
      <c r="R198" s="6" t="s">
        <v>141</v>
      </c>
      <c r="S198" s="6"/>
      <c r="T198" s="6"/>
      <c r="U198" s="490">
        <v>1081</v>
      </c>
      <c r="V198" s="6"/>
      <c r="W198" s="490">
        <v>65337</v>
      </c>
      <c r="X198" s="6"/>
      <c r="Y198" s="490">
        <v>3108</v>
      </c>
      <c r="Z198" s="6"/>
      <c r="AA198" s="491">
        <f t="shared" si="12"/>
        <v>6100</v>
      </c>
      <c r="AB198" s="488"/>
      <c r="AJ198" s="482">
        <v>6100</v>
      </c>
    </row>
    <row r="199" spans="4:36" x14ac:dyDescent="0.3">
      <c r="D199" s="415"/>
      <c r="E199" s="15"/>
      <c r="F199" s="429" t="s">
        <v>113</v>
      </c>
      <c r="G199" s="429"/>
      <c r="H199" s="15"/>
      <c r="I199" s="657">
        <f>+I81</f>
        <v>36684</v>
      </c>
      <c r="J199" s="658"/>
      <c r="K199" s="15"/>
      <c r="L199" s="60">
        <f>+I199/$I$197</f>
        <v>0.75365177195685673</v>
      </c>
      <c r="M199" s="408"/>
      <c r="N199" s="110"/>
      <c r="Q199" s="487"/>
      <c r="R199" s="5" t="s">
        <v>33</v>
      </c>
      <c r="S199" s="6"/>
      <c r="T199" s="6"/>
      <c r="U199" s="296">
        <f>+W199/(AA199/100)</f>
        <v>1545.0521632402579</v>
      </c>
      <c r="V199" s="6"/>
      <c r="W199" s="296">
        <f>SUM(W189:W198)</f>
        <v>1007065</v>
      </c>
      <c r="X199" s="6"/>
      <c r="Y199" s="296">
        <f>SUM(Y189:Y198)</f>
        <v>71545</v>
      </c>
      <c r="Z199" s="6"/>
      <c r="AA199" s="296">
        <f>SUM(AA189:AA198)</f>
        <v>65180</v>
      </c>
      <c r="AB199" s="488"/>
      <c r="AJ199" s="56">
        <f>SUM(AJ189:AJ198)</f>
        <v>65180</v>
      </c>
    </row>
    <row r="200" spans="4:36" x14ac:dyDescent="0.3">
      <c r="D200" s="415"/>
      <c r="E200" s="15"/>
      <c r="F200" s="15" t="s">
        <v>89</v>
      </c>
      <c r="G200" s="15"/>
      <c r="H200" s="15"/>
      <c r="I200" s="659">
        <f>+I75</f>
        <v>2144</v>
      </c>
      <c r="J200" s="660"/>
      <c r="K200" s="15"/>
      <c r="L200" s="60">
        <f>+I200/$I$197</f>
        <v>4.4047252182845401E-2</v>
      </c>
      <c r="M200" s="408"/>
      <c r="N200" s="110"/>
      <c r="Q200" s="487"/>
      <c r="R200" s="5"/>
      <c r="S200" s="6"/>
      <c r="T200" s="6"/>
      <c r="U200" s="6"/>
      <c r="V200" s="6"/>
      <c r="W200" s="296"/>
      <c r="X200" s="6"/>
      <c r="Y200" s="296"/>
      <c r="Z200" s="6"/>
      <c r="AA200" s="6"/>
      <c r="AB200" s="488"/>
      <c r="AJ200" s="56"/>
    </row>
    <row r="201" spans="4:36" ht="15" thickBot="1" x14ac:dyDescent="0.35">
      <c r="D201" s="415"/>
      <c r="E201" s="645" t="s">
        <v>114</v>
      </c>
      <c r="F201" s="645"/>
      <c r="G201" s="645"/>
      <c r="H201" s="15"/>
      <c r="I201" s="646">
        <f>+I197-I199-I200</f>
        <v>9847</v>
      </c>
      <c r="J201" s="647"/>
      <c r="K201" s="430"/>
      <c r="L201" s="431">
        <f>+I201/$I$197</f>
        <v>0.20230097586029788</v>
      </c>
      <c r="M201" s="408"/>
      <c r="N201" s="110"/>
      <c r="Q201" s="487"/>
      <c r="R201" s="5" t="s">
        <v>59</v>
      </c>
      <c r="S201" s="6"/>
      <c r="T201" s="6"/>
      <c r="U201" s="7">
        <v>7441</v>
      </c>
      <c r="V201" s="6"/>
      <c r="W201" s="7">
        <f>+'Main Table'!H106</f>
        <v>2465403</v>
      </c>
      <c r="X201" s="6"/>
      <c r="Y201" s="7">
        <f>+'Main Table'!AA106</f>
        <v>126977</v>
      </c>
      <c r="Z201" s="6"/>
      <c r="AA201" s="296">
        <v>331000</v>
      </c>
      <c r="AB201" s="488"/>
      <c r="AJ201" s="56">
        <v>333000</v>
      </c>
    </row>
    <row r="202" spans="4:36" ht="15.6" thickTop="1" thickBot="1" x14ac:dyDescent="0.35">
      <c r="D202" s="415"/>
      <c r="E202" s="432"/>
      <c r="F202" s="432"/>
      <c r="G202" s="432"/>
      <c r="H202" s="15"/>
      <c r="I202" s="433"/>
      <c r="J202" s="432"/>
      <c r="K202" s="430"/>
      <c r="L202" s="434"/>
      <c r="M202" s="408"/>
      <c r="N202" s="110"/>
      <c r="Q202" s="487"/>
      <c r="R202" s="5" t="s">
        <v>144</v>
      </c>
      <c r="S202" s="6"/>
      <c r="T202" s="6"/>
      <c r="U202" s="492"/>
      <c r="V202" s="6"/>
      <c r="W202" s="493">
        <f>+W199/W201</f>
        <v>0.40847885720914595</v>
      </c>
      <c r="X202" s="6"/>
      <c r="Y202" s="493">
        <f>+Y199/Y201</f>
        <v>0.56344849854698098</v>
      </c>
      <c r="Z202" s="6"/>
      <c r="AA202" s="493">
        <f>+AA199/AA201</f>
        <v>0.19691842900302114</v>
      </c>
      <c r="AB202" s="488"/>
      <c r="AJ202" s="483">
        <f>+AJ199/AJ201</f>
        <v>0.19573573573573574</v>
      </c>
    </row>
    <row r="203" spans="4:36" ht="15.6" thickTop="1" thickBot="1" x14ac:dyDescent="0.35">
      <c r="D203" s="435"/>
      <c r="E203" s="436"/>
      <c r="F203" s="436"/>
      <c r="G203" s="436"/>
      <c r="H203" s="436"/>
      <c r="I203" s="436"/>
      <c r="J203" s="436"/>
      <c r="K203" s="436"/>
      <c r="L203" s="436"/>
      <c r="M203" s="423"/>
      <c r="N203" s="110"/>
      <c r="Q203" s="494"/>
      <c r="R203" s="495"/>
      <c r="S203" s="495"/>
      <c r="T203" s="495"/>
      <c r="U203" s="495"/>
      <c r="V203" s="495"/>
      <c r="W203" s="495"/>
      <c r="X203" s="495"/>
      <c r="Y203" s="495"/>
      <c r="Z203" s="495"/>
      <c r="AA203" s="495"/>
      <c r="AB203" s="496"/>
    </row>
    <row r="207" spans="4:36" x14ac:dyDescent="0.3">
      <c r="F207" s="1">
        <v>1248371</v>
      </c>
    </row>
    <row r="208" spans="4:36" x14ac:dyDescent="0.3">
      <c r="W208" s="1"/>
    </row>
    <row r="209" spans="6:6" x14ac:dyDescent="0.3">
      <c r="F209">
        <v>700</v>
      </c>
    </row>
    <row r="210" spans="6:6" x14ac:dyDescent="0.3">
      <c r="F210" s="87">
        <f>+F209/F207</f>
        <v>5.6073074430597954E-4</v>
      </c>
    </row>
    <row r="212" spans="6:6" x14ac:dyDescent="0.3">
      <c r="F212" s="1">
        <v>60000</v>
      </c>
    </row>
    <row r="213" spans="6:6" x14ac:dyDescent="0.3">
      <c r="F213">
        <f>+F210*F212</f>
        <v>33.643844658358773</v>
      </c>
    </row>
    <row r="215" spans="6:6" x14ac:dyDescent="0.3">
      <c r="F215" s="1">
        <v>331000000</v>
      </c>
    </row>
    <row r="216" spans="6:6" x14ac:dyDescent="0.3">
      <c r="F216" s="56">
        <f>+W86</f>
        <v>811067</v>
      </c>
    </row>
    <row r="217" spans="6:6" x14ac:dyDescent="0.3">
      <c r="F217" s="57">
        <f>+F216/F215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201:G201"/>
    <mergeCell ref="I201:J201"/>
    <mergeCell ref="E187:M187"/>
    <mergeCell ref="I188:L188"/>
    <mergeCell ref="F190:G190"/>
    <mergeCell ref="E196:J196"/>
    <mergeCell ref="I197:J197"/>
    <mergeCell ref="I199:J199"/>
    <mergeCell ref="I200:J200"/>
    <mergeCell ref="H192:I192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1" t="s">
        <v>5</v>
      </c>
      <c r="C1" s="601"/>
      <c r="D1" s="601"/>
    </row>
    <row r="2" spans="2:31" ht="15.6" x14ac:dyDescent="0.3">
      <c r="B2" s="601" t="s">
        <v>6</v>
      </c>
      <c r="C2" s="601"/>
      <c r="D2" s="601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9" t="s">
        <v>23</v>
      </c>
      <c r="E12" s="710"/>
      <c r="F12" s="710"/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10"/>
      <c r="S12" s="710"/>
      <c r="T12" s="710"/>
      <c r="U12" s="711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8" t="s">
        <v>62</v>
      </c>
      <c r="Z14" s="708"/>
      <c r="AA14" s="708"/>
      <c r="AB14" s="708"/>
      <c r="AC14" s="708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2020-08-27T12:00:07Z</cp:lastPrinted>
  <dcterms:created xsi:type="dcterms:W3CDTF">2020-03-28T00:34:23Z</dcterms:created>
  <dcterms:modified xsi:type="dcterms:W3CDTF">2020-10-12T01:52:46Z</dcterms:modified>
</cp:coreProperties>
</file>