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8DADFE39-CF6F-49C5-AD2D-4306A72C49C5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Table'!$A$1:$CJ$240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239" i="1" l="1"/>
  <c r="BL239" i="1"/>
  <c r="BK239" i="1"/>
  <c r="BF239" i="1"/>
  <c r="BD239" i="1"/>
  <c r="BC239" i="1"/>
  <c r="AX239" i="1"/>
  <c r="AV239" i="1"/>
  <c r="AU239" i="1"/>
  <c r="AP239" i="1"/>
  <c r="AN239" i="1"/>
  <c r="AM239" i="1"/>
  <c r="AH239" i="1"/>
  <c r="AF239" i="1"/>
  <c r="AE239" i="1"/>
  <c r="Z239" i="1"/>
  <c r="X239" i="1"/>
  <c r="W239" i="1"/>
  <c r="R239" i="1"/>
  <c r="P239" i="1"/>
  <c r="O239" i="1"/>
  <c r="J239" i="1"/>
  <c r="H239" i="1"/>
  <c r="BR238" i="1"/>
  <c r="BR239" i="1" s="1"/>
  <c r="BQ238" i="1"/>
  <c r="BQ239" i="1" s="1"/>
  <c r="BP238" i="1"/>
  <c r="BP239" i="1" s="1"/>
  <c r="BO238" i="1"/>
  <c r="BO239" i="1" s="1"/>
  <c r="BN238" i="1"/>
  <c r="BM238" i="1"/>
  <c r="BM239" i="1" s="1"/>
  <c r="BL238" i="1"/>
  <c r="BK238" i="1"/>
  <c r="BJ238" i="1"/>
  <c r="BJ239" i="1" s="1"/>
  <c r="BI238" i="1"/>
  <c r="BI239" i="1" s="1"/>
  <c r="BH238" i="1"/>
  <c r="BH239" i="1" s="1"/>
  <c r="BG238" i="1"/>
  <c r="BG239" i="1" s="1"/>
  <c r="BF238" i="1"/>
  <c r="BE238" i="1"/>
  <c r="BE239" i="1" s="1"/>
  <c r="BD238" i="1"/>
  <c r="BC238" i="1"/>
  <c r="BB238" i="1"/>
  <c r="BB239" i="1" s="1"/>
  <c r="BA238" i="1"/>
  <c r="BA239" i="1" s="1"/>
  <c r="AZ238" i="1"/>
  <c r="AZ239" i="1" s="1"/>
  <c r="AY238" i="1"/>
  <c r="AY239" i="1" s="1"/>
  <c r="AX238" i="1"/>
  <c r="AW238" i="1"/>
  <c r="AW239" i="1" s="1"/>
  <c r="AV238" i="1"/>
  <c r="AU238" i="1"/>
  <c r="AT238" i="1"/>
  <c r="AT239" i="1" s="1"/>
  <c r="AS238" i="1"/>
  <c r="AS239" i="1" s="1"/>
  <c r="AR238" i="1"/>
  <c r="AR239" i="1" s="1"/>
  <c r="AQ238" i="1"/>
  <c r="AQ239" i="1" s="1"/>
  <c r="AP238" i="1"/>
  <c r="AO238" i="1"/>
  <c r="AO239" i="1" s="1"/>
  <c r="AN238" i="1"/>
  <c r="AM238" i="1"/>
  <c r="AL238" i="1"/>
  <c r="AL239" i="1" s="1"/>
  <c r="AK238" i="1"/>
  <c r="AK239" i="1" s="1"/>
  <c r="AJ238" i="1"/>
  <c r="AJ239" i="1" s="1"/>
  <c r="AI238" i="1"/>
  <c r="AI239" i="1" s="1"/>
  <c r="AH238" i="1"/>
  <c r="AG238" i="1"/>
  <c r="AG239" i="1" s="1"/>
  <c r="AF238" i="1"/>
  <c r="AE238" i="1"/>
  <c r="AD238" i="1"/>
  <c r="AD239" i="1" s="1"/>
  <c r="AC238" i="1"/>
  <c r="AC239" i="1" s="1"/>
  <c r="AB238" i="1"/>
  <c r="AB239" i="1" s="1"/>
  <c r="AA238" i="1"/>
  <c r="AA239" i="1" s="1"/>
  <c r="Z238" i="1"/>
  <c r="Y238" i="1"/>
  <c r="Y239" i="1" s="1"/>
  <c r="X238" i="1"/>
  <c r="W238" i="1"/>
  <c r="V238" i="1"/>
  <c r="V239" i="1" s="1"/>
  <c r="U238" i="1"/>
  <c r="U239" i="1" s="1"/>
  <c r="T238" i="1"/>
  <c r="T239" i="1" s="1"/>
  <c r="S238" i="1"/>
  <c r="S239" i="1" s="1"/>
  <c r="R238" i="1"/>
  <c r="Q238" i="1"/>
  <c r="Q239" i="1" s="1"/>
  <c r="P238" i="1"/>
  <c r="O238" i="1"/>
  <c r="N238" i="1"/>
  <c r="N239" i="1" s="1"/>
  <c r="M238" i="1"/>
  <c r="M239" i="1" s="1"/>
  <c r="L238" i="1"/>
  <c r="L239" i="1" s="1"/>
  <c r="K238" i="1"/>
  <c r="K239" i="1" s="1"/>
  <c r="J238" i="1"/>
  <c r="I238" i="1"/>
  <c r="I239" i="1" s="1"/>
  <c r="H238" i="1"/>
  <c r="D239" i="1"/>
  <c r="D238" i="1"/>
  <c r="BW223" i="1"/>
  <c r="BW224" i="1" s="1"/>
  <c r="BW225" i="1" s="1"/>
  <c r="BW226" i="1" s="1"/>
  <c r="BW227" i="1" s="1"/>
  <c r="BW228" i="1" s="1"/>
  <c r="BW229" i="1" s="1"/>
  <c r="BW230" i="1" s="1"/>
  <c r="BW231" i="1" s="1"/>
  <c r="BW232" i="1" s="1"/>
  <c r="BW233" i="1" s="1"/>
  <c r="BW234" i="1" s="1"/>
  <c r="BW235" i="1" s="1"/>
  <c r="BW236" i="1" s="1"/>
  <c r="BW222" i="1"/>
  <c r="BN222" i="1" s="1"/>
  <c r="BE222" i="1"/>
  <c r="BP222" i="1" s="1"/>
  <c r="BR222" i="1" s="1"/>
  <c r="BA222" i="1"/>
  <c r="BK222" i="1" s="1"/>
  <c r="BM222" i="1" s="1"/>
  <c r="AX222" i="1"/>
  <c r="AL222" i="1"/>
  <c r="AR222" i="1" s="1"/>
  <c r="AG222" i="1"/>
  <c r="AI222" i="1" s="1"/>
  <c r="AA222" i="1"/>
  <c r="AE222" i="1" s="1"/>
  <c r="V222" i="1"/>
  <c r="N222" i="1"/>
  <c r="J222" i="1"/>
  <c r="H222" i="1"/>
  <c r="AV222" i="1" s="1"/>
  <c r="B236" i="1"/>
  <c r="B223" i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U232" i="2"/>
  <c r="T232" i="2"/>
  <c r="S232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E232" i="2"/>
  <c r="S223" i="2"/>
  <c r="W223" i="2"/>
  <c r="W224" i="2" s="1"/>
  <c r="W225" i="2" s="1"/>
  <c r="W226" i="2" s="1"/>
  <c r="W227" i="2" s="1"/>
  <c r="W228" i="2" s="1"/>
  <c r="W229" i="2" s="1"/>
  <c r="K223" i="2"/>
  <c r="Q223" i="2" s="1"/>
  <c r="C223" i="2"/>
  <c r="C224" i="2" s="1"/>
  <c r="C225" i="2" s="1"/>
  <c r="C226" i="2" s="1"/>
  <c r="C227" i="2" s="1"/>
  <c r="C228" i="2" s="1"/>
  <c r="C229" i="2" s="1"/>
  <c r="AC222" i="1" l="1"/>
  <c r="BG222" i="1"/>
  <c r="O222" i="1"/>
  <c r="U223" i="2"/>
  <c r="M223" i="2"/>
  <c r="AH222" i="1" l="1"/>
  <c r="BK221" i="1"/>
  <c r="BM221" i="1" s="1"/>
  <c r="BE221" i="1"/>
  <c r="BA221" i="1"/>
  <c r="AL221" i="1"/>
  <c r="AR221" i="1" s="1"/>
  <c r="AG221" i="1"/>
  <c r="AI221" i="1" s="1"/>
  <c r="N221" i="1"/>
  <c r="S222" i="2"/>
  <c r="K222" i="2"/>
  <c r="M222" i="2" s="1"/>
  <c r="AH221" i="1" l="1"/>
  <c r="BG221" i="1"/>
  <c r="U222" i="2"/>
  <c r="Q222" i="2"/>
  <c r="BE220" i="1" l="1"/>
  <c r="BA220" i="1"/>
  <c r="BK220" i="1" s="1"/>
  <c r="BM220" i="1" s="1"/>
  <c r="AL220" i="1"/>
  <c r="AR220" i="1" s="1"/>
  <c r="AG220" i="1"/>
  <c r="AI220" i="1" s="1"/>
  <c r="N220" i="1"/>
  <c r="S221" i="2"/>
  <c r="U221" i="2"/>
  <c r="K221" i="2"/>
  <c r="M221" i="2" s="1"/>
  <c r="BG220" i="1" l="1"/>
  <c r="Q221" i="2"/>
  <c r="AH220" i="1"/>
  <c r="BE219" i="1"/>
  <c r="BA219" i="1"/>
  <c r="BK219" i="1" s="1"/>
  <c r="BM219" i="1" s="1"/>
  <c r="AL219" i="1"/>
  <c r="AR219" i="1" s="1"/>
  <c r="AH219" i="1"/>
  <c r="AG219" i="1"/>
  <c r="N219" i="1"/>
  <c r="S220" i="2"/>
  <c r="K220" i="2"/>
  <c r="Q220" i="2" s="1"/>
  <c r="BG219" i="1" l="1"/>
  <c r="U220" i="2"/>
  <c r="M220" i="2"/>
  <c r="BE218" i="1" l="1"/>
  <c r="BA218" i="1"/>
  <c r="AL218" i="1"/>
  <c r="AR218" i="1" s="1"/>
  <c r="AG218" i="1"/>
  <c r="N218" i="1"/>
  <c r="S219" i="2"/>
  <c r="K219" i="2"/>
  <c r="Q219" i="2" s="1"/>
  <c r="BG218" i="1" l="1"/>
  <c r="U219" i="2"/>
  <c r="M219" i="2"/>
  <c r="AH218" i="1" l="1"/>
  <c r="BE217" i="1"/>
  <c r="BA217" i="1"/>
  <c r="AL217" i="1"/>
  <c r="AR217" i="1" s="1"/>
  <c r="AG217" i="1"/>
  <c r="N217" i="1"/>
  <c r="S218" i="2"/>
  <c r="K218" i="2"/>
  <c r="Q218" i="2" s="1"/>
  <c r="AH217" i="1" l="1"/>
  <c r="BG217" i="1"/>
  <c r="U218" i="2"/>
  <c r="M218" i="2"/>
  <c r="BE216" i="1"/>
  <c r="S217" i="2"/>
  <c r="BE299" i="1"/>
  <c r="BE298" i="1"/>
  <c r="BC299" i="1"/>
  <c r="BC298" i="1"/>
  <c r="BA300" i="1"/>
  <c r="BC300" i="1" s="1"/>
  <c r="BE300" i="1" s="1"/>
  <c r="BA299" i="1"/>
  <c r="BA298" i="1"/>
  <c r="BA297" i="1"/>
  <c r="N214" i="1"/>
  <c r="N204" i="1"/>
  <c r="N174" i="1"/>
  <c r="N143" i="1"/>
  <c r="N112" i="1"/>
  <c r="BA216" i="1"/>
  <c r="AL216" i="1"/>
  <c r="AR216" i="1" s="1"/>
  <c r="AG216" i="1"/>
  <c r="N216" i="1"/>
  <c r="K217" i="2"/>
  <c r="M217" i="2" s="1"/>
  <c r="BG300" i="1" l="1"/>
  <c r="BG216" i="1"/>
  <c r="U217" i="2"/>
  <c r="Q217" i="2"/>
  <c r="BS238" i="1" l="1"/>
  <c r="BS239" i="1" s="1"/>
  <c r="AH216" i="1"/>
  <c r="BE215" i="1"/>
  <c r="BA215" i="1"/>
  <c r="AL215" i="1"/>
  <c r="AR215" i="1" s="1"/>
  <c r="AG215" i="1"/>
  <c r="N215" i="1"/>
  <c r="S216" i="2"/>
  <c r="K216" i="2"/>
  <c r="M216" i="2" s="1"/>
  <c r="BG215" i="1" l="1"/>
  <c r="U216" i="2"/>
  <c r="Q216" i="2"/>
  <c r="AH215" i="1" l="1"/>
  <c r="BE214" i="1"/>
  <c r="BA214" i="1"/>
  <c r="AL214" i="1"/>
  <c r="AR214" i="1" s="1"/>
  <c r="AG214" i="1"/>
  <c r="S215" i="2"/>
  <c r="K215" i="2"/>
  <c r="M215" i="2" s="1"/>
  <c r="BE213" i="1"/>
  <c r="BA213" i="1"/>
  <c r="AL213" i="1"/>
  <c r="AR213" i="1" s="1"/>
  <c r="AG213" i="1"/>
  <c r="N213" i="1"/>
  <c r="S214" i="2"/>
  <c r="K214" i="2"/>
  <c r="Q214" i="2" s="1"/>
  <c r="BG214" i="1" l="1"/>
  <c r="Q215" i="2"/>
  <c r="U215" i="2"/>
  <c r="BG213" i="1"/>
  <c r="U214" i="2"/>
  <c r="M214" i="2"/>
  <c r="S213" i="2" l="1"/>
  <c r="BE212" i="1" l="1"/>
  <c r="BA212" i="1"/>
  <c r="BK218" i="1" s="1"/>
  <c r="BM218" i="1" s="1"/>
  <c r="AL212" i="1"/>
  <c r="AR212" i="1" s="1"/>
  <c r="AG212" i="1"/>
  <c r="AI219" i="1" s="1"/>
  <c r="N212" i="1"/>
  <c r="K213" i="2"/>
  <c r="Q213" i="2" s="1"/>
  <c r="BG212" i="1" l="1"/>
  <c r="U213" i="2"/>
  <c r="M213" i="2"/>
  <c r="BE211" i="1" l="1"/>
  <c r="BA211" i="1"/>
  <c r="BK217" i="1" s="1"/>
  <c r="BM217" i="1" s="1"/>
  <c r="AL211" i="1"/>
  <c r="AR211" i="1" s="1"/>
  <c r="AG211" i="1"/>
  <c r="AI218" i="1" s="1"/>
  <c r="N211" i="1"/>
  <c r="S212" i="2"/>
  <c r="K212" i="2"/>
  <c r="Q212" i="2" s="1"/>
  <c r="BE210" i="1"/>
  <c r="BA210" i="1"/>
  <c r="AL210" i="1"/>
  <c r="AR210" i="1" s="1"/>
  <c r="AG210" i="1"/>
  <c r="AI217" i="1" s="1"/>
  <c r="N210" i="1"/>
  <c r="S211" i="2"/>
  <c r="K211" i="2"/>
  <c r="BK216" i="1" l="1"/>
  <c r="BM216" i="1" s="1"/>
  <c r="BG211" i="1"/>
  <c r="U212" i="2"/>
  <c r="M212" i="2"/>
  <c r="BG210" i="1"/>
  <c r="U211" i="2"/>
  <c r="M211" i="2"/>
  <c r="Q211" i="2"/>
  <c r="B248" i="1"/>
  <c r="D242" i="1"/>
  <c r="D241" i="1"/>
  <c r="K210" i="2" l="1"/>
  <c r="Q210" i="2" s="1"/>
  <c r="BE209" i="1"/>
  <c r="BA209" i="1"/>
  <c r="BK215" i="1" s="1"/>
  <c r="BM215" i="1" s="1"/>
  <c r="AL209" i="1"/>
  <c r="AR209" i="1" s="1"/>
  <c r="AG209" i="1"/>
  <c r="AI216" i="1" s="1"/>
  <c r="N209" i="1"/>
  <c r="U210" i="2" l="1"/>
  <c r="M210" i="2"/>
  <c r="BG209" i="1"/>
  <c r="AG242" i="1" l="1"/>
  <c r="S209" i="2"/>
  <c r="BE208" i="1" l="1"/>
  <c r="BA208" i="1"/>
  <c r="BK214" i="1" s="1"/>
  <c r="AL208" i="1"/>
  <c r="AG208" i="1"/>
  <c r="AI215" i="1" s="1"/>
  <c r="N208" i="1"/>
  <c r="K209" i="2"/>
  <c r="Q209" i="2" s="1"/>
  <c r="U163" i="3"/>
  <c r="U164" i="3" s="1"/>
  <c r="U165" i="3" s="1"/>
  <c r="U166" i="3" s="1"/>
  <c r="U167" i="3" s="1"/>
  <c r="U168" i="3" s="1"/>
  <c r="U169" i="3" s="1"/>
  <c r="U170" i="3" s="1"/>
  <c r="U171" i="3" s="1"/>
  <c r="U172" i="3" s="1"/>
  <c r="U173" i="3" s="1"/>
  <c r="U174" i="3" s="1"/>
  <c r="U175" i="3" s="1"/>
  <c r="U176" i="3" s="1"/>
  <c r="U177" i="3" s="1"/>
  <c r="U178" i="3" s="1"/>
  <c r="U179" i="3" s="1"/>
  <c r="U180" i="3" s="1"/>
  <c r="S208" i="2"/>
  <c r="BM214" i="1" l="1"/>
  <c r="AR208" i="1"/>
  <c r="BG208" i="1"/>
  <c r="U209" i="2"/>
  <c r="M209" i="2"/>
  <c r="K208" i="2"/>
  <c r="Q208" i="2" s="1"/>
  <c r="BE207" i="1"/>
  <c r="BA207" i="1"/>
  <c r="BK213" i="1" s="1"/>
  <c r="AL207" i="1"/>
  <c r="AR207" i="1" s="1"/>
  <c r="AG207" i="1"/>
  <c r="AI214" i="1" s="1"/>
  <c r="N207" i="1"/>
  <c r="S207" i="2"/>
  <c r="BE206" i="1"/>
  <c r="BA206" i="1"/>
  <c r="AL206" i="1"/>
  <c r="AR206" i="1" s="1"/>
  <c r="AG206" i="1"/>
  <c r="AI213" i="1" s="1"/>
  <c r="N206" i="1"/>
  <c r="K207" i="2"/>
  <c r="Q207" i="2" s="1"/>
  <c r="BK212" i="1" l="1"/>
  <c r="BM212" i="1" s="1"/>
  <c r="BM213" i="1"/>
  <c r="BG207" i="1"/>
  <c r="U208" i="2"/>
  <c r="M208" i="2"/>
  <c r="BG206" i="1"/>
  <c r="U207" i="2"/>
  <c r="M207" i="2"/>
  <c r="BE205" i="1" l="1"/>
  <c r="BA205" i="1"/>
  <c r="BK211" i="1" s="1"/>
  <c r="BM211" i="1" s="1"/>
  <c r="AL205" i="1"/>
  <c r="AR205" i="1" s="1"/>
  <c r="AG205" i="1"/>
  <c r="AI212" i="1" s="1"/>
  <c r="N205" i="1"/>
  <c r="S206" i="2"/>
  <c r="K206" i="2"/>
  <c r="Q206" i="2" s="1"/>
  <c r="S205" i="2"/>
  <c r="D268" i="1"/>
  <c r="H268" i="1" s="1"/>
  <c r="BG205" i="1" l="1"/>
  <c r="U206" i="2"/>
  <c r="M206" i="2"/>
  <c r="BE204" i="1"/>
  <c r="BA204" i="1"/>
  <c r="BK210" i="1" s="1"/>
  <c r="BM210" i="1" s="1"/>
  <c r="AL204" i="1"/>
  <c r="AR204" i="1" s="1"/>
  <c r="AG204" i="1"/>
  <c r="AI211" i="1" s="1"/>
  <c r="K205" i="2"/>
  <c r="M205" i="2" s="1"/>
  <c r="BG204" i="1" l="1"/>
  <c r="U205" i="2"/>
  <c r="Q205" i="2"/>
  <c r="O241" i="1" l="1"/>
  <c r="AA241" i="1"/>
  <c r="AA242" i="1" s="1"/>
  <c r="W241" i="1"/>
  <c r="W242" i="1" s="1"/>
  <c r="S204" i="2"/>
  <c r="BE203" i="1" l="1"/>
  <c r="BA203" i="1"/>
  <c r="AL203" i="1"/>
  <c r="AR203" i="1" s="1"/>
  <c r="AG203" i="1"/>
  <c r="AI210" i="1" s="1"/>
  <c r="N203" i="1"/>
  <c r="K204" i="2"/>
  <c r="Q204" i="2" s="1"/>
  <c r="BK209" i="1" l="1"/>
  <c r="BG203" i="1"/>
  <c r="U204" i="2"/>
  <c r="M204" i="2"/>
  <c r="BM209" i="1" l="1"/>
  <c r="BE202" i="1"/>
  <c r="BA202" i="1"/>
  <c r="AL202" i="1"/>
  <c r="AR202" i="1" s="1"/>
  <c r="AG202" i="1"/>
  <c r="N202" i="1"/>
  <c r="S203" i="2"/>
  <c r="K203" i="2"/>
  <c r="M203" i="2" s="1"/>
  <c r="S202" i="2"/>
  <c r="BE201" i="1"/>
  <c r="BA201" i="1"/>
  <c r="AL201" i="1"/>
  <c r="AR201" i="1" s="1"/>
  <c r="AG201" i="1"/>
  <c r="N201" i="1"/>
  <c r="AP287" i="1" s="1"/>
  <c r="K202" i="2"/>
  <c r="Q202" i="2" s="1"/>
  <c r="AI209" i="1" l="1"/>
  <c r="BK207" i="1"/>
  <c r="BM207" i="1" s="1"/>
  <c r="BK208" i="1"/>
  <c r="BM208" i="1" s="1"/>
  <c r="AI208" i="1"/>
  <c r="BG202" i="1"/>
  <c r="U203" i="2"/>
  <c r="Q203" i="2"/>
  <c r="BG201" i="1"/>
  <c r="U202" i="2"/>
  <c r="M202" i="2"/>
  <c r="BE200" i="1" l="1"/>
  <c r="BA200" i="1"/>
  <c r="AL200" i="1"/>
  <c r="AR200" i="1" s="1"/>
  <c r="AG200" i="1"/>
  <c r="N200" i="1"/>
  <c r="S201" i="2"/>
  <c r="U201" i="2"/>
  <c r="K201" i="2"/>
  <c r="Q201" i="2" s="1"/>
  <c r="BG200" i="1" l="1"/>
  <c r="AI207" i="1"/>
  <c r="BK206" i="1"/>
  <c r="BM206" i="1" s="1"/>
  <c r="M201" i="2"/>
  <c r="S200" i="2" l="1"/>
  <c r="BE199" i="1" l="1"/>
  <c r="BA199" i="1"/>
  <c r="AL199" i="1"/>
  <c r="AR199" i="1" s="1"/>
  <c r="AG199" i="1"/>
  <c r="N199" i="1"/>
  <c r="K200" i="2"/>
  <c r="Q200" i="2" s="1"/>
  <c r="S199" i="2"/>
  <c r="AI206" i="1" l="1"/>
  <c r="BK205" i="1"/>
  <c r="BM205" i="1" s="1"/>
  <c r="U200" i="2"/>
  <c r="BG199" i="1"/>
  <c r="M200" i="2"/>
  <c r="BE198" i="1" l="1"/>
  <c r="BA198" i="1"/>
  <c r="AL198" i="1"/>
  <c r="AR198" i="1" s="1"/>
  <c r="AG198" i="1"/>
  <c r="N198" i="1"/>
  <c r="V232" i="2"/>
  <c r="K199" i="2"/>
  <c r="Q199" i="2" s="1"/>
  <c r="BK204" i="1" l="1"/>
  <c r="BM204" i="1" s="1"/>
  <c r="AI205" i="1"/>
  <c r="BG198" i="1"/>
  <c r="U199" i="2"/>
  <c r="M199" i="2"/>
  <c r="BE197" i="1"/>
  <c r="BA197" i="1"/>
  <c r="AL197" i="1"/>
  <c r="AR197" i="1" s="1"/>
  <c r="AG197" i="1"/>
  <c r="N197" i="1"/>
  <c r="S198" i="2"/>
  <c r="U198" i="2"/>
  <c r="K198" i="2"/>
  <c r="M198" i="2" s="1"/>
  <c r="BG197" i="1" l="1"/>
  <c r="BK203" i="1"/>
  <c r="BM203" i="1" s="1"/>
  <c r="AI204" i="1"/>
  <c r="Q198" i="2"/>
  <c r="S197" i="2"/>
  <c r="K197" i="2"/>
  <c r="Q197" i="2" s="1"/>
  <c r="AG196" i="1"/>
  <c r="BE196" i="1"/>
  <c r="BA196" i="1"/>
  <c r="AL196" i="1"/>
  <c r="N196" i="1"/>
  <c r="BK202" i="1" l="1"/>
  <c r="BM202" i="1" s="1"/>
  <c r="AI203" i="1"/>
  <c r="U197" i="2"/>
  <c r="M197" i="2"/>
  <c r="AR196" i="1"/>
  <c r="BG196" i="1"/>
  <c r="BE195" i="1"/>
  <c r="BA195" i="1"/>
  <c r="AL195" i="1"/>
  <c r="AR195" i="1" s="1"/>
  <c r="AG195" i="1"/>
  <c r="N195" i="1"/>
  <c r="BE194" i="1"/>
  <c r="BA194" i="1"/>
  <c r="AL194" i="1"/>
  <c r="AR194" i="1" s="1"/>
  <c r="AG194" i="1"/>
  <c r="N194" i="1"/>
  <c r="S196" i="2"/>
  <c r="K196" i="2"/>
  <c r="M196" i="2" s="1"/>
  <c r="AI202" i="1" l="1"/>
  <c r="AI201" i="1"/>
  <c r="BK200" i="1"/>
  <c r="BM200" i="1" s="1"/>
  <c r="BK201" i="1"/>
  <c r="BM201" i="1" s="1"/>
  <c r="BG195" i="1"/>
  <c r="BG194" i="1"/>
  <c r="U196" i="2"/>
  <c r="Q196" i="2"/>
  <c r="S195" i="2"/>
  <c r="K195" i="2"/>
  <c r="Q195" i="2" s="1"/>
  <c r="G238" i="1"/>
  <c r="G239" i="1" s="1"/>
  <c r="F238" i="1"/>
  <c r="F239" i="1" s="1"/>
  <c r="E238" i="1"/>
  <c r="E239" i="1" s="1"/>
  <c r="BE193" i="1"/>
  <c r="BA193" i="1"/>
  <c r="BK199" i="1" s="1"/>
  <c r="BM199" i="1" s="1"/>
  <c r="AL193" i="1"/>
  <c r="AR193" i="1" s="1"/>
  <c r="AG193" i="1"/>
  <c r="AI200" i="1" s="1"/>
  <c r="N193" i="1"/>
  <c r="S194" i="2"/>
  <c r="K194" i="2"/>
  <c r="M194" i="2" s="1"/>
  <c r="BE192" i="1"/>
  <c r="BA192" i="1"/>
  <c r="AL192" i="1"/>
  <c r="AR192" i="1" s="1"/>
  <c r="AG192" i="1"/>
  <c r="AI199" i="1" s="1"/>
  <c r="N192" i="1"/>
  <c r="S193" i="2"/>
  <c r="K193" i="2"/>
  <c r="Q193" i="2" s="1"/>
  <c r="BK198" i="1" l="1"/>
  <c r="BM198" i="1" s="1"/>
  <c r="U195" i="2"/>
  <c r="M195" i="2"/>
  <c r="BG193" i="1"/>
  <c r="U194" i="2"/>
  <c r="Q194" i="2"/>
  <c r="BG192" i="1"/>
  <c r="U193" i="2"/>
  <c r="M193" i="2"/>
  <c r="S192" i="2" l="1"/>
  <c r="BE191" i="1" l="1"/>
  <c r="BA191" i="1"/>
  <c r="AL191" i="1"/>
  <c r="AR191" i="1" s="1"/>
  <c r="AG191" i="1"/>
  <c r="N191" i="1"/>
  <c r="AI198" i="1" l="1"/>
  <c r="BK197" i="1"/>
  <c r="BM197" i="1" s="1"/>
  <c r="BG191" i="1"/>
  <c r="K192" i="2"/>
  <c r="M192" i="2" s="1"/>
  <c r="BE190" i="1"/>
  <c r="BA190" i="1"/>
  <c r="AL190" i="1"/>
  <c r="AR190" i="1" s="1"/>
  <c r="AG190" i="1"/>
  <c r="N190" i="1"/>
  <c r="S191" i="2"/>
  <c r="K191" i="2"/>
  <c r="M191" i="2" s="1"/>
  <c r="S190" i="2"/>
  <c r="AI197" i="1" l="1"/>
  <c r="BK196" i="1"/>
  <c r="BM196" i="1" s="1"/>
  <c r="U192" i="2"/>
  <c r="Q192" i="2"/>
  <c r="BG190" i="1"/>
  <c r="U191" i="2"/>
  <c r="Q191" i="2"/>
  <c r="BE189" i="1" l="1"/>
  <c r="BA189" i="1"/>
  <c r="BK195" i="1" s="1"/>
  <c r="BM195" i="1" s="1"/>
  <c r="AL189" i="1"/>
  <c r="AR189" i="1" s="1"/>
  <c r="AG189" i="1"/>
  <c r="AI196" i="1" s="1"/>
  <c r="N189" i="1"/>
  <c r="K190" i="2"/>
  <c r="Q190" i="2" s="1"/>
  <c r="S189" i="2"/>
  <c r="BG189" i="1" l="1"/>
  <c r="U190" i="2"/>
  <c r="M190" i="2"/>
  <c r="BE188" i="1" l="1"/>
  <c r="BA188" i="1"/>
  <c r="BK194" i="1" s="1"/>
  <c r="AL188" i="1"/>
  <c r="AG188" i="1"/>
  <c r="AI195" i="1" s="1"/>
  <c r="N188" i="1"/>
  <c r="K189" i="2"/>
  <c r="Q189" i="2" s="1"/>
  <c r="BM194" i="1" l="1"/>
  <c r="BK243" i="1"/>
  <c r="AR188" i="1"/>
  <c r="BG188" i="1"/>
  <c r="U189" i="2"/>
  <c r="M189" i="2"/>
  <c r="BE187" i="1"/>
  <c r="BA187" i="1"/>
  <c r="BK193" i="1" s="1"/>
  <c r="BM193" i="1" s="1"/>
  <c r="AL187" i="1"/>
  <c r="AR187" i="1" s="1"/>
  <c r="AG187" i="1"/>
  <c r="AI194" i="1" s="1"/>
  <c r="S188" i="2"/>
  <c r="K188" i="2"/>
  <c r="M188" i="2" s="1"/>
  <c r="N187" i="1"/>
  <c r="BE186" i="1"/>
  <c r="BA186" i="1"/>
  <c r="AL186" i="1"/>
  <c r="AR186" i="1" s="1"/>
  <c r="AG186" i="1"/>
  <c r="AI193" i="1" s="1"/>
  <c r="Q186" i="1"/>
  <c r="N186" i="1"/>
  <c r="S187" i="2"/>
  <c r="K187" i="2"/>
  <c r="Q187" i="2" s="1"/>
  <c r="BE185" i="1"/>
  <c r="BA185" i="1"/>
  <c r="AL185" i="1"/>
  <c r="AR185" i="1" s="1"/>
  <c r="AG185" i="1"/>
  <c r="AI192" i="1" s="1"/>
  <c r="Q185" i="1"/>
  <c r="N185" i="1"/>
  <c r="S186" i="2"/>
  <c r="K186" i="2"/>
  <c r="Q186" i="2" s="1"/>
  <c r="BK191" i="1" l="1"/>
  <c r="BM191" i="1" s="1"/>
  <c r="BK192" i="1"/>
  <c r="BM192" i="1" s="1"/>
  <c r="BG187" i="1"/>
  <c r="U188" i="2"/>
  <c r="Q188" i="2"/>
  <c r="BG186" i="1"/>
  <c r="U187" i="2"/>
  <c r="M187" i="2"/>
  <c r="BG185" i="1"/>
  <c r="U186" i="2"/>
  <c r="M186" i="2"/>
  <c r="BE184" i="1" l="1"/>
  <c r="BA184" i="1"/>
  <c r="BK190" i="1" s="1"/>
  <c r="BM190" i="1" s="1"/>
  <c r="AL184" i="1"/>
  <c r="AG184" i="1"/>
  <c r="AI191" i="1" s="1"/>
  <c r="Q184" i="1"/>
  <c r="N184" i="1"/>
  <c r="S185" i="2"/>
  <c r="K185" i="2"/>
  <c r="M185" i="2" s="1"/>
  <c r="BG184" i="1" l="1"/>
  <c r="AR184" i="1"/>
  <c r="U185" i="2"/>
  <c r="Q185" i="2"/>
  <c r="BE183" i="1" l="1"/>
  <c r="BA183" i="1"/>
  <c r="BK189" i="1" s="1"/>
  <c r="BM189" i="1" s="1"/>
  <c r="AL183" i="1"/>
  <c r="AR183" i="1" s="1"/>
  <c r="AG183" i="1"/>
  <c r="AI190" i="1" s="1"/>
  <c r="Q183" i="1"/>
  <c r="N183" i="1"/>
  <c r="S184" i="2"/>
  <c r="K184" i="2"/>
  <c r="Q184" i="2" s="1"/>
  <c r="BG183" i="1" l="1"/>
  <c r="U184" i="2"/>
  <c r="M184" i="2"/>
  <c r="S183" i="2"/>
  <c r="BE182" i="1" l="1"/>
  <c r="BA182" i="1"/>
  <c r="BK188" i="1" s="1"/>
  <c r="BM188" i="1" s="1"/>
  <c r="AL182" i="1"/>
  <c r="AR182" i="1" s="1"/>
  <c r="AG182" i="1"/>
  <c r="AI189" i="1" s="1"/>
  <c r="Q182" i="1"/>
  <c r="N182" i="1"/>
  <c r="K183" i="2"/>
  <c r="M183" i="2" s="1"/>
  <c r="BE181" i="1"/>
  <c r="BA181" i="1"/>
  <c r="AL181" i="1"/>
  <c r="AR181" i="1" s="1"/>
  <c r="AG181" i="1"/>
  <c r="AI188" i="1" s="1"/>
  <c r="Q181" i="1"/>
  <c r="N181" i="1"/>
  <c r="S182" i="2"/>
  <c r="U182" i="2" s="1"/>
  <c r="K182" i="2"/>
  <c r="M182" i="2" s="1"/>
  <c r="BE180" i="1"/>
  <c r="BA180" i="1"/>
  <c r="AL180" i="1"/>
  <c r="AR180" i="1" s="1"/>
  <c r="AG180" i="1"/>
  <c r="Q180" i="1"/>
  <c r="N180" i="1"/>
  <c r="S181" i="2"/>
  <c r="K181" i="2"/>
  <c r="M181" i="2" s="1"/>
  <c r="S180" i="2"/>
  <c r="U180" i="2" s="1"/>
  <c r="K180" i="2"/>
  <c r="BE179" i="1"/>
  <c r="BA179" i="1"/>
  <c r="AL179" i="1"/>
  <c r="AR179" i="1" s="1"/>
  <c r="AG179" i="1"/>
  <c r="Q179" i="1"/>
  <c r="N179" i="1"/>
  <c r="S179" i="2"/>
  <c r="BE178" i="1"/>
  <c r="BA178" i="1"/>
  <c r="AL178" i="1"/>
  <c r="AR178" i="1" s="1"/>
  <c r="AG178" i="1"/>
  <c r="Q178" i="1"/>
  <c r="S185" i="1" s="1"/>
  <c r="N178" i="1"/>
  <c r="K179" i="2"/>
  <c r="Q179" i="2" s="1"/>
  <c r="S178" i="2"/>
  <c r="BE177" i="1"/>
  <c r="BA177" i="1"/>
  <c r="AL177" i="1"/>
  <c r="AR177" i="1" s="1"/>
  <c r="AG177" i="1"/>
  <c r="Q177" i="1"/>
  <c r="N177" i="1"/>
  <c r="K178" i="2"/>
  <c r="M178" i="2" s="1"/>
  <c r="BC243" i="1" l="1"/>
  <c r="BE243" i="1" s="1"/>
  <c r="S186" i="1"/>
  <c r="AI186" i="1"/>
  <c r="AI185" i="1"/>
  <c r="AI187" i="1"/>
  <c r="BK183" i="1"/>
  <c r="BM183" i="1" s="1"/>
  <c r="BK184" i="1"/>
  <c r="BM184" i="1" s="1"/>
  <c r="BK185" i="1"/>
  <c r="BM185" i="1" s="1"/>
  <c r="BK186" i="1"/>
  <c r="BM186" i="1" s="1"/>
  <c r="BK187" i="1"/>
  <c r="AI184" i="1"/>
  <c r="S184" i="1"/>
  <c r="U183" i="2"/>
  <c r="BG182" i="1"/>
  <c r="Q183" i="2"/>
  <c r="BG181" i="1"/>
  <c r="Q182" i="2"/>
  <c r="BG180" i="1"/>
  <c r="U181" i="2"/>
  <c r="Q181" i="2"/>
  <c r="M180" i="2"/>
  <c r="Q180" i="2"/>
  <c r="BG179" i="1"/>
  <c r="BG178" i="1"/>
  <c r="U179" i="2"/>
  <c r="M179" i="2"/>
  <c r="BG177" i="1"/>
  <c r="U178" i="2"/>
  <c r="Q178" i="2"/>
  <c r="BE176" i="1"/>
  <c r="BA176" i="1"/>
  <c r="AL176" i="1"/>
  <c r="AR176" i="1" s="1"/>
  <c r="AG176" i="1"/>
  <c r="Q176" i="1"/>
  <c r="S183" i="1" s="1"/>
  <c r="N176" i="1"/>
  <c r="S176" i="2"/>
  <c r="S177" i="2"/>
  <c r="K177" i="2"/>
  <c r="M177" i="2" s="1"/>
  <c r="BK241" i="1" l="1"/>
  <c r="BK244" i="1"/>
  <c r="AI183" i="1"/>
  <c r="BM187" i="1"/>
  <c r="BK182" i="1"/>
  <c r="BM182" i="1" s="1"/>
  <c r="BG176" i="1"/>
  <c r="Q177" i="2"/>
  <c r="U177" i="2"/>
  <c r="BE175" i="1"/>
  <c r="BA175" i="1"/>
  <c r="AL175" i="1"/>
  <c r="AR175" i="1" s="1"/>
  <c r="AG175" i="1"/>
  <c r="Q175" i="1"/>
  <c r="S182" i="1" s="1"/>
  <c r="N175" i="1"/>
  <c r="K176" i="2"/>
  <c r="AI182" i="1" l="1"/>
  <c r="BK181" i="1"/>
  <c r="BM181" i="1" s="1"/>
  <c r="U176" i="2"/>
  <c r="BG175" i="1"/>
  <c r="Q176" i="2"/>
  <c r="M176" i="2"/>
  <c r="S175" i="2" l="1"/>
  <c r="BE174" i="1" l="1"/>
  <c r="BA174" i="1"/>
  <c r="AL174" i="1"/>
  <c r="AR174" i="1" s="1"/>
  <c r="AG174" i="1"/>
  <c r="Q174" i="1"/>
  <c r="S181" i="1" s="1"/>
  <c r="K175" i="2"/>
  <c r="Q175" i="2" s="1"/>
  <c r="AI181" i="1" l="1"/>
  <c r="BK180" i="1"/>
  <c r="BG174" i="1"/>
  <c r="U175" i="2"/>
  <c r="M175" i="2"/>
  <c r="S174" i="2"/>
  <c r="BE173" i="1"/>
  <c r="BA173" i="1"/>
  <c r="AL173" i="1"/>
  <c r="AR173" i="1" s="1"/>
  <c r="AG173" i="1"/>
  <c r="Q173" i="1"/>
  <c r="N173" i="1"/>
  <c r="K174" i="2"/>
  <c r="Q174" i="2" s="1"/>
  <c r="S173" i="2"/>
  <c r="BA248" i="1"/>
  <c r="BE172" i="1"/>
  <c r="BA172" i="1"/>
  <c r="AL172" i="1"/>
  <c r="AG172" i="1"/>
  <c r="Q172" i="1"/>
  <c r="S179" i="1" s="1"/>
  <c r="N172" i="1"/>
  <c r="K173" i="2"/>
  <c r="Q173" i="2" s="1"/>
  <c r="BK179" i="1" l="1"/>
  <c r="BM179" i="1" s="1"/>
  <c r="BM180" i="1"/>
  <c r="AI179" i="1"/>
  <c r="BK178" i="1"/>
  <c r="BM178" i="1" s="1"/>
  <c r="AI180" i="1"/>
  <c r="S180" i="1"/>
  <c r="BG173" i="1"/>
  <c r="U174" i="2"/>
  <c r="M174" i="2"/>
  <c r="BG172" i="1"/>
  <c r="AR172" i="1"/>
  <c r="U173" i="2"/>
  <c r="M173" i="2"/>
  <c r="BE171" i="1"/>
  <c r="BA171" i="1"/>
  <c r="AL171" i="1"/>
  <c r="AR171" i="1" s="1"/>
  <c r="AG171" i="1"/>
  <c r="AI178" i="1" s="1"/>
  <c r="Q171" i="1"/>
  <c r="S178" i="1" s="1"/>
  <c r="N171" i="1"/>
  <c r="S172" i="2"/>
  <c r="K172" i="2"/>
  <c r="Q172" i="2" s="1"/>
  <c r="BG171" i="1" l="1"/>
  <c r="BK177" i="1"/>
  <c r="BM177" i="1" s="1"/>
  <c r="U172" i="2"/>
  <c r="M172" i="2"/>
  <c r="S170" i="2" l="1"/>
  <c r="K170" i="2"/>
  <c r="Q170" i="2" s="1"/>
  <c r="S171" i="2"/>
  <c r="U171" i="2" s="1"/>
  <c r="K171" i="2"/>
  <c r="U170" i="2" l="1"/>
  <c r="Q171" i="2"/>
  <c r="M170" i="2"/>
  <c r="M171" i="2"/>
  <c r="BE170" i="1" l="1"/>
  <c r="BA170" i="1"/>
  <c r="BK176" i="1" s="1"/>
  <c r="BM176" i="1" s="1"/>
  <c r="AL170" i="1"/>
  <c r="AG170" i="1"/>
  <c r="AI177" i="1" s="1"/>
  <c r="Q170" i="1"/>
  <c r="S177" i="1" s="1"/>
  <c r="N170" i="1"/>
  <c r="AR170" i="1" l="1"/>
  <c r="BG170" i="1"/>
  <c r="S169" i="2" l="1"/>
  <c r="BE169" i="1" l="1"/>
  <c r="BA169" i="1"/>
  <c r="BK175" i="1" s="1"/>
  <c r="BM175" i="1" s="1"/>
  <c r="AL169" i="1"/>
  <c r="AR169" i="1" s="1"/>
  <c r="AG169" i="1"/>
  <c r="AI176" i="1" s="1"/>
  <c r="Q169" i="1"/>
  <c r="S176" i="1" s="1"/>
  <c r="N169" i="1"/>
  <c r="K169" i="2"/>
  <c r="M169" i="2" s="1"/>
  <c r="U169" i="2" l="1"/>
  <c r="BG169" i="1"/>
  <c r="Q169" i="2"/>
  <c r="S168" i="2" l="1"/>
  <c r="BE168" i="1" l="1"/>
  <c r="BA168" i="1"/>
  <c r="BK174" i="1" s="1"/>
  <c r="BM174" i="1" s="1"/>
  <c r="AL168" i="1"/>
  <c r="AR168" i="1" s="1"/>
  <c r="AG168" i="1"/>
  <c r="AI175" i="1" s="1"/>
  <c r="Q168" i="1"/>
  <c r="S175" i="1" s="1"/>
  <c r="N168" i="1"/>
  <c r="K168" i="2"/>
  <c r="Q168" i="2" s="1"/>
  <c r="BG168" i="1" l="1"/>
  <c r="U168" i="2"/>
  <c r="M168" i="2"/>
  <c r="S167" i="2"/>
  <c r="BE167" i="1" l="1"/>
  <c r="BA167" i="1"/>
  <c r="BK173" i="1" s="1"/>
  <c r="BM173" i="1" s="1"/>
  <c r="AL167" i="1"/>
  <c r="AG167" i="1"/>
  <c r="AI174" i="1" s="1"/>
  <c r="Q167" i="1"/>
  <c r="S174" i="1" s="1"/>
  <c r="N167" i="1"/>
  <c r="K167" i="2"/>
  <c r="M167" i="2" s="1"/>
  <c r="AR167" i="1" l="1"/>
  <c r="BG167" i="1"/>
  <c r="U167" i="2"/>
  <c r="Q167" i="2"/>
  <c r="N110" i="1" l="1"/>
  <c r="N103" i="1"/>
  <c r="S166" i="2"/>
  <c r="BE166" i="1" l="1"/>
  <c r="BA166" i="1"/>
  <c r="BK172" i="1" s="1"/>
  <c r="BM172" i="1" s="1"/>
  <c r="AL166" i="1"/>
  <c r="AR166" i="1" s="1"/>
  <c r="AG166" i="1"/>
  <c r="AI173" i="1" s="1"/>
  <c r="Q166" i="1"/>
  <c r="S173" i="1" s="1"/>
  <c r="N166" i="1"/>
  <c r="K166" i="2"/>
  <c r="M166" i="2" s="1"/>
  <c r="S165" i="2"/>
  <c r="BE165" i="1"/>
  <c r="BA165" i="1"/>
  <c r="BK171" i="1" s="1"/>
  <c r="BM171" i="1" s="1"/>
  <c r="AL165" i="1"/>
  <c r="AR165" i="1" s="1"/>
  <c r="AG165" i="1"/>
  <c r="AI172" i="1" s="1"/>
  <c r="Q165" i="1"/>
  <c r="S172" i="1" s="1"/>
  <c r="N165" i="1"/>
  <c r="BG165" i="1" l="1"/>
  <c r="BG166" i="1"/>
  <c r="U166" i="2"/>
  <c r="Q166" i="2"/>
  <c r="BE164" i="1"/>
  <c r="BA164" i="1"/>
  <c r="BK170" i="1" s="1"/>
  <c r="BM170" i="1" s="1"/>
  <c r="AL164" i="1"/>
  <c r="AR164" i="1" s="1"/>
  <c r="AG164" i="1"/>
  <c r="AI171" i="1" s="1"/>
  <c r="Q164" i="1"/>
  <c r="S171" i="1" s="1"/>
  <c r="N164" i="1"/>
  <c r="K165" i="2"/>
  <c r="M165" i="2" s="1"/>
  <c r="BG164" i="1" l="1"/>
  <c r="U165" i="2"/>
  <c r="Q165" i="2"/>
  <c r="BE163" i="1" l="1"/>
  <c r="BA163" i="1"/>
  <c r="BK169" i="1" s="1"/>
  <c r="BM169" i="1" s="1"/>
  <c r="AL163" i="1"/>
  <c r="AG163" i="1"/>
  <c r="AI170" i="1" s="1"/>
  <c r="Q163" i="1"/>
  <c r="S170" i="1" s="1"/>
  <c r="N163" i="1"/>
  <c r="S164" i="2"/>
  <c r="K164" i="2"/>
  <c r="Q164" i="2" s="1"/>
  <c r="BG163" i="1" l="1"/>
  <c r="AR163" i="1"/>
  <c r="U164" i="2"/>
  <c r="M164" i="2"/>
  <c r="BE162" i="1"/>
  <c r="BA162" i="1"/>
  <c r="AL162" i="1"/>
  <c r="AG162" i="1"/>
  <c r="AI169" i="1" s="1"/>
  <c r="Q162" i="1"/>
  <c r="S169" i="1" s="1"/>
  <c r="N162" i="1"/>
  <c r="S163" i="2"/>
  <c r="S162" i="2"/>
  <c r="K163" i="2"/>
  <c r="M163" i="2" s="1"/>
  <c r="BK168" i="1" l="1"/>
  <c r="BG162" i="1"/>
  <c r="AR162" i="1"/>
  <c r="U163" i="2"/>
  <c r="Q163" i="2"/>
  <c r="BM168" i="1" l="1"/>
  <c r="BE161" i="1"/>
  <c r="BA161" i="1"/>
  <c r="AL161" i="1"/>
  <c r="AR161" i="1" s="1"/>
  <c r="AG161" i="1"/>
  <c r="Q161" i="1"/>
  <c r="S168" i="1" s="1"/>
  <c r="N161" i="1"/>
  <c r="K162" i="2"/>
  <c r="Q162" i="2" s="1"/>
  <c r="AI168" i="1" l="1"/>
  <c r="BK167" i="1"/>
  <c r="BM167" i="1" s="1"/>
  <c r="BG161" i="1"/>
  <c r="U162" i="2"/>
  <c r="M162" i="2"/>
  <c r="S161" i="2"/>
  <c r="BE160" i="1" l="1"/>
  <c r="BA160" i="1"/>
  <c r="AL160" i="1"/>
  <c r="AR160" i="1" s="1"/>
  <c r="AG160" i="1"/>
  <c r="Q160" i="1"/>
  <c r="N160" i="1"/>
  <c r="K161" i="2"/>
  <c r="Q161" i="2" s="1"/>
  <c r="S160" i="2"/>
  <c r="BE159" i="1"/>
  <c r="BA159" i="1"/>
  <c r="AL159" i="1"/>
  <c r="AR159" i="1" s="1"/>
  <c r="AG159" i="1"/>
  <c r="Q159" i="1"/>
  <c r="N159" i="1"/>
  <c r="K160" i="2"/>
  <c r="M160" i="2" s="1"/>
  <c r="S159" i="2"/>
  <c r="BE158" i="1"/>
  <c r="BA158" i="1"/>
  <c r="AL158" i="1"/>
  <c r="AR158" i="1" s="1"/>
  <c r="AG158" i="1"/>
  <c r="Q158" i="1"/>
  <c r="K159" i="2"/>
  <c r="Q159" i="2" s="1"/>
  <c r="S165" i="1" l="1"/>
  <c r="S166" i="1"/>
  <c r="AI158" i="1"/>
  <c r="AI165" i="1"/>
  <c r="BK165" i="1"/>
  <c r="BM165" i="1" s="1"/>
  <c r="S167" i="1"/>
  <c r="AI166" i="1"/>
  <c r="AI167" i="1"/>
  <c r="BK164" i="1"/>
  <c r="BM164" i="1" s="1"/>
  <c r="BK166" i="1"/>
  <c r="BG160" i="1"/>
  <c r="U161" i="2"/>
  <c r="M161" i="2"/>
  <c r="AP288" i="1"/>
  <c r="AP289" i="1" s="1"/>
  <c r="U160" i="2"/>
  <c r="BG159" i="1"/>
  <c r="Q160" i="2"/>
  <c r="BG158" i="1"/>
  <c r="U159" i="2"/>
  <c r="M159" i="2"/>
  <c r="BM166" i="1" l="1"/>
  <c r="BE157" i="1"/>
  <c r="BA157" i="1"/>
  <c r="AL157" i="1"/>
  <c r="AR157" i="1" s="1"/>
  <c r="AG157" i="1"/>
  <c r="AI164" i="1" s="1"/>
  <c r="Q157" i="1"/>
  <c r="S164" i="1" s="1"/>
  <c r="S158" i="2"/>
  <c r="K158" i="2"/>
  <c r="Q158" i="2" s="1"/>
  <c r="BK163" i="1" l="1"/>
  <c r="BM163" i="1" s="1"/>
  <c r="BG157" i="1"/>
  <c r="AI157" i="1"/>
  <c r="U158" i="2"/>
  <c r="M158" i="2"/>
  <c r="BE156" i="1"/>
  <c r="BA156" i="1"/>
  <c r="AL156" i="1"/>
  <c r="AG156" i="1"/>
  <c r="Q156" i="1"/>
  <c r="S163" i="1" s="1"/>
  <c r="S157" i="2"/>
  <c r="K157" i="2"/>
  <c r="M157" i="2" s="1"/>
  <c r="AI156" i="1" l="1"/>
  <c r="AI163" i="1"/>
  <c r="BK162" i="1"/>
  <c r="BM162" i="1" s="1"/>
  <c r="AR156" i="1"/>
  <c r="BG156" i="1"/>
  <c r="U157" i="2"/>
  <c r="Q157" i="2"/>
  <c r="N138" i="1" l="1"/>
  <c r="N145" i="1"/>
  <c r="N152" i="1"/>
  <c r="BE155" i="1"/>
  <c r="BA155" i="1"/>
  <c r="AL155" i="1"/>
  <c r="AR155" i="1" s="1"/>
  <c r="AG155" i="1"/>
  <c r="Q155" i="1"/>
  <c r="S162" i="1" s="1"/>
  <c r="S156" i="2"/>
  <c r="K156" i="2"/>
  <c r="M156" i="2" s="1"/>
  <c r="AI155" i="1" l="1"/>
  <c r="AI162" i="1"/>
  <c r="BK161" i="1"/>
  <c r="BM161" i="1" s="1"/>
  <c r="BG155" i="1"/>
  <c r="U156" i="2"/>
  <c r="Q156" i="2"/>
  <c r="S155" i="2" l="1"/>
  <c r="BE154" i="1" l="1"/>
  <c r="BA154" i="1"/>
  <c r="AL154" i="1"/>
  <c r="AG154" i="1"/>
  <c r="Q154" i="1"/>
  <c r="S161" i="1" s="1"/>
  <c r="K155" i="2"/>
  <c r="Q155" i="2" s="1"/>
  <c r="H283" i="1"/>
  <c r="H284" i="1"/>
  <c r="J284" i="1" s="1"/>
  <c r="H285" i="1"/>
  <c r="J285" i="1" s="1"/>
  <c r="S154" i="2"/>
  <c r="O285" i="1" l="1"/>
  <c r="AI154" i="1"/>
  <c r="AI161" i="1"/>
  <c r="BK160" i="1"/>
  <c r="BM160" i="1" s="1"/>
  <c r="AR154" i="1"/>
  <c r="BG154" i="1"/>
  <c r="U155" i="2"/>
  <c r="M155" i="2"/>
  <c r="J283" i="1"/>
  <c r="J290" i="1" s="1"/>
  <c r="BE153" i="1"/>
  <c r="BA153" i="1"/>
  <c r="BK159" i="1" s="1"/>
  <c r="BM159" i="1" s="1"/>
  <c r="AL153" i="1"/>
  <c r="AR153" i="1" s="1"/>
  <c r="AG153" i="1"/>
  <c r="AI160" i="1" s="1"/>
  <c r="Q153" i="1"/>
  <c r="S160" i="1" s="1"/>
  <c r="K154" i="2"/>
  <c r="M154" i="2" s="1"/>
  <c r="O286" i="1" l="1"/>
  <c r="AA285" i="1"/>
  <c r="BG153" i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BK158" i="1" s="1"/>
  <c r="BM158" i="1" s="1"/>
  <c r="AL152" i="1"/>
  <c r="AG152" i="1"/>
  <c r="AI159" i="1" s="1"/>
  <c r="Q152" i="1"/>
  <c r="S159" i="1" s="1"/>
  <c r="BE151" i="1"/>
  <c r="BA151" i="1"/>
  <c r="BK157" i="1" s="1"/>
  <c r="BM157" i="1" s="1"/>
  <c r="AL151" i="1"/>
  <c r="AR151" i="1" s="1"/>
  <c r="Q151" i="1"/>
  <c r="S158" i="1" s="1"/>
  <c r="AR152" i="1" l="1"/>
  <c r="BG152" i="1"/>
  <c r="BG151" i="1"/>
  <c r="S151" i="2"/>
  <c r="K151" i="2"/>
  <c r="BC149" i="1"/>
  <c r="BA150" i="1" s="1"/>
  <c r="BK156" i="1" s="1"/>
  <c r="BM156" i="1" s="1"/>
  <c r="AP149" i="1"/>
  <c r="AL150" i="1" s="1"/>
  <c r="BE150" i="1"/>
  <c r="Q150" i="1"/>
  <c r="S157" i="1" s="1"/>
  <c r="S150" i="2"/>
  <c r="U151" i="2" l="1"/>
  <c r="BG150" i="1"/>
  <c r="AR150" i="1"/>
  <c r="BE149" i="1"/>
  <c r="BA149" i="1"/>
  <c r="BK155" i="1" s="1"/>
  <c r="BM155" i="1" s="1"/>
  <c r="AL149" i="1"/>
  <c r="Q149" i="1"/>
  <c r="S156" i="1" s="1"/>
  <c r="K150" i="2"/>
  <c r="Q150" i="2" s="1"/>
  <c r="Q151" i="2" l="1"/>
  <c r="M151" i="2"/>
  <c r="BG149" i="1"/>
  <c r="AR149" i="1"/>
  <c r="U150" i="2"/>
  <c r="M150" i="2"/>
  <c r="S149" i="2"/>
  <c r="BE148" i="1" l="1"/>
  <c r="BA148" i="1"/>
  <c r="BK154" i="1" s="1"/>
  <c r="BM154" i="1" s="1"/>
  <c r="AL148" i="1"/>
  <c r="Q148" i="1"/>
  <c r="S155" i="1" s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S154" i="1" s="1"/>
  <c r="K148" i="2"/>
  <c r="Q148" i="2" s="1"/>
  <c r="F217" i="3"/>
  <c r="F216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C242" i="1" l="1"/>
  <c r="BE242" i="1" s="1"/>
  <c r="BK150" i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261" i="1" l="1"/>
  <c r="AR256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260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V168" i="1" l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Q138" i="2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V209" i="1" l="1"/>
  <c r="V210" i="1" s="1"/>
  <c r="V211" i="1" s="1"/>
  <c r="V212" i="1" s="1"/>
  <c r="V213" i="1" s="1"/>
  <c r="BG135" i="1"/>
  <c r="U136" i="2"/>
  <c r="S135" i="2"/>
  <c r="V214" i="1" l="1"/>
  <c r="V215" i="1" s="1"/>
  <c r="V216" i="1" s="1"/>
  <c r="V217" i="1" s="1"/>
  <c r="V218" i="1" s="1"/>
  <c r="V219" i="1" s="1"/>
  <c r="V220" i="1" s="1"/>
  <c r="BE134" i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V221" i="1" l="1"/>
  <c r="Q135" i="2"/>
  <c r="M136" i="2"/>
  <c r="Q136" i="2"/>
  <c r="BK139" i="1"/>
  <c r="BG134" i="1"/>
  <c r="U135" i="2"/>
  <c r="M135" i="2"/>
  <c r="BG133" i="1"/>
  <c r="U134" i="2"/>
  <c r="D265" i="1"/>
  <c r="S133" i="2"/>
  <c r="BM139" i="1" l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259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255" i="1" s="1"/>
  <c r="AH113" i="1"/>
  <c r="AP255" i="1" s="1"/>
  <c r="BE124" i="1"/>
  <c r="BA124" i="1"/>
  <c r="AL124" i="1"/>
  <c r="AG124" i="1"/>
  <c r="AI131" i="1" s="1"/>
  <c r="K125" i="2"/>
  <c r="S124" i="2"/>
  <c r="AV255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72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H242" i="1" s="1"/>
  <c r="AG259" i="1" l="1"/>
  <c r="AP256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256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BC244" i="1" s="1"/>
  <c r="BE244" i="1" s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98" i="3"/>
  <c r="AA197" i="3"/>
  <c r="AA196" i="3"/>
  <c r="AA195" i="3"/>
  <c r="AA194" i="3"/>
  <c r="AA193" i="3"/>
  <c r="AA192" i="3"/>
  <c r="AA191" i="3"/>
  <c r="AA190" i="3"/>
  <c r="AA189" i="3"/>
  <c r="AJ199" i="3"/>
  <c r="AJ202" i="3" s="1"/>
  <c r="Y199" i="3"/>
  <c r="W199" i="3"/>
  <c r="S107" i="2"/>
  <c r="AA199" i="3" l="1"/>
  <c r="AA202" i="3" s="1"/>
  <c r="U199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Q47" i="1"/>
  <c r="Q48" i="1" s="1"/>
  <c r="Q40" i="1"/>
  <c r="Q33" i="1"/>
  <c r="BE89" i="1"/>
  <c r="BA89" i="1"/>
  <c r="AL89" i="1"/>
  <c r="AR89" i="1" s="1"/>
  <c r="AG89" i="1"/>
  <c r="AI96" i="1" s="1"/>
  <c r="Q89" i="1"/>
  <c r="S54" i="1" l="1"/>
  <c r="S82" i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210" i="3"/>
  <c r="F213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254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G76" i="1"/>
  <c r="U77" i="2"/>
  <c r="S76" i="2"/>
  <c r="BM82" i="1" l="1"/>
  <c r="BE75" i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254" i="1"/>
  <c r="I60" i="3"/>
  <c r="AH214" i="1" l="1"/>
  <c r="AH213" i="1"/>
  <c r="AH210" i="1"/>
  <c r="AH212" i="1"/>
  <c r="AH211" i="1"/>
  <c r="AH209" i="1"/>
  <c r="AH208" i="1"/>
  <c r="AH207" i="1"/>
  <c r="AH206" i="1"/>
  <c r="AH205" i="1"/>
  <c r="AH204" i="1"/>
  <c r="AH203" i="1"/>
  <c r="AH202" i="1"/>
  <c r="AH201" i="1"/>
  <c r="AH200" i="1"/>
  <c r="AH199" i="1"/>
  <c r="AH196" i="1"/>
  <c r="AH197" i="1"/>
  <c r="AH198" i="1"/>
  <c r="AH195" i="1"/>
  <c r="AH194" i="1"/>
  <c r="AH192" i="1"/>
  <c r="AH193" i="1"/>
  <c r="AH191" i="1"/>
  <c r="AH190" i="1"/>
  <c r="AH189" i="1"/>
  <c r="AH187" i="1"/>
  <c r="AH188" i="1"/>
  <c r="AH186" i="1"/>
  <c r="AH185" i="1"/>
  <c r="AH184" i="1"/>
  <c r="AH181" i="1"/>
  <c r="AH182" i="1"/>
  <c r="AH178" i="1"/>
  <c r="AH179" i="1"/>
  <c r="AH180" i="1"/>
  <c r="AH177" i="1"/>
  <c r="AH183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58" i="1"/>
  <c r="AH156" i="1"/>
  <c r="AH157" i="1"/>
  <c r="AH155" i="1"/>
  <c r="AH154" i="1"/>
  <c r="AH164" i="1"/>
  <c r="AH160" i="1"/>
  <c r="AH163" i="1"/>
  <c r="AH159" i="1"/>
  <c r="AH162" i="1"/>
  <c r="AH161" i="1"/>
  <c r="AH153" i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AL69" i="1"/>
  <c r="AR69" i="1" s="1"/>
  <c r="BM75" i="1" l="1"/>
  <c r="Q71" i="2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254" i="1"/>
  <c r="AV254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200" i="3" l="1"/>
  <c r="I197" i="3"/>
  <c r="L197" i="3" s="1"/>
  <c r="I78" i="3"/>
  <c r="I80" i="3" s="1"/>
  <c r="I77" i="3"/>
  <c r="BE64" i="1"/>
  <c r="BA64" i="1"/>
  <c r="AL64" i="1"/>
  <c r="AR64" i="1" s="1"/>
  <c r="K65" i="2"/>
  <c r="Y19" i="3"/>
  <c r="Q66" i="2" l="1"/>
  <c r="M66" i="2"/>
  <c r="L200" i="3"/>
  <c r="I79" i="3"/>
  <c r="I81" i="3" s="1"/>
  <c r="I82" i="3" s="1"/>
  <c r="BG64" i="1"/>
  <c r="U65" i="2"/>
  <c r="S64" i="2"/>
  <c r="N81" i="3" l="1"/>
  <c r="N82" i="3" s="1"/>
  <c r="I199" i="3"/>
  <c r="L199" i="3" s="1"/>
  <c r="K64" i="2"/>
  <c r="BE63" i="1"/>
  <c r="BA63" i="1"/>
  <c r="AL63" i="1"/>
  <c r="AR63" i="1" s="1"/>
  <c r="Y18" i="3"/>
  <c r="Q65" i="2" l="1"/>
  <c r="M65" i="2"/>
  <c r="I201" i="3"/>
  <c r="U64" i="2"/>
  <c r="BG63" i="1"/>
  <c r="L190" i="3" l="1"/>
  <c r="L201" i="3"/>
  <c r="L189" i="3"/>
  <c r="S63" i="2"/>
  <c r="BE62" i="1"/>
  <c r="BA62" i="1"/>
  <c r="BK68" i="1" s="1"/>
  <c r="AL62" i="1"/>
  <c r="AR62" i="1" s="1"/>
  <c r="K63" i="2"/>
  <c r="Y17" i="3"/>
  <c r="BM68" i="1" l="1"/>
  <c r="Q64" i="2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AL55" i="1"/>
  <c r="AR55" i="1" s="1"/>
  <c r="BM61" i="1" l="1"/>
  <c r="BK84" i="1"/>
  <c r="BK85" i="1" s="1"/>
  <c r="U94" i="3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Q55" i="2"/>
  <c r="M55" i="2"/>
  <c r="U54" i="2"/>
  <c r="BG53" i="1"/>
  <c r="K53" i="2"/>
  <c r="Q54" i="2" s="1"/>
  <c r="BE52" i="1"/>
  <c r="BA52" i="1"/>
  <c r="AL52" i="1"/>
  <c r="AR52" i="1" s="1"/>
  <c r="U122" i="3" l="1"/>
  <c r="U123" i="3" s="1"/>
  <c r="U124" i="3" s="1"/>
  <c r="U125" i="3" s="1"/>
  <c r="U126" i="3" s="1"/>
  <c r="U127" i="3" s="1"/>
  <c r="M54" i="2"/>
  <c r="U53" i="2"/>
  <c r="BG52" i="1"/>
  <c r="G46" i="2"/>
  <c r="AO244" i="2"/>
  <c r="S52" i="2"/>
  <c r="U128" i="3" l="1"/>
  <c r="U129" i="3" s="1"/>
  <c r="U130" i="3" s="1"/>
  <c r="U131" i="3" s="1"/>
  <c r="U132" i="3" s="1"/>
  <c r="U133" i="3" s="1"/>
  <c r="U134" i="3" s="1"/>
  <c r="U135" i="3" s="1"/>
  <c r="U136" i="3" s="1"/>
  <c r="U137" i="3" s="1"/>
  <c r="U138" i="3" s="1"/>
  <c r="AD29" i="2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139" i="3" l="1"/>
  <c r="U140" i="3" s="1"/>
  <c r="U141" i="3" s="1"/>
  <c r="U142" i="3" s="1"/>
  <c r="U143" i="3" s="1"/>
  <c r="U144" i="3" s="1"/>
  <c r="U145" i="3" s="1"/>
  <c r="U146" i="3" s="1"/>
  <c r="U147" i="3" s="1"/>
  <c r="U148" i="3" s="1"/>
  <c r="U149" i="3" s="1"/>
  <c r="Q33" i="2"/>
  <c r="Q36" i="2"/>
  <c r="Q49" i="2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U150" i="3" l="1"/>
  <c r="U151" i="3" s="1"/>
  <c r="U152" i="3" s="1"/>
  <c r="U153" i="3" s="1"/>
  <c r="U154" i="3" s="1"/>
  <c r="U155" i="3" s="1"/>
  <c r="U156" i="3" s="1"/>
  <c r="C154" i="2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U157" i="3" l="1"/>
  <c r="U158" i="3" s="1"/>
  <c r="U159" i="3" s="1"/>
  <c r="U160" i="3" s="1"/>
  <c r="U161" i="3" s="1"/>
  <c r="U162" i="3" s="1"/>
  <c r="U181" i="3" s="1"/>
  <c r="C167" i="2"/>
  <c r="C168" i="2" s="1"/>
  <c r="C169" i="2" s="1"/>
  <c r="C170" i="2" s="1"/>
  <c r="C171" i="2" s="1"/>
  <c r="C172" i="2" s="1"/>
  <c r="C173" i="2" s="1"/>
  <c r="C174" i="2" s="1"/>
  <c r="W122" i="2"/>
  <c r="W123" i="2" s="1"/>
  <c r="W124" i="2" s="1"/>
  <c r="W125" i="2" s="1"/>
  <c r="W126" i="2" s="1"/>
  <c r="W127" i="2" s="1"/>
  <c r="BW15" i="1"/>
  <c r="AX14" i="1"/>
  <c r="AJ27" i="2"/>
  <c r="AH31" i="2"/>
  <c r="BG50" i="1"/>
  <c r="C175" i="2" l="1"/>
  <c r="C176" i="2" s="1"/>
  <c r="C177" i="2" s="1"/>
  <c r="C178" i="2" s="1"/>
  <c r="C179" i="2" s="1"/>
  <c r="C180" i="2" s="1"/>
  <c r="C181" i="2" s="1"/>
  <c r="C182" i="2" s="1"/>
  <c r="W128" i="2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C183" i="2" l="1"/>
  <c r="C184" i="2" s="1"/>
  <c r="C185" i="2" s="1"/>
  <c r="C186" i="2" s="1"/>
  <c r="C187" i="2" s="1"/>
  <c r="C188" i="2" s="1"/>
  <c r="C189" i="2" s="1"/>
  <c r="C190" i="2" s="1"/>
  <c r="C191" i="2" s="1"/>
  <c r="C192" i="2" s="1"/>
  <c r="W135" i="2"/>
  <c r="W136" i="2" s="1"/>
  <c r="W137" i="2" s="1"/>
  <c r="W138" i="2" s="1"/>
  <c r="BW17" i="1"/>
  <c r="AX16" i="1"/>
  <c r="BG49" i="1"/>
  <c r="C193" i="2" l="1"/>
  <c r="C194" i="2" s="1"/>
  <c r="C195" i="2" s="1"/>
  <c r="W139" i="2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96" i="1"/>
  <c r="B299" i="1"/>
  <c r="C196" i="2" l="1"/>
  <c r="C197" i="2" s="1"/>
  <c r="C198" i="2" s="1"/>
  <c r="C199" i="2" s="1"/>
  <c r="C200" i="2" s="1"/>
  <c r="C201" i="2" s="1"/>
  <c r="W147" i="2"/>
  <c r="W148" i="2" s="1"/>
  <c r="BM54" i="1"/>
  <c r="BW19" i="1"/>
  <c r="AX18" i="1"/>
  <c r="BG48" i="1"/>
  <c r="BE47" i="1"/>
  <c r="BA47" i="1"/>
  <c r="AL47" i="1"/>
  <c r="AR47" i="1" s="1"/>
  <c r="C202" i="2" l="1"/>
  <c r="C203" i="2" s="1"/>
  <c r="C204" i="2" s="1"/>
  <c r="C205" i="2" s="1"/>
  <c r="C206" i="2" s="1"/>
  <c r="W149" i="2"/>
  <c r="BW20" i="1"/>
  <c r="AX19" i="1"/>
  <c r="BG47" i="1"/>
  <c r="BE46" i="1"/>
  <c r="BA46" i="1"/>
  <c r="AL46" i="1"/>
  <c r="AR46" i="1" s="1"/>
  <c r="C207" i="2" l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30" i="2" s="1"/>
  <c r="W150" i="2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W162" i="2" l="1"/>
  <c r="W163" i="2" s="1"/>
  <c r="W164" i="2" s="1"/>
  <c r="BW25" i="1"/>
  <c r="AX24" i="1"/>
  <c r="BE43" i="1"/>
  <c r="BG43" i="1" s="1"/>
  <c r="W165" i="2" l="1"/>
  <c r="W166" i="2" s="1"/>
  <c r="BW26" i="1"/>
  <c r="AX25" i="1"/>
  <c r="BE42" i="1"/>
  <c r="BA42" i="1"/>
  <c r="AL42" i="1"/>
  <c r="AR42" i="1" s="1"/>
  <c r="W167" i="2" l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BW27" i="1"/>
  <c r="AX26" i="1"/>
  <c r="BG42" i="1"/>
  <c r="W183" i="2" l="1"/>
  <c r="BW28" i="1"/>
  <c r="AX27" i="1"/>
  <c r="BE41" i="1"/>
  <c r="BA41" i="1"/>
  <c r="BK47" i="1" s="1"/>
  <c r="BM47" i="1" s="1"/>
  <c r="AL41" i="1"/>
  <c r="AR41" i="1" s="1"/>
  <c r="W184" i="2" l="1"/>
  <c r="W185" i="2" s="1"/>
  <c r="W186" i="2" s="1"/>
  <c r="W187" i="2" s="1"/>
  <c r="W188" i="2" s="1"/>
  <c r="W189" i="2" s="1"/>
  <c r="W190" i="2" s="1"/>
  <c r="W191" i="2" s="1"/>
  <c r="W192" i="2" s="1"/>
  <c r="BW29" i="1"/>
  <c r="AX28" i="1"/>
  <c r="BG41" i="1"/>
  <c r="W193" i="2" l="1"/>
  <c r="BW30" i="1"/>
  <c r="AX29" i="1"/>
  <c r="BE40" i="1"/>
  <c r="BA40" i="1"/>
  <c r="AL40" i="1"/>
  <c r="AR40" i="1" s="1"/>
  <c r="BE39" i="1"/>
  <c r="BA39" i="1"/>
  <c r="AL39" i="1"/>
  <c r="AR39" i="1" s="1"/>
  <c r="W194" i="2" l="1"/>
  <c r="W195" i="2" s="1"/>
  <c r="BW31" i="1"/>
  <c r="AX30" i="1"/>
  <c r="BG40" i="1"/>
  <c r="W196" i="2" l="1"/>
  <c r="BW32" i="1"/>
  <c r="AX31" i="1"/>
  <c r="BE38" i="1"/>
  <c r="BA38" i="1"/>
  <c r="AL38" i="1"/>
  <c r="AR38" i="1" s="1"/>
  <c r="W197" i="2" l="1"/>
  <c r="W198" i="2" s="1"/>
  <c r="W199" i="2" s="1"/>
  <c r="W200" i="2" s="1"/>
  <c r="W201" i="2" s="1"/>
  <c r="W202" i="2" s="1"/>
  <c r="W203" i="2" s="1"/>
  <c r="W204" i="2" s="1"/>
  <c r="W205" i="2" s="1"/>
  <c r="W206" i="2" s="1"/>
  <c r="BW33" i="1"/>
  <c r="AX32" i="1"/>
  <c r="BE37" i="1"/>
  <c r="BA37" i="1"/>
  <c r="AL37" i="1"/>
  <c r="AR37" i="1" s="1"/>
  <c r="BE36" i="1"/>
  <c r="BA36" i="1"/>
  <c r="AL36" i="1"/>
  <c r="AR36" i="1" s="1"/>
  <c r="W207" i="2" l="1"/>
  <c r="W208" i="2" s="1"/>
  <c r="W209" i="2" s="1"/>
  <c r="W210" i="2" s="1"/>
  <c r="W211" i="2" s="1"/>
  <c r="W212" i="2" s="1"/>
  <c r="W213" i="2" s="1"/>
  <c r="W214" i="2" s="1"/>
  <c r="W215" i="2" s="1"/>
  <c r="BW34" i="1"/>
  <c r="AX33" i="1"/>
  <c r="BE35" i="1"/>
  <c r="BA35" i="1"/>
  <c r="AL35" i="1"/>
  <c r="AR35" i="1" s="1"/>
  <c r="W216" i="2" l="1"/>
  <c r="W217" i="2" s="1"/>
  <c r="W218" i="2" s="1"/>
  <c r="W219" i="2" s="1"/>
  <c r="W220" i="2" s="1"/>
  <c r="W221" i="2" s="1"/>
  <c r="W222" i="2" s="1"/>
  <c r="W230" i="2" s="1"/>
  <c r="BW35" i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253" i="1"/>
  <c r="BW43" i="1"/>
  <c r="BN43" i="1" s="1"/>
  <c r="AX42" i="1"/>
  <c r="BE24" i="1"/>
  <c r="BC24" i="1"/>
  <c r="AR258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260" i="1" l="1"/>
  <c r="AV260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253" i="1" l="1"/>
  <c r="AV253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163" i="1" l="1"/>
  <c r="B164" i="1" s="1"/>
  <c r="B165" i="1" s="1"/>
  <c r="B166" i="1" s="1"/>
  <c r="B167" i="1" s="1"/>
  <c r="B168" i="1" s="1"/>
  <c r="BW56" i="1"/>
  <c r="BN56" i="1" s="1"/>
  <c r="AX55" i="1"/>
  <c r="AV12" i="1"/>
  <c r="O12" i="1"/>
  <c r="J13" i="1"/>
  <c r="H13" i="1"/>
  <c r="BR35" i="1"/>
  <c r="BP36" i="1"/>
  <c r="AA14" i="1"/>
  <c r="AE14" i="1" s="1"/>
  <c r="B169" i="1" l="1"/>
  <c r="B170" i="1" s="1"/>
  <c r="B171" i="1" s="1"/>
  <c r="B172" i="1" s="1"/>
  <c r="B173" i="1" s="1"/>
  <c r="BW57" i="1"/>
  <c r="BN57" i="1" s="1"/>
  <c r="AX56" i="1"/>
  <c r="AV13" i="1"/>
  <c r="O13" i="1"/>
  <c r="J14" i="1"/>
  <c r="H14" i="1"/>
  <c r="AC13" i="1"/>
  <c r="BR36" i="1"/>
  <c r="BP37" i="1"/>
  <c r="AA15" i="1"/>
  <c r="AE15" i="1" s="1"/>
  <c r="B174" i="1" l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W58" i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B187" i="1" l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AV15" i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206" i="1" l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W60" i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250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201" i="3"/>
  <c r="Y202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W163" i="1" s="1"/>
  <c r="BR140" i="1"/>
  <c r="BP141" i="1"/>
  <c r="BR139" i="1"/>
  <c r="BR138" i="1"/>
  <c r="AE118" i="1"/>
  <c r="AA119" i="1"/>
  <c r="AV100" i="1"/>
  <c r="J101" i="1"/>
  <c r="H101" i="1"/>
  <c r="O100" i="1"/>
  <c r="AC100" i="1"/>
  <c r="BW164" i="1" l="1"/>
  <c r="BN163" i="1"/>
  <c r="AX163" i="1"/>
  <c r="BN162" i="1"/>
  <c r="AX162" i="1"/>
  <c r="BR141" i="1"/>
  <c r="BP142" i="1"/>
  <c r="AA120" i="1"/>
  <c r="AE119" i="1"/>
  <c r="O101" i="1"/>
  <c r="J102" i="1"/>
  <c r="H102" i="1"/>
  <c r="AV101" i="1"/>
  <c r="AC101" i="1"/>
  <c r="AX164" i="1" l="1"/>
  <c r="BN164" i="1"/>
  <c r="BW165" i="1"/>
  <c r="BR142" i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AX165" i="1" l="1"/>
  <c r="BW166" i="1"/>
  <c r="BN165" i="1"/>
  <c r="BR143" i="1"/>
  <c r="BP144" i="1"/>
  <c r="AA123" i="1"/>
  <c r="AE122" i="1"/>
  <c r="AE121" i="1"/>
  <c r="J104" i="1"/>
  <c r="H104" i="1"/>
  <c r="AV103" i="1"/>
  <c r="O103" i="1"/>
  <c r="AC103" i="1"/>
  <c r="AX166" i="1" l="1"/>
  <c r="BN166" i="1"/>
  <c r="BW167" i="1"/>
  <c r="BP145" i="1"/>
  <c r="BP146" i="1" s="1"/>
  <c r="BR144" i="1"/>
  <c r="AE123" i="1"/>
  <c r="AA124" i="1"/>
  <c r="O104" i="1"/>
  <c r="H105" i="1"/>
  <c r="J105" i="1"/>
  <c r="AV104" i="1"/>
  <c r="AC104" i="1"/>
  <c r="BW168" i="1" l="1"/>
  <c r="BW169" i="1" s="1"/>
  <c r="BN167" i="1"/>
  <c r="AX167" i="1"/>
  <c r="BP147" i="1"/>
  <c r="BR146" i="1"/>
  <c r="BR145" i="1"/>
  <c r="AE124" i="1"/>
  <c r="AA125" i="1"/>
  <c r="AA126" i="1" s="1"/>
  <c r="O105" i="1"/>
  <c r="J106" i="1"/>
  <c r="H106" i="1"/>
  <c r="H107" i="1" s="1"/>
  <c r="AV105" i="1"/>
  <c r="AC105" i="1"/>
  <c r="BN169" i="1" l="1"/>
  <c r="AX169" i="1"/>
  <c r="BW170" i="1"/>
  <c r="AX168" i="1"/>
  <c r="BN168" i="1"/>
  <c r="BP148" i="1"/>
  <c r="BR147" i="1"/>
  <c r="AA127" i="1"/>
  <c r="AE126" i="1"/>
  <c r="AE125" i="1"/>
  <c r="AV106" i="1"/>
  <c r="J107" i="1"/>
  <c r="O106" i="1"/>
  <c r="W201" i="3"/>
  <c r="W202" i="3" s="1"/>
  <c r="AC106" i="1"/>
  <c r="BW171" i="1" l="1"/>
  <c r="BN170" i="1"/>
  <c r="AX170" i="1"/>
  <c r="BR148" i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W172" i="1" l="1"/>
  <c r="BN171" i="1"/>
  <c r="AX171" i="1"/>
  <c r="BR151" i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N172" i="1" l="1"/>
  <c r="AX172" i="1"/>
  <c r="BW173" i="1"/>
  <c r="BW174" i="1" s="1"/>
  <c r="BR154" i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N174" i="1" l="1"/>
  <c r="BW175" i="1"/>
  <c r="AX174" i="1"/>
  <c r="BN173" i="1"/>
  <c r="AX173" i="1"/>
  <c r="BR156" i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W176" i="1" l="1"/>
  <c r="BN175" i="1"/>
  <c r="AX175" i="1"/>
  <c r="BP158" i="1"/>
  <c r="BR157" i="1"/>
  <c r="AA135" i="1"/>
  <c r="AE134" i="1"/>
  <c r="J112" i="1"/>
  <c r="H112" i="1"/>
  <c r="O111" i="1"/>
  <c r="AC111" i="1"/>
  <c r="AV111" i="1"/>
  <c r="BW177" i="1" l="1"/>
  <c r="AX176" i="1"/>
  <c r="BN176" i="1"/>
  <c r="BP159" i="1"/>
  <c r="BR158" i="1"/>
  <c r="AE135" i="1"/>
  <c r="AA136" i="1"/>
  <c r="AV112" i="1"/>
  <c r="J113" i="1"/>
  <c r="H113" i="1"/>
  <c r="H114" i="1" s="1"/>
  <c r="O112" i="1"/>
  <c r="AC112" i="1"/>
  <c r="BW178" i="1" l="1"/>
  <c r="BN177" i="1"/>
  <c r="AX177" i="1"/>
  <c r="BR159" i="1"/>
  <c r="BP160" i="1"/>
  <c r="AA137" i="1"/>
  <c r="AE136" i="1"/>
  <c r="J114" i="1"/>
  <c r="O113" i="1"/>
  <c r="AV113" i="1"/>
  <c r="AC113" i="1"/>
  <c r="BW179" i="1" l="1"/>
  <c r="AX178" i="1"/>
  <c r="BN178" i="1"/>
  <c r="BP161" i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W180" i="1" l="1"/>
  <c r="BN179" i="1"/>
  <c r="AX179" i="1"/>
  <c r="BP162" i="1"/>
  <c r="BP163" i="1" s="1"/>
  <c r="BR161" i="1"/>
  <c r="AE140" i="1"/>
  <c r="AA141" i="1"/>
  <c r="AE139" i="1"/>
  <c r="AE138" i="1"/>
  <c r="O115" i="1"/>
  <c r="J116" i="1"/>
  <c r="AV115" i="1"/>
  <c r="AC115" i="1"/>
  <c r="BW181" i="1" l="1"/>
  <c r="BW182" i="1" s="1"/>
  <c r="BN180" i="1"/>
  <c r="AX180" i="1"/>
  <c r="BP164" i="1"/>
  <c r="BR163" i="1"/>
  <c r="BR162" i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BN182" i="1" l="1"/>
  <c r="BW183" i="1"/>
  <c r="AX182" i="1"/>
  <c r="BN181" i="1"/>
  <c r="AX181" i="1"/>
  <c r="BP165" i="1"/>
  <c r="BR164" i="1"/>
  <c r="AE142" i="1"/>
  <c r="AA143" i="1"/>
  <c r="AV117" i="1"/>
  <c r="H118" i="1"/>
  <c r="J118" i="1"/>
  <c r="AC117" i="1"/>
  <c r="O117" i="1"/>
  <c r="BW184" i="1" l="1"/>
  <c r="BN183" i="1"/>
  <c r="AX183" i="1"/>
  <c r="BR165" i="1"/>
  <c r="BP166" i="1"/>
  <c r="AE143" i="1"/>
  <c r="AA144" i="1"/>
  <c r="H119" i="1"/>
  <c r="J119" i="1"/>
  <c r="O118" i="1"/>
  <c r="AC118" i="1"/>
  <c r="AV118" i="1"/>
  <c r="BN184" i="1" l="1"/>
  <c r="AX184" i="1"/>
  <c r="BW185" i="1"/>
  <c r="BR166" i="1"/>
  <c r="BP167" i="1"/>
  <c r="BP168" i="1" s="1"/>
  <c r="BP169" i="1" s="1"/>
  <c r="AE144" i="1"/>
  <c r="AA145" i="1"/>
  <c r="AA146" i="1" s="1"/>
  <c r="H120" i="1"/>
  <c r="J120" i="1"/>
  <c r="O119" i="1"/>
  <c r="AV119" i="1"/>
  <c r="AC119" i="1"/>
  <c r="BW186" i="1" l="1"/>
  <c r="AX185" i="1"/>
  <c r="BN185" i="1"/>
  <c r="BR169" i="1"/>
  <c r="BP170" i="1"/>
  <c r="BR168" i="1"/>
  <c r="BR167" i="1"/>
  <c r="AA147" i="1"/>
  <c r="AE146" i="1"/>
  <c r="AE145" i="1"/>
  <c r="O120" i="1"/>
  <c r="J121" i="1"/>
  <c r="H121" i="1"/>
  <c r="AV120" i="1"/>
  <c r="AC120" i="1"/>
  <c r="BW187" i="1" l="1"/>
  <c r="BW188" i="1" s="1"/>
  <c r="AX186" i="1"/>
  <c r="BN186" i="1"/>
  <c r="BR170" i="1"/>
  <c r="BP171" i="1"/>
  <c r="AE147" i="1"/>
  <c r="AA148" i="1"/>
  <c r="J122" i="1"/>
  <c r="H122" i="1"/>
  <c r="O121" i="1"/>
  <c r="AV121" i="1"/>
  <c r="AC121" i="1"/>
  <c r="AA75" i="3"/>
  <c r="AA76" i="3"/>
  <c r="AA73" i="3"/>
  <c r="AA74" i="3"/>
  <c r="BW189" i="1" l="1"/>
  <c r="BN188" i="1"/>
  <c r="AX188" i="1"/>
  <c r="BN187" i="1"/>
  <c r="AX187" i="1"/>
  <c r="BP172" i="1"/>
  <c r="BR171" i="1"/>
  <c r="AE148" i="1"/>
  <c r="AA149" i="1"/>
  <c r="AA150" i="1" s="1"/>
  <c r="AA151" i="1" s="1"/>
  <c r="AV122" i="1"/>
  <c r="J123" i="1"/>
  <c r="H123" i="1"/>
  <c r="O122" i="1"/>
  <c r="AC122" i="1"/>
  <c r="BN189" i="1" l="1"/>
  <c r="AX189" i="1"/>
  <c r="BW190" i="1"/>
  <c r="BR172" i="1"/>
  <c r="BP173" i="1"/>
  <c r="BP174" i="1" s="1"/>
  <c r="AA152" i="1"/>
  <c r="AA153" i="1" s="1"/>
  <c r="AA154" i="1" s="1"/>
  <c r="AE151" i="1"/>
  <c r="AE150" i="1"/>
  <c r="AE149" i="1"/>
  <c r="O123" i="1"/>
  <c r="J124" i="1"/>
  <c r="H124" i="1"/>
  <c r="AV123" i="1"/>
  <c r="AC123" i="1"/>
  <c r="BW191" i="1" l="1"/>
  <c r="AX190" i="1"/>
  <c r="BN190" i="1"/>
  <c r="BR174" i="1"/>
  <c r="BP175" i="1"/>
  <c r="BR173" i="1"/>
  <c r="AA155" i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BW192" i="1" l="1"/>
  <c r="BN191" i="1"/>
  <c r="AX191" i="1"/>
  <c r="BR175" i="1"/>
  <c r="BP176" i="1"/>
  <c r="AA157" i="1"/>
  <c r="AE156" i="1"/>
  <c r="AE155" i="1"/>
  <c r="H126" i="1"/>
  <c r="J126" i="1"/>
  <c r="AV125" i="1"/>
  <c r="O125" i="1"/>
  <c r="AC125" i="1"/>
  <c r="BN192" i="1" l="1"/>
  <c r="AX192" i="1"/>
  <c r="BW193" i="1"/>
  <c r="BP177" i="1"/>
  <c r="BR176" i="1"/>
  <c r="AE157" i="1"/>
  <c r="AA158" i="1"/>
  <c r="AC126" i="1"/>
  <c r="J127" i="1"/>
  <c r="H127" i="1"/>
  <c r="O126" i="1"/>
  <c r="AV126" i="1"/>
  <c r="J251" i="1"/>
  <c r="J252" i="1" s="1"/>
  <c r="BW194" i="1" l="1"/>
  <c r="BN193" i="1"/>
  <c r="AX193" i="1"/>
  <c r="BR177" i="1"/>
  <c r="BP178" i="1"/>
  <c r="AA159" i="1"/>
  <c r="AE158" i="1"/>
  <c r="AV127" i="1"/>
  <c r="H128" i="1"/>
  <c r="J128" i="1"/>
  <c r="O127" i="1"/>
  <c r="AC127" i="1"/>
  <c r="BW195" i="1" l="1"/>
  <c r="BW196" i="1" s="1"/>
  <c r="BN194" i="1"/>
  <c r="AX194" i="1"/>
  <c r="BR178" i="1"/>
  <c r="BP179" i="1"/>
  <c r="AE159" i="1"/>
  <c r="AA160" i="1"/>
  <c r="J129" i="1"/>
  <c r="H129" i="1"/>
  <c r="AC128" i="1"/>
  <c r="O128" i="1"/>
  <c r="AV128" i="1"/>
  <c r="AA81" i="3"/>
  <c r="AA82" i="3"/>
  <c r="AA80" i="3"/>
  <c r="BW197" i="1" l="1"/>
  <c r="AX196" i="1"/>
  <c r="BN196" i="1"/>
  <c r="BN195" i="1"/>
  <c r="AX195" i="1"/>
  <c r="BR179" i="1"/>
  <c r="BP180" i="1"/>
  <c r="AA161" i="1"/>
  <c r="AE160" i="1"/>
  <c r="J130" i="1"/>
  <c r="H130" i="1"/>
  <c r="O129" i="1"/>
  <c r="AV129" i="1"/>
  <c r="AC129" i="1"/>
  <c r="BW198" i="1" l="1"/>
  <c r="AX197" i="1"/>
  <c r="BN197" i="1"/>
  <c r="BR180" i="1"/>
  <c r="BP181" i="1"/>
  <c r="BP182" i="1" s="1"/>
  <c r="AE161" i="1"/>
  <c r="AA162" i="1"/>
  <c r="AA163" i="1" s="1"/>
  <c r="AV130" i="1"/>
  <c r="J131" i="1"/>
  <c r="H131" i="1"/>
  <c r="O130" i="1"/>
  <c r="AC130" i="1"/>
  <c r="BW199" i="1" l="1"/>
  <c r="BN198" i="1"/>
  <c r="AX198" i="1"/>
  <c r="BP183" i="1"/>
  <c r="BR182" i="1"/>
  <c r="BR181" i="1"/>
  <c r="AA164" i="1"/>
  <c r="AE163" i="1"/>
  <c r="AE162" i="1"/>
  <c r="AV131" i="1"/>
  <c r="J132" i="1"/>
  <c r="H132" i="1"/>
  <c r="O131" i="1"/>
  <c r="AC131" i="1"/>
  <c r="AA86" i="3"/>
  <c r="AA84" i="3"/>
  <c r="AA85" i="3"/>
  <c r="AA83" i="3"/>
  <c r="BN199" i="1" l="1"/>
  <c r="BW200" i="1"/>
  <c r="AX199" i="1"/>
  <c r="BP184" i="1"/>
  <c r="BP185" i="1" s="1"/>
  <c r="BR183" i="1"/>
  <c r="AA165" i="1"/>
  <c r="AE164" i="1"/>
  <c r="J133" i="1"/>
  <c r="H133" i="1"/>
  <c r="O132" i="1"/>
  <c r="AV132" i="1"/>
  <c r="AC132" i="1"/>
  <c r="AX200" i="1" l="1"/>
  <c r="BW201" i="1"/>
  <c r="BN200" i="1"/>
  <c r="BP186" i="1"/>
  <c r="BR185" i="1"/>
  <c r="BR184" i="1"/>
  <c r="AE165" i="1"/>
  <c r="AA166" i="1"/>
  <c r="AV133" i="1"/>
  <c r="H134" i="1"/>
  <c r="J134" i="1"/>
  <c r="O133" i="1"/>
  <c r="AC133" i="1"/>
  <c r="AX201" i="1" l="1"/>
  <c r="BW202" i="1"/>
  <c r="BN201" i="1"/>
  <c r="BR186" i="1"/>
  <c r="BP187" i="1"/>
  <c r="BP188" i="1" s="1"/>
  <c r="AE166" i="1"/>
  <c r="AA167" i="1"/>
  <c r="AA168" i="1" s="1"/>
  <c r="AA169" i="1" s="1"/>
  <c r="AV134" i="1"/>
  <c r="J135" i="1"/>
  <c r="H135" i="1"/>
  <c r="O134" i="1"/>
  <c r="AC134" i="1"/>
  <c r="BN202" i="1" l="1"/>
  <c r="AX202" i="1"/>
  <c r="BW203" i="1"/>
  <c r="BR188" i="1"/>
  <c r="BP189" i="1"/>
  <c r="BR187" i="1"/>
  <c r="AE169" i="1"/>
  <c r="AA170" i="1"/>
  <c r="AE168" i="1"/>
  <c r="AE167" i="1"/>
  <c r="O135" i="1"/>
  <c r="J136" i="1"/>
  <c r="H136" i="1"/>
  <c r="AV135" i="1"/>
  <c r="AC135" i="1"/>
  <c r="AA92" i="3"/>
  <c r="AA90" i="3"/>
  <c r="AA91" i="3"/>
  <c r="AA88" i="3"/>
  <c r="AA89" i="3"/>
  <c r="AA87" i="3"/>
  <c r="BW204" i="1" l="1"/>
  <c r="BN203" i="1"/>
  <c r="AX203" i="1"/>
  <c r="BR189" i="1"/>
  <c r="BP190" i="1"/>
  <c r="AE170" i="1"/>
  <c r="AA171" i="1"/>
  <c r="O136" i="1"/>
  <c r="J137" i="1"/>
  <c r="H137" i="1"/>
  <c r="AV136" i="1"/>
  <c r="AC136" i="1"/>
  <c r="AX204" i="1" l="1"/>
  <c r="BW205" i="1"/>
  <c r="BW206" i="1" s="1"/>
  <c r="BN204" i="1"/>
  <c r="BR190" i="1"/>
  <c r="BP191" i="1"/>
  <c r="AA172" i="1"/>
  <c r="AE171" i="1"/>
  <c r="AV137" i="1"/>
  <c r="J138" i="1"/>
  <c r="H138" i="1"/>
  <c r="O137" i="1"/>
  <c r="AC137" i="1"/>
  <c r="AX206" i="1" l="1"/>
  <c r="BW207" i="1"/>
  <c r="BN206" i="1"/>
  <c r="BN205" i="1"/>
  <c r="AX205" i="1"/>
  <c r="BR191" i="1"/>
  <c r="BP192" i="1"/>
  <c r="AE172" i="1"/>
  <c r="AA173" i="1"/>
  <c r="AA174" i="1" s="1"/>
  <c r="J139" i="1"/>
  <c r="H139" i="1"/>
  <c r="AV138" i="1"/>
  <c r="O138" i="1"/>
  <c r="AC138" i="1"/>
  <c r="BN207" i="1" l="1"/>
  <c r="AX207" i="1"/>
  <c r="BW208" i="1"/>
  <c r="BP193" i="1"/>
  <c r="BR192" i="1"/>
  <c r="AA175" i="1"/>
  <c r="AE174" i="1"/>
  <c r="AE173" i="1"/>
  <c r="J140" i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BW209" i="1" l="1"/>
  <c r="AX208" i="1"/>
  <c r="BN208" i="1"/>
  <c r="BR193" i="1"/>
  <c r="BP194" i="1"/>
  <c r="AA176" i="1"/>
  <c r="AE175" i="1"/>
  <c r="O140" i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BN209" i="1" l="1"/>
  <c r="AX209" i="1"/>
  <c r="BW210" i="1"/>
  <c r="BR194" i="1"/>
  <c r="BP195" i="1"/>
  <c r="BP196" i="1" s="1"/>
  <c r="AE176" i="1"/>
  <c r="AA177" i="1"/>
  <c r="O141" i="1"/>
  <c r="J142" i="1"/>
  <c r="H142" i="1"/>
  <c r="AV141" i="1"/>
  <c r="AC141" i="1"/>
  <c r="AA98" i="3"/>
  <c r="AA99" i="3"/>
  <c r="AA94" i="3"/>
  <c r="AA95" i="3"/>
  <c r="AA93" i="3"/>
  <c r="BW211" i="1" l="1"/>
  <c r="AX210" i="1"/>
  <c r="BN210" i="1"/>
  <c r="BR196" i="1"/>
  <c r="BP197" i="1"/>
  <c r="BR195" i="1"/>
  <c r="AE177" i="1"/>
  <c r="AA178" i="1"/>
  <c r="H143" i="1"/>
  <c r="J143" i="1"/>
  <c r="O142" i="1"/>
  <c r="AV142" i="1"/>
  <c r="AC142" i="1"/>
  <c r="AA96" i="3"/>
  <c r="AA97" i="3"/>
  <c r="BW212" i="1" l="1"/>
  <c r="AX211" i="1"/>
  <c r="BN211" i="1"/>
  <c r="BR197" i="1"/>
  <c r="BP198" i="1"/>
  <c r="AE178" i="1"/>
  <c r="AA179" i="1"/>
  <c r="O143" i="1"/>
  <c r="J144" i="1"/>
  <c r="H144" i="1"/>
  <c r="AV143" i="1"/>
  <c r="AC143" i="1"/>
  <c r="AX212" i="1" l="1"/>
  <c r="BN212" i="1"/>
  <c r="BW213" i="1"/>
  <c r="BR198" i="1"/>
  <c r="BP199" i="1"/>
  <c r="BP200" i="1" s="1"/>
  <c r="AA180" i="1"/>
  <c r="AE179" i="1"/>
  <c r="O144" i="1"/>
  <c r="H145" i="1"/>
  <c r="J145" i="1"/>
  <c r="AV144" i="1"/>
  <c r="AC144" i="1"/>
  <c r="BW214" i="1" l="1"/>
  <c r="BW215" i="1" s="1"/>
  <c r="BN213" i="1"/>
  <c r="AX213" i="1"/>
  <c r="BR200" i="1"/>
  <c r="BP201" i="1"/>
  <c r="BR199" i="1"/>
  <c r="AE180" i="1"/>
  <c r="AA181" i="1"/>
  <c r="AA182" i="1" s="1"/>
  <c r="J146" i="1"/>
  <c r="H146" i="1"/>
  <c r="AV145" i="1"/>
  <c r="O145" i="1"/>
  <c r="AC145" i="1"/>
  <c r="BN215" i="1" l="1"/>
  <c r="BW216" i="1"/>
  <c r="AX215" i="1"/>
  <c r="BN214" i="1"/>
  <c r="AX214" i="1"/>
  <c r="BR201" i="1"/>
  <c r="BP202" i="1"/>
  <c r="AE182" i="1"/>
  <c r="AA183" i="1"/>
  <c r="AE181" i="1"/>
  <c r="J147" i="1"/>
  <c r="H147" i="1"/>
  <c r="O146" i="1"/>
  <c r="AV146" i="1"/>
  <c r="AC146" i="1"/>
  <c r="BW217" i="1" l="1"/>
  <c r="AX216" i="1"/>
  <c r="BN216" i="1"/>
  <c r="BR202" i="1"/>
  <c r="BP203" i="1"/>
  <c r="AA184" i="1"/>
  <c r="AA185" i="1" s="1"/>
  <c r="AE183" i="1"/>
  <c r="AV147" i="1"/>
  <c r="H148" i="1"/>
  <c r="J148" i="1"/>
  <c r="O147" i="1"/>
  <c r="AC147" i="1"/>
  <c r="AX217" i="1" l="1"/>
  <c r="BW218" i="1"/>
  <c r="BN217" i="1"/>
  <c r="BR203" i="1"/>
  <c r="BP204" i="1"/>
  <c r="AE185" i="1"/>
  <c r="AA186" i="1"/>
  <c r="AE184" i="1"/>
  <c r="O148" i="1"/>
  <c r="J149" i="1"/>
  <c r="H149" i="1"/>
  <c r="AV148" i="1"/>
  <c r="AC148" i="1"/>
  <c r="AA103" i="3"/>
  <c r="AA100" i="3"/>
  <c r="AX218" i="1" l="1"/>
  <c r="BW219" i="1"/>
  <c r="BN218" i="1"/>
  <c r="BR204" i="1"/>
  <c r="BP205" i="1"/>
  <c r="BP206" i="1" s="1"/>
  <c r="AA187" i="1"/>
  <c r="AA188" i="1" s="1"/>
  <c r="AE186" i="1"/>
  <c r="H150" i="1"/>
  <c r="J150" i="1"/>
  <c r="O149" i="1"/>
  <c r="AV149" i="1"/>
  <c r="AC149" i="1"/>
  <c r="AA101" i="3"/>
  <c r="AA102" i="3"/>
  <c r="AX219" i="1" l="1"/>
  <c r="BW220" i="1"/>
  <c r="BN219" i="1"/>
  <c r="BR206" i="1"/>
  <c r="BP207" i="1"/>
  <c r="BR205" i="1"/>
  <c r="AE188" i="1"/>
  <c r="AA189" i="1"/>
  <c r="AE187" i="1"/>
  <c r="J151" i="1"/>
  <c r="H151" i="1"/>
  <c r="O150" i="1"/>
  <c r="AV150" i="1"/>
  <c r="AC150" i="1"/>
  <c r="BN220" i="1" l="1"/>
  <c r="BW221" i="1"/>
  <c r="AX220" i="1"/>
  <c r="BP208" i="1"/>
  <c r="BR207" i="1"/>
  <c r="AE189" i="1"/>
  <c r="AA190" i="1"/>
  <c r="O151" i="1"/>
  <c r="AV151" i="1"/>
  <c r="J152" i="1"/>
  <c r="H152" i="1"/>
  <c r="AC151" i="1"/>
  <c r="BN221" i="1" l="1"/>
  <c r="AX221" i="1"/>
  <c r="BR208" i="1"/>
  <c r="BP209" i="1"/>
  <c r="BP210" i="1" s="1"/>
  <c r="AE190" i="1"/>
  <c r="AA191" i="1"/>
  <c r="J153" i="1"/>
  <c r="H153" i="1"/>
  <c r="O152" i="1"/>
  <c r="AV152" i="1"/>
  <c r="AC152" i="1"/>
  <c r="AA105" i="3"/>
  <c r="AA106" i="3"/>
  <c r="AA104" i="3"/>
  <c r="BR210" i="1" l="1"/>
  <c r="BP211" i="1"/>
  <c r="BR209" i="1"/>
  <c r="AA192" i="1"/>
  <c r="AE191" i="1"/>
  <c r="J154" i="1"/>
  <c r="H154" i="1"/>
  <c r="O153" i="1"/>
  <c r="AV153" i="1"/>
  <c r="AC153" i="1"/>
  <c r="BR211" i="1" l="1"/>
  <c r="BP212" i="1"/>
  <c r="AE192" i="1"/>
  <c r="AA193" i="1"/>
  <c r="AV154" i="1"/>
  <c r="J155" i="1"/>
  <c r="H155" i="1"/>
  <c r="O154" i="1"/>
  <c r="AC154" i="1"/>
  <c r="BR212" i="1" l="1"/>
  <c r="BP213" i="1"/>
  <c r="AE193" i="1"/>
  <c r="AA194" i="1"/>
  <c r="J156" i="1"/>
  <c r="H156" i="1"/>
  <c r="AV155" i="1"/>
  <c r="O155" i="1"/>
  <c r="AC155" i="1"/>
  <c r="AA108" i="3"/>
  <c r="AA109" i="3"/>
  <c r="AA107" i="3"/>
  <c r="BR213" i="1" l="1"/>
  <c r="BP214" i="1"/>
  <c r="BP215" i="1" s="1"/>
  <c r="AE194" i="1"/>
  <c r="AA195" i="1"/>
  <c r="AA196" i="1" s="1"/>
  <c r="AV156" i="1"/>
  <c r="J157" i="1"/>
  <c r="H157" i="1"/>
  <c r="O156" i="1"/>
  <c r="AC156" i="1"/>
  <c r="BP216" i="1" l="1"/>
  <c r="BP217" i="1" s="1"/>
  <c r="BR215" i="1"/>
  <c r="BR214" i="1"/>
  <c r="AE196" i="1"/>
  <c r="AA197" i="1"/>
  <c r="AE195" i="1"/>
  <c r="O157" i="1"/>
  <c r="J158" i="1"/>
  <c r="H158" i="1"/>
  <c r="AV157" i="1"/>
  <c r="AC157" i="1"/>
  <c r="BR217" i="1" l="1"/>
  <c r="BP218" i="1"/>
  <c r="BR216" i="1"/>
  <c r="AA198" i="1"/>
  <c r="AE197" i="1"/>
  <c r="AV158" i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BR218" i="1" l="1"/>
  <c r="BP219" i="1"/>
  <c r="AA199" i="1"/>
  <c r="AA200" i="1" s="1"/>
  <c r="AE198" i="1"/>
  <c r="AV159" i="1"/>
  <c r="J160" i="1"/>
  <c r="H160" i="1"/>
  <c r="O159" i="1"/>
  <c r="AC159" i="1"/>
  <c r="BR219" i="1" l="1"/>
  <c r="BP220" i="1"/>
  <c r="AA201" i="1"/>
  <c r="AE200" i="1"/>
  <c r="AE199" i="1"/>
  <c r="O160" i="1"/>
  <c r="H161" i="1"/>
  <c r="J161" i="1"/>
  <c r="AV160" i="1"/>
  <c r="AC160" i="1"/>
  <c r="BR220" i="1" l="1"/>
  <c r="BP221" i="1"/>
  <c r="AE201" i="1"/>
  <c r="AA202" i="1"/>
  <c r="O161" i="1"/>
  <c r="H162" i="1"/>
  <c r="J162" i="1"/>
  <c r="AV161" i="1"/>
  <c r="AC161" i="1"/>
  <c r="BR221" i="1" l="1"/>
  <c r="AA203" i="1"/>
  <c r="AE202" i="1"/>
  <c r="J163" i="1"/>
  <c r="H163" i="1"/>
  <c r="O162" i="1"/>
  <c r="AV162" i="1"/>
  <c r="AC162" i="1"/>
  <c r="AA204" i="1" l="1"/>
  <c r="AE203" i="1"/>
  <c r="O163" i="1"/>
  <c r="J164" i="1"/>
  <c r="H164" i="1"/>
  <c r="AV163" i="1"/>
  <c r="AC163" i="1"/>
  <c r="AA205" i="1" l="1"/>
  <c r="AA206" i="1" s="1"/>
  <c r="H269" i="1"/>
  <c r="AE204" i="1"/>
  <c r="O164" i="1"/>
  <c r="H165" i="1"/>
  <c r="AV164" i="1"/>
  <c r="J165" i="1"/>
  <c r="AC164" i="1"/>
  <c r="AE206" i="1" l="1"/>
  <c r="AA207" i="1"/>
  <c r="AE205" i="1"/>
  <c r="O165" i="1"/>
  <c r="AV165" i="1"/>
  <c r="H166" i="1"/>
  <c r="J166" i="1"/>
  <c r="AC165" i="1"/>
  <c r="AA121" i="3"/>
  <c r="AA119" i="3"/>
  <c r="AA120" i="3"/>
  <c r="AA118" i="3"/>
  <c r="AE207" i="1" l="1"/>
  <c r="AA208" i="1"/>
  <c r="J167" i="1"/>
  <c r="O166" i="1"/>
  <c r="AV166" i="1"/>
  <c r="H167" i="1"/>
  <c r="AC166" i="1"/>
  <c r="AA209" i="1" l="1"/>
  <c r="AA210" i="1" s="1"/>
  <c r="AE208" i="1"/>
  <c r="H168" i="1"/>
  <c r="J168" i="1"/>
  <c r="O167" i="1"/>
  <c r="AV167" i="1"/>
  <c r="AC167" i="1"/>
  <c r="AE210" i="1" l="1"/>
  <c r="AA211" i="1"/>
  <c r="AE209" i="1"/>
  <c r="J169" i="1"/>
  <c r="H169" i="1"/>
  <c r="AV168" i="1"/>
  <c r="O168" i="1"/>
  <c r="AC168" i="1"/>
  <c r="AE211" i="1" l="1"/>
  <c r="AA212" i="1"/>
  <c r="O169" i="1"/>
  <c r="J170" i="1"/>
  <c r="H170" i="1"/>
  <c r="AV169" i="1"/>
  <c r="AC169" i="1"/>
  <c r="AE212" i="1" l="1"/>
  <c r="AA213" i="1"/>
  <c r="AV170" i="1"/>
  <c r="H171" i="1"/>
  <c r="J171" i="1"/>
  <c r="O170" i="1"/>
  <c r="AC170" i="1"/>
  <c r="AA127" i="3"/>
  <c r="AA128" i="3"/>
  <c r="AA125" i="3"/>
  <c r="AA126" i="3"/>
  <c r="AA123" i="3"/>
  <c r="AA124" i="3"/>
  <c r="AA122" i="3"/>
  <c r="AE213" i="1" l="1"/>
  <c r="AA214" i="1"/>
  <c r="AA215" i="1" s="1"/>
  <c r="O171" i="1"/>
  <c r="J172" i="1"/>
  <c r="H172" i="1"/>
  <c r="AV171" i="1"/>
  <c r="AC171" i="1"/>
  <c r="AA216" i="1" l="1"/>
  <c r="AA217" i="1" s="1"/>
  <c r="AE215" i="1"/>
  <c r="AE214" i="1"/>
  <c r="O172" i="1"/>
  <c r="J173" i="1"/>
  <c r="H173" i="1"/>
  <c r="AV172" i="1"/>
  <c r="AC172" i="1"/>
  <c r="AA218" i="1" l="1"/>
  <c r="AE217" i="1"/>
  <c r="AE216" i="1"/>
  <c r="J174" i="1"/>
  <c r="H174" i="1"/>
  <c r="O173" i="1"/>
  <c r="AV173" i="1"/>
  <c r="AC173" i="1"/>
  <c r="AA219" i="1" l="1"/>
  <c r="AE218" i="1"/>
  <c r="O174" i="1"/>
  <c r="J175" i="1"/>
  <c r="H175" i="1"/>
  <c r="AV174" i="1"/>
  <c r="AC174" i="1"/>
  <c r="AA220" i="1" l="1"/>
  <c r="AE219" i="1"/>
  <c r="AV175" i="1"/>
  <c r="J176" i="1"/>
  <c r="H176" i="1"/>
  <c r="O175" i="1"/>
  <c r="AC175" i="1"/>
  <c r="AE220" i="1" l="1"/>
  <c r="AA221" i="1"/>
  <c r="O176" i="1"/>
  <c r="J177" i="1"/>
  <c r="H177" i="1"/>
  <c r="AV176" i="1"/>
  <c r="AC176" i="1"/>
  <c r="AA136" i="3"/>
  <c r="AA134" i="3"/>
  <c r="AA135" i="3"/>
  <c r="AA132" i="3"/>
  <c r="AA133" i="3"/>
  <c r="AA130" i="3"/>
  <c r="AA131" i="3"/>
  <c r="AA129" i="3"/>
  <c r="AE221" i="1" l="1"/>
  <c r="AV177" i="1"/>
  <c r="H178" i="1"/>
  <c r="J178" i="1"/>
  <c r="O177" i="1"/>
  <c r="AC177" i="1"/>
  <c r="AJ21" i="2" l="1"/>
  <c r="I21" i="3"/>
  <c r="I35" i="3" s="1"/>
  <c r="AD49" i="2"/>
  <c r="AD51" i="2" s="1"/>
  <c r="AD53" i="2" s="1"/>
  <c r="AD55" i="2" s="1"/>
  <c r="AD57" i="2" s="1"/>
  <c r="AV178" i="1"/>
  <c r="J179" i="1"/>
  <c r="H179" i="1"/>
  <c r="O178" i="1"/>
  <c r="AC178" i="1"/>
  <c r="AV179" i="1" l="1"/>
  <c r="J180" i="1"/>
  <c r="H180" i="1"/>
  <c r="O179" i="1"/>
  <c r="AC179" i="1"/>
  <c r="AV180" i="1" l="1"/>
  <c r="J181" i="1"/>
  <c r="H181" i="1"/>
  <c r="O180" i="1"/>
  <c r="AC180" i="1"/>
  <c r="J182" i="1" l="1"/>
  <c r="H182" i="1"/>
  <c r="O181" i="1"/>
  <c r="AV181" i="1"/>
  <c r="AC181" i="1"/>
  <c r="AV182" i="1" l="1"/>
  <c r="J183" i="1"/>
  <c r="O182" i="1"/>
  <c r="H183" i="1"/>
  <c r="AC182" i="1"/>
  <c r="AC183" i="1" l="1"/>
  <c r="AV183" i="1"/>
  <c r="H184" i="1"/>
  <c r="J184" i="1"/>
  <c r="O183" i="1"/>
  <c r="H185" i="1" l="1"/>
  <c r="J185" i="1"/>
  <c r="AV184" i="1"/>
  <c r="O184" i="1"/>
  <c r="AC184" i="1"/>
  <c r="AA138" i="3"/>
  <c r="AA137" i="3"/>
  <c r="AV185" i="1" l="1"/>
  <c r="O185" i="1"/>
  <c r="J186" i="1"/>
  <c r="H186" i="1"/>
  <c r="AC185" i="1"/>
  <c r="O186" i="1" l="1"/>
  <c r="H187" i="1"/>
  <c r="J187" i="1"/>
  <c r="AV186" i="1"/>
  <c r="AC186" i="1"/>
  <c r="H188" i="1" l="1"/>
  <c r="J188" i="1"/>
  <c r="O187" i="1"/>
  <c r="AV187" i="1"/>
  <c r="AC187" i="1"/>
  <c r="AA140" i="3"/>
  <c r="AA141" i="3"/>
  <c r="AA139" i="3"/>
  <c r="AV188" i="1" l="1"/>
  <c r="J189" i="1"/>
  <c r="H189" i="1"/>
  <c r="O188" i="1"/>
  <c r="AC188" i="1"/>
  <c r="O189" i="1" l="1"/>
  <c r="J190" i="1"/>
  <c r="H190" i="1"/>
  <c r="AV189" i="1"/>
  <c r="AC189" i="1"/>
  <c r="O190" i="1" l="1"/>
  <c r="J191" i="1"/>
  <c r="H191" i="1"/>
  <c r="AV190" i="1"/>
  <c r="AC190" i="1"/>
  <c r="AA149" i="3"/>
  <c r="AA147" i="3"/>
  <c r="AA148" i="3"/>
  <c r="AA145" i="3"/>
  <c r="AA146" i="3"/>
  <c r="AA143" i="3"/>
  <c r="AA144" i="3"/>
  <c r="AA142" i="3"/>
  <c r="AV191" i="1" l="1"/>
  <c r="J192" i="1"/>
  <c r="H192" i="1"/>
  <c r="O191" i="1"/>
  <c r="AC191" i="1"/>
  <c r="J193" i="1" l="1"/>
  <c r="H193" i="1"/>
  <c r="AV192" i="1"/>
  <c r="O192" i="1"/>
  <c r="AC192" i="1"/>
  <c r="J194" i="1" l="1"/>
  <c r="H194" i="1"/>
  <c r="O193" i="1"/>
  <c r="AV193" i="1"/>
  <c r="AC193" i="1"/>
  <c r="AV194" i="1" l="1"/>
  <c r="J195" i="1"/>
  <c r="H195" i="1"/>
  <c r="O194" i="1"/>
  <c r="AC194" i="1"/>
  <c r="H196" i="1" l="1"/>
  <c r="J196" i="1"/>
  <c r="AV195" i="1"/>
  <c r="O195" i="1"/>
  <c r="AC195" i="1"/>
  <c r="AV196" i="1" l="1"/>
  <c r="J197" i="1"/>
  <c r="H197" i="1"/>
  <c r="O196" i="1"/>
  <c r="AC196" i="1"/>
  <c r="H198" i="1" l="1"/>
  <c r="J198" i="1"/>
  <c r="O197" i="1"/>
  <c r="AV197" i="1"/>
  <c r="AC197" i="1"/>
  <c r="J199" i="1" l="1"/>
  <c r="O198" i="1"/>
  <c r="H199" i="1"/>
  <c r="AV198" i="1"/>
  <c r="AC198" i="1"/>
  <c r="AA151" i="3"/>
  <c r="AA150" i="3"/>
  <c r="J200" i="1" l="1"/>
  <c r="H200" i="1"/>
  <c r="AV199" i="1"/>
  <c r="O199" i="1"/>
  <c r="AC199" i="1"/>
  <c r="AA152" i="3"/>
  <c r="AA153" i="3"/>
  <c r="O200" i="1" l="1"/>
  <c r="H201" i="1"/>
  <c r="J201" i="1"/>
  <c r="AV200" i="1"/>
  <c r="AC200" i="1"/>
  <c r="AV201" i="1" l="1"/>
  <c r="J202" i="1"/>
  <c r="H202" i="1"/>
  <c r="O201" i="1"/>
  <c r="AC201" i="1"/>
  <c r="AV202" i="1" l="1"/>
  <c r="H203" i="1"/>
  <c r="J203" i="1"/>
  <c r="O202" i="1"/>
  <c r="AC202" i="1"/>
  <c r="AA159" i="3"/>
  <c r="AA160" i="3"/>
  <c r="AA157" i="3"/>
  <c r="AA158" i="3"/>
  <c r="AA155" i="3"/>
  <c r="AA156" i="3"/>
  <c r="AA154" i="3"/>
  <c r="AV203" i="1" l="1"/>
  <c r="H204" i="1"/>
  <c r="J204" i="1"/>
  <c r="O203" i="1"/>
  <c r="AC203" i="1"/>
  <c r="AV204" i="1" l="1"/>
  <c r="H205" i="1"/>
  <c r="J205" i="1"/>
  <c r="O204" i="1"/>
  <c r="AC204" i="1"/>
  <c r="H206" i="1" l="1"/>
  <c r="J206" i="1"/>
  <c r="AV205" i="1"/>
  <c r="O205" i="1"/>
  <c r="AC205" i="1"/>
  <c r="AV206" i="1" l="1"/>
  <c r="H207" i="1"/>
  <c r="J207" i="1"/>
  <c r="O206" i="1"/>
  <c r="AC206" i="1"/>
  <c r="O207" i="1" l="1"/>
  <c r="J208" i="1"/>
  <c r="H208" i="1"/>
  <c r="AV207" i="1"/>
  <c r="AC207" i="1"/>
  <c r="J209" i="1" l="1"/>
  <c r="H209" i="1"/>
  <c r="AV208" i="1"/>
  <c r="O208" i="1"/>
  <c r="AC208" i="1"/>
  <c r="AA162" i="3"/>
  <c r="AA163" i="3"/>
  <c r="AA161" i="3"/>
  <c r="J210" i="1" l="1"/>
  <c r="H210" i="1"/>
  <c r="AV209" i="1"/>
  <c r="O209" i="1"/>
  <c r="AC209" i="1"/>
  <c r="O210" i="1" l="1"/>
  <c r="H211" i="1"/>
  <c r="J211" i="1"/>
  <c r="AV210" i="1"/>
  <c r="AC210" i="1"/>
  <c r="O211" i="1" l="1"/>
  <c r="J212" i="1"/>
  <c r="H212" i="1"/>
  <c r="I20" i="3" s="1"/>
  <c r="I23" i="3" s="1"/>
  <c r="I25" i="3" s="1"/>
  <c r="I27" i="3" s="1"/>
  <c r="AV211" i="1"/>
  <c r="AC211" i="1"/>
  <c r="N27" i="3" l="1"/>
  <c r="N28" i="3" s="1"/>
  <c r="I34" i="3"/>
  <c r="AV212" i="1"/>
  <c r="J213" i="1"/>
  <c r="H213" i="1"/>
  <c r="O212" i="1"/>
  <c r="AC212" i="1"/>
  <c r="AA169" i="3"/>
  <c r="AA167" i="3"/>
  <c r="AA168" i="3"/>
  <c r="AA165" i="3"/>
  <c r="AA166" i="3"/>
  <c r="AA164" i="3"/>
  <c r="AV213" i="1" l="1"/>
  <c r="J214" i="1"/>
  <c r="H214" i="1"/>
  <c r="O213" i="1"/>
  <c r="AC213" i="1"/>
  <c r="J215" i="1" l="1"/>
  <c r="H215" i="1"/>
  <c r="O214" i="1"/>
  <c r="AV214" i="1"/>
  <c r="AC214" i="1"/>
  <c r="AV215" i="1" l="1"/>
  <c r="H216" i="1"/>
  <c r="J216" i="1"/>
  <c r="AC215" i="1"/>
  <c r="O215" i="1"/>
  <c r="H217" i="1" l="1"/>
  <c r="J217" i="1"/>
  <c r="O216" i="1"/>
  <c r="AV216" i="1"/>
  <c r="AC216" i="1"/>
  <c r="AV217" i="1" l="1"/>
  <c r="J218" i="1"/>
  <c r="H218" i="1"/>
  <c r="O217" i="1"/>
  <c r="AC217" i="1"/>
  <c r="AA170" i="3"/>
  <c r="O218" i="1" l="1"/>
  <c r="J219" i="1"/>
  <c r="H219" i="1"/>
  <c r="AV218" i="1"/>
  <c r="AC218" i="1"/>
  <c r="AV219" i="1" l="1"/>
  <c r="J220" i="1"/>
  <c r="H220" i="1"/>
  <c r="O219" i="1"/>
  <c r="AC219" i="1"/>
  <c r="AA176" i="3"/>
  <c r="AA174" i="3"/>
  <c r="AA175" i="3"/>
  <c r="AA172" i="3"/>
  <c r="AA173" i="3"/>
  <c r="AA171" i="3"/>
  <c r="AV220" i="1" l="1"/>
  <c r="H221" i="1"/>
  <c r="J221" i="1"/>
  <c r="O220" i="1"/>
  <c r="AC220" i="1"/>
  <c r="AV221" i="1" l="1"/>
  <c r="O221" i="1"/>
  <c r="AC221" i="1"/>
  <c r="AF21" i="2" l="1"/>
  <c r="I32" i="3"/>
  <c r="I36" i="3" l="1"/>
  <c r="L35" i="3"/>
  <c r="L34" i="3"/>
  <c r="L32" i="3"/>
  <c r="I28" i="3"/>
  <c r="L36" i="3" l="1"/>
  <c r="W177" i="3"/>
  <c r="AA177" i="3" s="1"/>
  <c r="Y177" i="3" l="1"/>
  <c r="Y121" i="3"/>
  <c r="Y12" i="3"/>
</calcChain>
</file>

<file path=xl/sharedStrings.xml><?xml version="1.0" encoding="utf-8"?>
<sst xmlns="http://schemas.openxmlformats.org/spreadsheetml/2006/main" count="308" uniqueCount="175">
  <si>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</si>
  <si>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</si>
  <si>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</si>
  <si>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</si>
  <si>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</si>
  <si>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</si>
  <si>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</si>
  <si>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</si>
  <si>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</si>
  <si>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</si>
  <si>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</si>
  <si>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</si>
  <si>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</si>
  <si>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</si>
  <si>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</si>
  <si>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</si>
  <si>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</si>
  <si>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</si>
  <si>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</si>
  <si>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</si>
  <si>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</si>
  <si>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</si>
  <si>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</si>
  <si>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</si>
  <si>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</si>
  <si>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</si>
  <si>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</si>
  <si>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</si>
  <si>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</si>
  <si>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</si>
  <si>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</si>
  <si>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</si>
  <si>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</si>
  <si>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</si>
  <si>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</si>
  <si>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</si>
  <si>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</si>
  <si>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</si>
  <si>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</si>
  <si>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</si>
  <si>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</si>
  <si>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</si>
  <si>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</si>
  <si>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</si>
  <si>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</si>
  <si>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</si>
  <si>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</si>
  <si>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</si>
  <si>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</si>
  <si>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</si>
  <si>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</si>
  <si>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</si>
  <si>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</si>
  <si>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</si>
  <si>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</si>
  <si>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</si>
  <si>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</si>
  <si>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</si>
  <si>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</si>
  <si>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</si>
  <si>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</si>
  <si>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</si>
  <si>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</si>
  <si>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</si>
  <si>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</si>
  <si>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</si>
  <si>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</si>
  <si>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</si>
  <si>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</si>
  <si>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</si>
  <si>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</si>
  <si>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</si>
  <si>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</si>
  <si>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</si>
  <si>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</si>
  <si>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</si>
  <si>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</si>
  <si>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</si>
  <si>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</si>
  <si>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</si>
  <si>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</si>
  <si>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</si>
  <si>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</si>
  <si>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</si>
  <si>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</si>
  <si>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</si>
  <si>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</si>
  <si>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</si>
  <si>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</si>
  <si>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</si>
  <si>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</si>
  <si>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</si>
  <si>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</si>
  <si>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</si>
  <si>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</si>
  <si>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</si>
  <si>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</si>
  <si>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</si>
  <si>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</si>
  <si>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</si>
  <si>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</si>
  <si>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</si>
  <si>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</si>
  <si>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</si>
  <si>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</si>
  <si>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</si>
  <si>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</si>
  <si>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</si>
  <si>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</si>
  <si>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</si>
  <si>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</si>
  <si>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</si>
  <si>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</si>
  <si>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</si>
  <si>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</si>
  <si>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</si>
  <si>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</si>
  <si>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</si>
  <si>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</si>
  <si>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</si>
  <si>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</si>
  <si>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</si>
  <si>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</si>
  <si>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</si>
  <si>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</si>
  <si>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</si>
  <si>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</si>
  <si>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</si>
  <si>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</si>
  <si>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</si>
  <si>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</si>
  <si>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</si>
  <si>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</si>
  <si>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</si>
  <si>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</si>
  <si>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</si>
  <si>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</si>
  <si>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</si>
  <si>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</si>
  <si>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</si>
  <si>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</si>
  <si>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</si>
  <si>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</si>
  <si>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</si>
  <si>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</si>
  <si>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</si>
  <si>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</si>
  <si>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</si>
  <si>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</si>
  <si>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</si>
  <si>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</si>
  <si>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</si>
  <si>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</si>
  <si>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</si>
  <si>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</si>
  <si>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</si>
  <si>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</si>
  <si>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</si>
  <si>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</si>
  <si>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</si>
  <si>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</si>
  <si>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</si>
  <si>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</si>
  <si>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</si>
  <si>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</si>
  <si>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</si>
  <si>
    <t>sep</t>
  </si>
  <si>
    <t>july</t>
  </si>
  <si>
    <t>Aug</t>
  </si>
  <si>
    <t>August</t>
  </si>
  <si>
    <t>September</t>
  </si>
  <si>
    <t>October</t>
  </si>
  <si>
    <t>For October we used data through the tenth and tripled the amount.</t>
  </si>
  <si>
    <t>Month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</si>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</sst>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2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41" fontId="0" fillId="0" borderId="0" xfId="4" applyFont="1"/>
    <xf numFmtId="164" fontId="0" fillId="0" borderId="0" xfId="2" applyNumberFormat="1" applyFont="1"/>
    <xf numFmtId="0" fontId="0" fillId="24" borderId="0" xfId="0" applyFont="1" applyFill="1"/>
    <xf numFmtId="0" fontId="0" fillId="13" borderId="0" xfId="0" applyFill="1"/>
    <xf numFmtId="0" fontId="3" fillId="13" borderId="0" xfId="0" applyFont="1" applyFill="1" applyAlignment="1">
      <alignment horizontal="center"/>
    </xf>
    <xf numFmtId="0" fontId="3" fillId="13" borderId="17" xfId="0" applyFont="1" applyFill="1" applyBorder="1" applyAlignment="1">
      <alignment horizontal="center"/>
    </xf>
    <xf numFmtId="0" fontId="21" fillId="13" borderId="0" xfId="0" applyFont="1" applyFill="1"/>
    <xf numFmtId="0" fontId="20" fillId="13" borderId="0" xfId="0" applyFont="1" applyFill="1"/>
    <xf numFmtId="164" fontId="20" fillId="13" borderId="0" xfId="0" applyNumberFormat="1" applyFont="1" applyFill="1"/>
    <xf numFmtId="165" fontId="20" fillId="13" borderId="0" xfId="2" applyNumberFormat="1" applyFont="1" applyFill="1"/>
    <xf numFmtId="49" fontId="19" fillId="13" borderId="0" xfId="0" applyNumberFormat="1" applyFont="1" applyFill="1"/>
    <xf numFmtId="49" fontId="19" fillId="13" borderId="0" xfId="0" applyNumberFormat="1" applyFont="1" applyFill="1" applyAlignment="1">
      <alignment horizontal="right"/>
    </xf>
    <xf numFmtId="0" fontId="7" fillId="13" borderId="0" xfId="0" applyFont="1" applyFill="1"/>
    <xf numFmtId="0" fontId="3" fillId="13" borderId="17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5">
    <cellStyle name="Comma" xfId="1" builtinId="3"/>
    <cellStyle name="Comma [0]" xfId="4" builtinId="6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Lit>
              <c:ptCount val="29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pt idx="11">
                <c:v> 78 </c:v>
              </c:pt>
              <c:pt idx="12">
                <c:v> 85 </c:v>
              </c:pt>
              <c:pt idx="13">
                <c:v> 92 </c:v>
              </c:pt>
              <c:pt idx="14">
                <c:v> 99 </c:v>
              </c:pt>
              <c:pt idx="15">
                <c:v> 106 </c:v>
              </c:pt>
              <c:pt idx="16">
                <c:v> 113 </c:v>
              </c:pt>
              <c:pt idx="17">
                <c:v> 120 </c:v>
              </c:pt>
              <c:pt idx="18">
                <c:v> 127 </c:v>
              </c:pt>
              <c:pt idx="19">
                <c:v> 134 </c:v>
              </c:pt>
              <c:pt idx="20">
                <c:v> 141 </c:v>
              </c:pt>
              <c:pt idx="21">
                <c:v> 148 </c:v>
              </c:pt>
              <c:pt idx="22">
                <c:v> 155 </c:v>
              </c:pt>
              <c:pt idx="23">
                <c:v> 162 </c:v>
              </c:pt>
              <c:pt idx="24">
                <c:v> 169 </c:v>
              </c:pt>
              <c:pt idx="25">
                <c:v> 176 </c:v>
              </c:pt>
              <c:pt idx="26">
                <c:v> 183 </c:v>
              </c:pt>
              <c:pt idx="27">
                <c:v> 190 </c:v>
              </c:pt>
              <c:pt idx="28">
                <c:v> 197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Table'!$AG$26:$AG$222</c15:sqref>
                  </c15:fullRef>
                </c:ext>
              </c:extLst>
              <c:f>('Main Table'!$AG$26,'Main Table'!$AG$33,'Main Table'!$AG$40,'Main Table'!$AG$47,'Main Table'!$AG$54,'Main Table'!$AG$61,'Main Table'!$AG$68,'Main Table'!$AG$75,'Main Table'!$AG$82,'Main Table'!$AG$89,'Main Table'!$AG$96,'Main Table'!$AG$103,'Main Table'!$AG$110,'Main Table'!$AG$117,'Main Table'!$AG$124,'Main Table'!$AG$131,'Main Table'!$AG$138,'Main Table'!$AG$145,'Main Table'!$AG$152,'Main Table'!$AG$159,'Main Table'!$AG$166,'Main Table'!$AG$173,'Main Table'!$AG$180,'Main Table'!$AG$187,'Main Table'!$AG$194,'Main Table'!$AG$201,'Main Table'!$AG$208,'Main Table'!$AG$215,'Main Table'!$AG$222)</c:f>
              <c:numCache>
                <c:formatCode>_(* #,##0_);_(* \(#,##0\);_(* "-"??_);_(@_)</c:formatCode>
                <c:ptCount val="29"/>
                <c:pt idx="0">
                  <c:v>7033</c:v>
                </c:pt>
                <c:pt idx="1">
                  <c:v>12468</c:v>
                </c:pt>
                <c:pt idx="2">
                  <c:v>14701</c:v>
                </c:pt>
                <c:pt idx="3">
                  <c:v>14511</c:v>
                </c:pt>
                <c:pt idx="4">
                  <c:v>13185</c:v>
                </c:pt>
                <c:pt idx="5">
                  <c:v>12190</c:v>
                </c:pt>
                <c:pt idx="6">
                  <c:v>10191</c:v>
                </c:pt>
                <c:pt idx="7">
                  <c:v>8322</c:v>
                </c:pt>
                <c:pt idx="8">
                  <c:v>6895</c:v>
                </c:pt>
                <c:pt idx="9">
                  <c:v>6201</c:v>
                </c:pt>
                <c:pt idx="10">
                  <c:v>5389</c:v>
                </c:pt>
                <c:pt idx="11">
                  <c:v>4386</c:v>
                </c:pt>
                <c:pt idx="12">
                  <c:v>4166</c:v>
                </c:pt>
                <c:pt idx="13">
                  <c:v>3460</c:v>
                </c:pt>
                <c:pt idx="14">
                  <c:v>5181</c:v>
                </c:pt>
                <c:pt idx="15">
                  <c:v>5537</c:v>
                </c:pt>
                <c:pt idx="16">
                  <c:v>6580</c:v>
                </c:pt>
                <c:pt idx="17">
                  <c:v>7843</c:v>
                </c:pt>
                <c:pt idx="18">
                  <c:v>7243</c:v>
                </c:pt>
                <c:pt idx="19">
                  <c:v>7456</c:v>
                </c:pt>
                <c:pt idx="20">
                  <c:v>6902</c:v>
                </c:pt>
                <c:pt idx="21">
                  <c:v>6651</c:v>
                </c:pt>
                <c:pt idx="22">
                  <c:v>6050</c:v>
                </c:pt>
                <c:pt idx="23">
                  <c:v>5272</c:v>
                </c:pt>
                <c:pt idx="24">
                  <c:v>5617</c:v>
                </c:pt>
                <c:pt idx="25">
                  <c:v>5328</c:v>
                </c:pt>
                <c:pt idx="26">
                  <c:v>5158</c:v>
                </c:pt>
                <c:pt idx="27">
                  <c:v>5000</c:v>
                </c:pt>
                <c:pt idx="28">
                  <c:v>5017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Lit>
              <c:ptCount val="27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pt idx="11">
                <c:v> 78 </c:v>
              </c:pt>
              <c:pt idx="12">
                <c:v> 85 </c:v>
              </c:pt>
              <c:pt idx="13">
                <c:v> 92 </c:v>
              </c:pt>
              <c:pt idx="14">
                <c:v> 99 </c:v>
              </c:pt>
              <c:pt idx="15">
                <c:v> 106 </c:v>
              </c:pt>
              <c:pt idx="16">
                <c:v> 113 </c:v>
              </c:pt>
              <c:pt idx="17">
                <c:v> 120 </c:v>
              </c:pt>
              <c:pt idx="18">
                <c:v> 127 </c:v>
              </c:pt>
              <c:pt idx="19">
                <c:v> 134 </c:v>
              </c:pt>
              <c:pt idx="20">
                <c:v> 141 </c:v>
              </c:pt>
              <c:pt idx="21">
                <c:v> 148 </c:v>
              </c:pt>
              <c:pt idx="22">
                <c:v> 155 </c:v>
              </c:pt>
              <c:pt idx="23">
                <c:v> 162 </c:v>
              </c:pt>
              <c:pt idx="24">
                <c:v> 169 </c:v>
              </c:pt>
              <c:pt idx="25">
                <c:v> 176 </c:v>
              </c:pt>
              <c:pt idx="26">
                <c:v> 183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Table'!$BK$40:$BK$222</c15:sqref>
                  </c15:fullRef>
                </c:ext>
              </c:extLst>
              <c:f>('Main Table'!$BK$40,'Main Table'!$BK$47,'Main Table'!$BK$54,'Main Table'!$BK$61,'Main Table'!$BK$68,'Main Table'!$BK$75,'Main Table'!$BK$82,'Main Table'!$BK$89,'Main Table'!$BK$96,'Main Table'!$BK$103,'Main Table'!$BK$110,'Main Table'!$BK$117,'Main Table'!$BK$124,'Main Table'!$BK$131,'Main Table'!$BK$138,'Main Table'!$BK$145,'Main Table'!$BK$152,'Main Table'!$BK$159,'Main Table'!$BK$166,'Main Table'!$BK$173,'Main Table'!$BK$180,'Main Table'!$BK$187,'Main Table'!$BK$194,'Main Table'!$BK$201,'Main Table'!$BK$208,'Main Table'!$BK$215,'Main Table'!$BK$222)</c:f>
              <c:numCache>
                <c:formatCode>_(* #,##0_);_(* \(#,##0\);_(* "-"??_);_(@_)</c:formatCode>
                <c:ptCount val="27"/>
                <c:pt idx="0">
                  <c:v>1029291</c:v>
                </c:pt>
                <c:pt idx="1">
                  <c:v>1608915</c:v>
                </c:pt>
                <c:pt idx="2">
                  <c:v>1726276</c:v>
                </c:pt>
                <c:pt idx="3">
                  <c:v>2247785</c:v>
                </c:pt>
                <c:pt idx="4">
                  <c:v>2431055</c:v>
                </c:pt>
                <c:pt idx="5">
                  <c:v>2874176</c:v>
                </c:pt>
                <c:pt idx="6">
                  <c:v>2922811</c:v>
                </c:pt>
                <c:pt idx="7">
                  <c:v>3619110</c:v>
                </c:pt>
                <c:pt idx="8">
                  <c:v>3499254</c:v>
                </c:pt>
                <c:pt idx="9">
                  <c:v>3701059</c:v>
                </c:pt>
                <c:pt idx="10">
                  <c:v>4100378</c:v>
                </c:pt>
                <c:pt idx="11">
                  <c:v>4994441</c:v>
                </c:pt>
                <c:pt idx="12">
                  <c:v>4882798</c:v>
                </c:pt>
                <c:pt idx="13">
                  <c:v>5872128</c:v>
                </c:pt>
                <c:pt idx="14">
                  <c:v>5877840</c:v>
                </c:pt>
                <c:pt idx="15">
                  <c:v>5705709</c:v>
                </c:pt>
                <c:pt idx="16">
                  <c:v>5507967</c:v>
                </c:pt>
                <c:pt idx="17">
                  <c:v>5527379</c:v>
                </c:pt>
                <c:pt idx="18">
                  <c:v>5198748</c:v>
                </c:pt>
                <c:pt idx="19">
                  <c:v>5670701</c:v>
                </c:pt>
                <c:pt idx="20">
                  <c:v>5644840</c:v>
                </c:pt>
                <c:pt idx="21">
                  <c:v>4928581</c:v>
                </c:pt>
                <c:pt idx="22">
                  <c:v>5763109</c:v>
                </c:pt>
                <c:pt idx="23">
                  <c:v>6168553</c:v>
                </c:pt>
                <c:pt idx="24">
                  <c:v>7135104</c:v>
                </c:pt>
                <c:pt idx="25">
                  <c:v>7016632</c:v>
                </c:pt>
                <c:pt idx="26">
                  <c:v>7196983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1"/>
              <c:pt idx="0">
                <c:v>1</c:v>
              </c:pt>
              <c:pt idx="1">
                <c:v>8</c:v>
              </c:pt>
              <c:pt idx="2">
                <c:v>15</c:v>
              </c:pt>
              <c:pt idx="3">
                <c:v>22</c:v>
              </c:pt>
              <c:pt idx="4">
                <c:v>29</c:v>
              </c:pt>
              <c:pt idx="5">
                <c:v>36</c:v>
              </c:pt>
              <c:pt idx="6">
                <c:v>43</c:v>
              </c:pt>
              <c:pt idx="7">
                <c:v>50</c:v>
              </c:pt>
              <c:pt idx="8">
                <c:v>57</c:v>
              </c:pt>
              <c:pt idx="9">
                <c:v>64</c:v>
              </c:pt>
              <c:pt idx="10">
                <c:v>71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Table'!$N$131:$N$201</c15:sqref>
                  </c15:fullRef>
                </c:ext>
              </c:extLst>
              <c:f>('Main Table'!$N$131,'Main Table'!$N$138,'Main Table'!$N$145,'Main Table'!$N$152,'Main Table'!$N$159,'Main Table'!$N$166,'Main Table'!$N$173,'Main Table'!$N$180,'Main Table'!$N$187,'Main Table'!$N$194,'Main Table'!$N$201)</c:f>
              <c:numCache>
                <c:formatCode>_(* #,##0_);_(* \(#,##0\);_(* "-"??_);_(@_)</c:formatCode>
                <c:ptCount val="11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301969</c:v>
                </c:pt>
                <c:pt idx="6">
                  <c:v>298467</c:v>
                </c:pt>
                <c:pt idx="7">
                  <c:v>293265</c:v>
                </c:pt>
                <c:pt idx="8">
                  <c:v>245652</c:v>
                </c:pt>
                <c:pt idx="9">
                  <c:v>289312</c:v>
                </c:pt>
                <c:pt idx="10">
                  <c:v>290088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September</a:t>
                </a:r>
                <a:r>
                  <a:rPr lang="en-US" sz="1000" b="1" baseline="0"/>
                  <a:t> 13</a:t>
                </a:r>
                <a:r>
                  <a:rPr lang="en-US" sz="1000" b="1"/>
                  <a:t>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241</xdr:row>
      <xdr:rowOff>0</xdr:rowOff>
    </xdr:from>
    <xdr:to>
      <xdr:col>54</xdr:col>
      <xdr:colOff>160020</xdr:colOff>
      <xdr:row>241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242</xdr:row>
      <xdr:rowOff>0</xdr:rowOff>
    </xdr:from>
    <xdr:to>
      <xdr:col>54</xdr:col>
      <xdr:colOff>160020</xdr:colOff>
      <xdr:row>242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251</xdr:row>
      <xdr:rowOff>99060</xdr:rowOff>
    </xdr:from>
    <xdr:to>
      <xdr:col>22</xdr:col>
      <xdr:colOff>312420</xdr:colOff>
      <xdr:row>252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251</xdr:row>
      <xdr:rowOff>129540</xdr:rowOff>
    </xdr:from>
    <xdr:to>
      <xdr:col>23</xdr:col>
      <xdr:colOff>68580</xdr:colOff>
      <xdr:row>252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22</xdr:col>
      <xdr:colOff>480060</xdr:colOff>
      <xdr:row>6</xdr:row>
      <xdr:rowOff>121920</xdr:rowOff>
    </xdr:from>
    <xdr:to>
      <xdr:col>34</xdr:col>
      <xdr:colOff>464820</xdr:colOff>
      <xdr:row>24</xdr:row>
      <xdr:rowOff>83820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49</xdr:col>
      <xdr:colOff>259080</xdr:colOff>
      <xdr:row>4</xdr:row>
      <xdr:rowOff>7620</xdr:rowOff>
    </xdr:from>
    <xdr:to>
      <xdr:col>65</xdr:col>
      <xdr:colOff>281940</xdr:colOff>
      <xdr:row>21</xdr:row>
      <xdr:rowOff>129540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266</xdr:row>
      <xdr:rowOff>125730</xdr:rowOff>
    </xdr:from>
    <xdr:to>
      <xdr:col>54</xdr:col>
      <xdr:colOff>213360</xdr:colOff>
      <xdr:row>281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167</xdr:row>
      <xdr:rowOff>0</xdr:rowOff>
    </xdr:from>
    <xdr:to>
      <xdr:col>71</xdr:col>
      <xdr:colOff>83820</xdr:colOff>
      <xdr:row>167</xdr:row>
      <xdr:rowOff>114300</xdr:rowOff>
    </xdr:to>
    <xdr:sp macro="" textlink="">
      <xdr:nvSpPr>
        <xdr:cNvPr id="1189" name="Arrow: Down 1188">
          <a:extLst>
            <a:ext uri="{FF2B5EF4-FFF2-40B4-BE49-F238E27FC236}">
              <a16:creationId xmlns:a16="http://schemas.microsoft.com/office/drawing/2014/main" id="{8B5A6BF3-DEDD-4905-8ACC-0EA8AE95DF11}"/>
            </a:ext>
          </a:extLst>
        </xdr:cNvPr>
        <xdr:cNvSpPr/>
      </xdr:nvSpPr>
      <xdr:spPr>
        <a:xfrm>
          <a:off x="1786128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167</xdr:row>
      <xdr:rowOff>0</xdr:rowOff>
    </xdr:from>
    <xdr:to>
      <xdr:col>45</xdr:col>
      <xdr:colOff>83820</xdr:colOff>
      <xdr:row>167</xdr:row>
      <xdr:rowOff>114300</xdr:rowOff>
    </xdr:to>
    <xdr:sp macro="" textlink="">
      <xdr:nvSpPr>
        <xdr:cNvPr id="1190" name="Arrow: Down 1189">
          <a:extLst>
            <a:ext uri="{FF2B5EF4-FFF2-40B4-BE49-F238E27FC236}">
              <a16:creationId xmlns:a16="http://schemas.microsoft.com/office/drawing/2014/main" id="{AE5BDFB8-025A-4DAF-B91A-BED165063E20}"/>
            </a:ext>
          </a:extLst>
        </xdr:cNvPr>
        <xdr:cNvSpPr/>
      </xdr:nvSpPr>
      <xdr:spPr>
        <a:xfrm rot="10800000">
          <a:off x="1078230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167</xdr:row>
      <xdr:rowOff>0</xdr:rowOff>
    </xdr:from>
    <xdr:to>
      <xdr:col>24</xdr:col>
      <xdr:colOff>83820</xdr:colOff>
      <xdr:row>167</xdr:row>
      <xdr:rowOff>114300</xdr:rowOff>
    </xdr:to>
    <xdr:sp macro="" textlink="">
      <xdr:nvSpPr>
        <xdr:cNvPr id="1193" name="Arrow: Down 1192">
          <a:extLst>
            <a:ext uri="{FF2B5EF4-FFF2-40B4-BE49-F238E27FC236}">
              <a16:creationId xmlns:a16="http://schemas.microsoft.com/office/drawing/2014/main" id="{C6BBBCC2-42E3-4006-A355-E26D78F7845F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0</xdr:colOff>
      <xdr:row>167</xdr:row>
      <xdr:rowOff>0</xdr:rowOff>
    </xdr:from>
    <xdr:to>
      <xdr:col>60</xdr:col>
      <xdr:colOff>83820</xdr:colOff>
      <xdr:row>167</xdr:row>
      <xdr:rowOff>114300</xdr:rowOff>
    </xdr:to>
    <xdr:sp macro="" textlink="">
      <xdr:nvSpPr>
        <xdr:cNvPr id="1196" name="Arrow: Down 1195">
          <a:extLst>
            <a:ext uri="{FF2B5EF4-FFF2-40B4-BE49-F238E27FC236}">
              <a16:creationId xmlns:a16="http://schemas.microsoft.com/office/drawing/2014/main" id="{11DCB4F4-2198-4A54-8A61-442E7A3ACB56}"/>
            </a:ext>
          </a:extLst>
        </xdr:cNvPr>
        <xdr:cNvSpPr/>
      </xdr:nvSpPr>
      <xdr:spPr>
        <a:xfrm>
          <a:off x="155448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167</xdr:row>
      <xdr:rowOff>0</xdr:rowOff>
    </xdr:from>
    <xdr:to>
      <xdr:col>11</xdr:col>
      <xdr:colOff>83820</xdr:colOff>
      <xdr:row>167</xdr:row>
      <xdr:rowOff>114300</xdr:rowOff>
    </xdr:to>
    <xdr:sp macro="" textlink="">
      <xdr:nvSpPr>
        <xdr:cNvPr id="1197" name="Arrow: Down 1196">
          <a:extLst>
            <a:ext uri="{FF2B5EF4-FFF2-40B4-BE49-F238E27FC236}">
              <a16:creationId xmlns:a16="http://schemas.microsoft.com/office/drawing/2014/main" id="{9758619B-A76E-45D7-8515-BC9A92BB4C62}"/>
            </a:ext>
          </a:extLst>
        </xdr:cNvPr>
        <xdr:cNvSpPr/>
      </xdr:nvSpPr>
      <xdr:spPr>
        <a:xfrm>
          <a:off x="36195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167</xdr:row>
      <xdr:rowOff>0</xdr:rowOff>
    </xdr:from>
    <xdr:to>
      <xdr:col>39</xdr:col>
      <xdr:colOff>83820</xdr:colOff>
      <xdr:row>167</xdr:row>
      <xdr:rowOff>114300</xdr:rowOff>
    </xdr:to>
    <xdr:sp macro="" textlink="">
      <xdr:nvSpPr>
        <xdr:cNvPr id="1198" name="Arrow: Down 1197">
          <a:extLst>
            <a:ext uri="{FF2B5EF4-FFF2-40B4-BE49-F238E27FC236}">
              <a16:creationId xmlns:a16="http://schemas.microsoft.com/office/drawing/2014/main" id="{145611A0-3D63-4142-955D-15B59F0BE7C7}"/>
            </a:ext>
          </a:extLst>
        </xdr:cNvPr>
        <xdr:cNvSpPr/>
      </xdr:nvSpPr>
      <xdr:spPr>
        <a:xfrm>
          <a:off x="9006840" y="30640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83820</xdr:colOff>
      <xdr:row>167</xdr:row>
      <xdr:rowOff>114300</xdr:rowOff>
    </xdr:to>
    <xdr:sp macro="" textlink="">
      <xdr:nvSpPr>
        <xdr:cNvPr id="1199" name="Arrow: Down 1198">
          <a:extLst>
            <a:ext uri="{FF2B5EF4-FFF2-40B4-BE49-F238E27FC236}">
              <a16:creationId xmlns:a16="http://schemas.microsoft.com/office/drawing/2014/main" id="{B5B6355C-A09C-4E7B-86B7-658C990DC919}"/>
            </a:ext>
          </a:extLst>
        </xdr:cNvPr>
        <xdr:cNvSpPr/>
      </xdr:nvSpPr>
      <xdr:spPr>
        <a:xfrm>
          <a:off x="19278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168</xdr:row>
      <xdr:rowOff>0</xdr:rowOff>
    </xdr:from>
    <xdr:to>
      <xdr:col>71</xdr:col>
      <xdr:colOff>83820</xdr:colOff>
      <xdr:row>168</xdr:row>
      <xdr:rowOff>114300</xdr:rowOff>
    </xdr:to>
    <xdr:sp macro="" textlink="">
      <xdr:nvSpPr>
        <xdr:cNvPr id="1207" name="Arrow: Down 1206">
          <a:extLst>
            <a:ext uri="{FF2B5EF4-FFF2-40B4-BE49-F238E27FC236}">
              <a16:creationId xmlns:a16="http://schemas.microsoft.com/office/drawing/2014/main" id="{F05840C9-7350-4F4B-B616-194C45AE168A}"/>
            </a:ext>
          </a:extLst>
        </xdr:cNvPr>
        <xdr:cNvSpPr/>
      </xdr:nvSpPr>
      <xdr:spPr>
        <a:xfrm>
          <a:off x="1788414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168</xdr:row>
      <xdr:rowOff>0</xdr:rowOff>
    </xdr:from>
    <xdr:to>
      <xdr:col>45</xdr:col>
      <xdr:colOff>83820</xdr:colOff>
      <xdr:row>168</xdr:row>
      <xdr:rowOff>114300</xdr:rowOff>
    </xdr:to>
    <xdr:sp macro="" textlink="">
      <xdr:nvSpPr>
        <xdr:cNvPr id="1208" name="Arrow: Down 1207">
          <a:extLst>
            <a:ext uri="{FF2B5EF4-FFF2-40B4-BE49-F238E27FC236}">
              <a16:creationId xmlns:a16="http://schemas.microsoft.com/office/drawing/2014/main" id="{E11CE8C8-FE76-44F1-BF26-1090BE47F92B}"/>
            </a:ext>
          </a:extLst>
        </xdr:cNvPr>
        <xdr:cNvSpPr/>
      </xdr:nvSpPr>
      <xdr:spPr>
        <a:xfrm rot="10800000">
          <a:off x="108051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168</xdr:row>
      <xdr:rowOff>0</xdr:rowOff>
    </xdr:from>
    <xdr:to>
      <xdr:col>24</xdr:col>
      <xdr:colOff>83820</xdr:colOff>
      <xdr:row>168</xdr:row>
      <xdr:rowOff>114300</xdr:rowOff>
    </xdr:to>
    <xdr:sp macro="" textlink="">
      <xdr:nvSpPr>
        <xdr:cNvPr id="1113" name="Arrow: Down 1112">
          <a:extLst>
            <a:ext uri="{FF2B5EF4-FFF2-40B4-BE49-F238E27FC236}">
              <a16:creationId xmlns:a16="http://schemas.microsoft.com/office/drawing/2014/main" id="{A79F99D7-5701-48B4-A812-583D14C32B78}"/>
            </a:ext>
          </a:extLst>
        </xdr:cNvPr>
        <xdr:cNvSpPr/>
      </xdr:nvSpPr>
      <xdr:spPr>
        <a:xfrm>
          <a:off x="58369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168</xdr:row>
      <xdr:rowOff>0</xdr:rowOff>
    </xdr:from>
    <xdr:to>
      <xdr:col>39</xdr:col>
      <xdr:colOff>83820</xdr:colOff>
      <xdr:row>168</xdr:row>
      <xdr:rowOff>114300</xdr:rowOff>
    </xdr:to>
    <xdr:sp macro="" textlink="">
      <xdr:nvSpPr>
        <xdr:cNvPr id="1129" name="Arrow: Down 1128">
          <a:extLst>
            <a:ext uri="{FF2B5EF4-FFF2-40B4-BE49-F238E27FC236}">
              <a16:creationId xmlns:a16="http://schemas.microsoft.com/office/drawing/2014/main" id="{C245B274-74AC-409F-A39A-8168261DA45A}"/>
            </a:ext>
          </a:extLst>
        </xdr:cNvPr>
        <xdr:cNvSpPr/>
      </xdr:nvSpPr>
      <xdr:spPr>
        <a:xfrm rot="10800000">
          <a:off x="89992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83820</xdr:colOff>
      <xdr:row>168</xdr:row>
      <xdr:rowOff>114300</xdr:rowOff>
    </xdr:to>
    <xdr:sp macro="" textlink="">
      <xdr:nvSpPr>
        <xdr:cNvPr id="1174" name="Arrow: Down 1173">
          <a:extLst>
            <a:ext uri="{FF2B5EF4-FFF2-40B4-BE49-F238E27FC236}">
              <a16:creationId xmlns:a16="http://schemas.microsoft.com/office/drawing/2014/main" id="{54F4A0C1-C09E-4319-8D04-B54D6345DA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83820</xdr:colOff>
      <xdr:row>168</xdr:row>
      <xdr:rowOff>114300</xdr:rowOff>
    </xdr:to>
    <xdr:sp macro="" textlink="">
      <xdr:nvSpPr>
        <xdr:cNvPr id="1175" name="Arrow: Down 1174">
          <a:extLst>
            <a:ext uri="{FF2B5EF4-FFF2-40B4-BE49-F238E27FC236}">
              <a16:creationId xmlns:a16="http://schemas.microsoft.com/office/drawing/2014/main" id="{88287415-97B4-4FF5-8E7F-F6487A182233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169</xdr:row>
      <xdr:rowOff>0</xdr:rowOff>
    </xdr:from>
    <xdr:to>
      <xdr:col>71</xdr:col>
      <xdr:colOff>83820</xdr:colOff>
      <xdr:row>169</xdr:row>
      <xdr:rowOff>114300</xdr:rowOff>
    </xdr:to>
    <xdr:sp macro="" textlink="">
      <xdr:nvSpPr>
        <xdr:cNvPr id="1176" name="Arrow: Down 1175">
          <a:extLst>
            <a:ext uri="{FF2B5EF4-FFF2-40B4-BE49-F238E27FC236}">
              <a16:creationId xmlns:a16="http://schemas.microsoft.com/office/drawing/2014/main" id="{04229778-0C61-43C6-851F-64D37B8D1C3E}"/>
            </a:ext>
          </a:extLst>
        </xdr:cNvPr>
        <xdr:cNvSpPr/>
      </xdr:nvSpPr>
      <xdr:spPr>
        <a:xfrm>
          <a:off x="1849374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169</xdr:row>
      <xdr:rowOff>0</xdr:rowOff>
    </xdr:from>
    <xdr:to>
      <xdr:col>45</xdr:col>
      <xdr:colOff>83820</xdr:colOff>
      <xdr:row>169</xdr:row>
      <xdr:rowOff>114300</xdr:rowOff>
    </xdr:to>
    <xdr:sp macro="" textlink="">
      <xdr:nvSpPr>
        <xdr:cNvPr id="1177" name="Arrow: Down 1176">
          <a:extLst>
            <a:ext uri="{FF2B5EF4-FFF2-40B4-BE49-F238E27FC236}">
              <a16:creationId xmlns:a16="http://schemas.microsoft.com/office/drawing/2014/main" id="{A3A67A64-B35C-4358-A2E0-EB63BF014B3E}"/>
            </a:ext>
          </a:extLst>
        </xdr:cNvPr>
        <xdr:cNvSpPr/>
      </xdr:nvSpPr>
      <xdr:spPr>
        <a:xfrm rot="10800000">
          <a:off x="1141476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169</xdr:row>
      <xdr:rowOff>0</xdr:rowOff>
    </xdr:from>
    <xdr:to>
      <xdr:col>24</xdr:col>
      <xdr:colOff>83820</xdr:colOff>
      <xdr:row>169</xdr:row>
      <xdr:rowOff>114300</xdr:rowOff>
    </xdr:to>
    <xdr:sp macro="" textlink="">
      <xdr:nvSpPr>
        <xdr:cNvPr id="1180" name="Arrow: Down 1179">
          <a:extLst>
            <a:ext uri="{FF2B5EF4-FFF2-40B4-BE49-F238E27FC236}">
              <a16:creationId xmlns:a16="http://schemas.microsoft.com/office/drawing/2014/main" id="{258B44C0-DF9A-4002-AACE-06CC51C2F366}"/>
            </a:ext>
          </a:extLst>
        </xdr:cNvPr>
        <xdr:cNvSpPr/>
      </xdr:nvSpPr>
      <xdr:spPr>
        <a:xfrm>
          <a:off x="64465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169</xdr:row>
      <xdr:rowOff>0</xdr:rowOff>
    </xdr:from>
    <xdr:to>
      <xdr:col>11</xdr:col>
      <xdr:colOff>83820</xdr:colOff>
      <xdr:row>169</xdr:row>
      <xdr:rowOff>114300</xdr:rowOff>
    </xdr:to>
    <xdr:sp macro="" textlink="">
      <xdr:nvSpPr>
        <xdr:cNvPr id="1185" name="Arrow: Down 1184">
          <a:extLst>
            <a:ext uri="{FF2B5EF4-FFF2-40B4-BE49-F238E27FC236}">
              <a16:creationId xmlns:a16="http://schemas.microsoft.com/office/drawing/2014/main" id="{757CA62E-B831-43DD-9722-FC40EEA915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83820</xdr:colOff>
      <xdr:row>169</xdr:row>
      <xdr:rowOff>114300</xdr:rowOff>
    </xdr:to>
    <xdr:sp macro="" textlink="">
      <xdr:nvSpPr>
        <xdr:cNvPr id="1187" name="Arrow: Down 1186">
          <a:extLst>
            <a:ext uri="{FF2B5EF4-FFF2-40B4-BE49-F238E27FC236}">
              <a16:creationId xmlns:a16="http://schemas.microsoft.com/office/drawing/2014/main" id="{317DA41D-9535-49EA-B007-F311578401C9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169</xdr:row>
      <xdr:rowOff>0</xdr:rowOff>
    </xdr:from>
    <xdr:to>
      <xdr:col>39</xdr:col>
      <xdr:colOff>83820</xdr:colOff>
      <xdr:row>169</xdr:row>
      <xdr:rowOff>114300</xdr:rowOff>
    </xdr:to>
    <xdr:sp macro="" textlink="">
      <xdr:nvSpPr>
        <xdr:cNvPr id="1194" name="Arrow: Down 1193">
          <a:extLst>
            <a:ext uri="{FF2B5EF4-FFF2-40B4-BE49-F238E27FC236}">
              <a16:creationId xmlns:a16="http://schemas.microsoft.com/office/drawing/2014/main" id="{18BD2910-7DC7-4883-93B5-A2788FCA534B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169</xdr:row>
      <xdr:rowOff>0</xdr:rowOff>
    </xdr:from>
    <xdr:to>
      <xdr:col>60</xdr:col>
      <xdr:colOff>83820</xdr:colOff>
      <xdr:row>169</xdr:row>
      <xdr:rowOff>114300</xdr:rowOff>
    </xdr:to>
    <xdr:sp macro="" textlink="">
      <xdr:nvSpPr>
        <xdr:cNvPr id="1201" name="Arrow: Down 1200">
          <a:extLst>
            <a:ext uri="{FF2B5EF4-FFF2-40B4-BE49-F238E27FC236}">
              <a16:creationId xmlns:a16="http://schemas.microsoft.com/office/drawing/2014/main" id="{658B009E-D383-446E-976D-4634B64E11EC}"/>
            </a:ext>
          </a:extLst>
        </xdr:cNvPr>
        <xdr:cNvSpPr/>
      </xdr:nvSpPr>
      <xdr:spPr>
        <a:xfrm>
          <a:off x="161772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168</xdr:row>
      <xdr:rowOff>0</xdr:rowOff>
    </xdr:from>
    <xdr:to>
      <xdr:col>60</xdr:col>
      <xdr:colOff>83820</xdr:colOff>
      <xdr:row>168</xdr:row>
      <xdr:rowOff>114300</xdr:rowOff>
    </xdr:to>
    <xdr:sp macro="" textlink="">
      <xdr:nvSpPr>
        <xdr:cNvPr id="1203" name="Arrow: Down 1202">
          <a:extLst>
            <a:ext uri="{FF2B5EF4-FFF2-40B4-BE49-F238E27FC236}">
              <a16:creationId xmlns:a16="http://schemas.microsoft.com/office/drawing/2014/main" id="{54BC4051-1BDB-485C-982C-613572FDBDE7}"/>
            </a:ext>
          </a:extLst>
        </xdr:cNvPr>
        <xdr:cNvSpPr/>
      </xdr:nvSpPr>
      <xdr:spPr>
        <a:xfrm rot="10800000">
          <a:off x="161772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170</xdr:row>
      <xdr:rowOff>0</xdr:rowOff>
    </xdr:from>
    <xdr:to>
      <xdr:col>71</xdr:col>
      <xdr:colOff>83820</xdr:colOff>
      <xdr:row>170</xdr:row>
      <xdr:rowOff>114300</xdr:rowOff>
    </xdr:to>
    <xdr:sp macro="" textlink="">
      <xdr:nvSpPr>
        <xdr:cNvPr id="1204" name="Arrow: Down 1203">
          <a:extLst>
            <a:ext uri="{FF2B5EF4-FFF2-40B4-BE49-F238E27FC236}">
              <a16:creationId xmlns:a16="http://schemas.microsoft.com/office/drawing/2014/main" id="{9A501C3B-99D7-4387-95EC-9BAD75294ED3}"/>
            </a:ext>
          </a:extLst>
        </xdr:cNvPr>
        <xdr:cNvSpPr/>
      </xdr:nvSpPr>
      <xdr:spPr>
        <a:xfrm>
          <a:off x="1849374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170</xdr:row>
      <xdr:rowOff>0</xdr:rowOff>
    </xdr:from>
    <xdr:to>
      <xdr:col>45</xdr:col>
      <xdr:colOff>83820</xdr:colOff>
      <xdr:row>170</xdr:row>
      <xdr:rowOff>114300</xdr:rowOff>
    </xdr:to>
    <xdr:sp macro="" textlink="">
      <xdr:nvSpPr>
        <xdr:cNvPr id="1205" name="Arrow: Down 1204">
          <a:extLst>
            <a:ext uri="{FF2B5EF4-FFF2-40B4-BE49-F238E27FC236}">
              <a16:creationId xmlns:a16="http://schemas.microsoft.com/office/drawing/2014/main" id="{9A6B7F34-CB72-4C59-A852-471C06106297}"/>
            </a:ext>
          </a:extLst>
        </xdr:cNvPr>
        <xdr:cNvSpPr/>
      </xdr:nvSpPr>
      <xdr:spPr>
        <a:xfrm rot="10800000">
          <a:off x="114147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170</xdr:row>
      <xdr:rowOff>0</xdr:rowOff>
    </xdr:from>
    <xdr:to>
      <xdr:col>24</xdr:col>
      <xdr:colOff>83820</xdr:colOff>
      <xdr:row>170</xdr:row>
      <xdr:rowOff>114300</xdr:rowOff>
    </xdr:to>
    <xdr:sp macro="" textlink="">
      <xdr:nvSpPr>
        <xdr:cNvPr id="1206" name="Arrow: Down 1205">
          <a:extLst>
            <a:ext uri="{FF2B5EF4-FFF2-40B4-BE49-F238E27FC236}">
              <a16:creationId xmlns:a16="http://schemas.microsoft.com/office/drawing/2014/main" id="{03C085B4-37F2-4F52-B3BD-8C5D4D3641CC}"/>
            </a:ext>
          </a:extLst>
        </xdr:cNvPr>
        <xdr:cNvSpPr/>
      </xdr:nvSpPr>
      <xdr:spPr>
        <a:xfrm>
          <a:off x="644652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11</xdr:col>
      <xdr:colOff>83820</xdr:colOff>
      <xdr:row>170</xdr:row>
      <xdr:rowOff>114300</xdr:rowOff>
    </xdr:to>
    <xdr:sp macro="" textlink="">
      <xdr:nvSpPr>
        <xdr:cNvPr id="1214" name="Arrow: Down 1213">
          <a:extLst>
            <a:ext uri="{FF2B5EF4-FFF2-40B4-BE49-F238E27FC236}">
              <a16:creationId xmlns:a16="http://schemas.microsoft.com/office/drawing/2014/main" id="{54A6D369-D02F-47A3-80B7-A48DE59836E4}"/>
            </a:ext>
          </a:extLst>
        </xdr:cNvPr>
        <xdr:cNvSpPr/>
      </xdr:nvSpPr>
      <xdr:spPr>
        <a:xfrm rot="10800000">
          <a:off x="361950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83820</xdr:colOff>
      <xdr:row>170</xdr:row>
      <xdr:rowOff>114300</xdr:rowOff>
    </xdr:to>
    <xdr:sp macro="" textlink="">
      <xdr:nvSpPr>
        <xdr:cNvPr id="1215" name="Arrow: Down 1214">
          <a:extLst>
            <a:ext uri="{FF2B5EF4-FFF2-40B4-BE49-F238E27FC236}">
              <a16:creationId xmlns:a16="http://schemas.microsoft.com/office/drawing/2014/main" id="{AE41E2DB-6A6C-4C80-B9A8-BEFB1CD9AA4A}"/>
            </a:ext>
          </a:extLst>
        </xdr:cNvPr>
        <xdr:cNvSpPr/>
      </xdr:nvSpPr>
      <xdr:spPr>
        <a:xfrm rot="10800000">
          <a:off x="192786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170</xdr:row>
      <xdr:rowOff>0</xdr:rowOff>
    </xdr:from>
    <xdr:to>
      <xdr:col>39</xdr:col>
      <xdr:colOff>83820</xdr:colOff>
      <xdr:row>170</xdr:row>
      <xdr:rowOff>114300</xdr:rowOff>
    </xdr:to>
    <xdr:sp macro="" textlink="">
      <xdr:nvSpPr>
        <xdr:cNvPr id="1216" name="Arrow: Down 1215">
          <a:extLst>
            <a:ext uri="{FF2B5EF4-FFF2-40B4-BE49-F238E27FC236}">
              <a16:creationId xmlns:a16="http://schemas.microsoft.com/office/drawing/2014/main" id="{FF3E1A33-A8D9-4660-9C92-BB678ACA6BE5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170</xdr:row>
      <xdr:rowOff>0</xdr:rowOff>
    </xdr:from>
    <xdr:to>
      <xdr:col>60</xdr:col>
      <xdr:colOff>83820</xdr:colOff>
      <xdr:row>170</xdr:row>
      <xdr:rowOff>114300</xdr:rowOff>
    </xdr:to>
    <xdr:sp macro="" textlink="">
      <xdr:nvSpPr>
        <xdr:cNvPr id="1218" name="Arrow: Down 1217">
          <a:extLst>
            <a:ext uri="{FF2B5EF4-FFF2-40B4-BE49-F238E27FC236}">
              <a16:creationId xmlns:a16="http://schemas.microsoft.com/office/drawing/2014/main" id="{B3DE5F06-6C63-476B-B49D-55E6DD861526}"/>
            </a:ext>
          </a:extLst>
        </xdr:cNvPr>
        <xdr:cNvSpPr/>
      </xdr:nvSpPr>
      <xdr:spPr>
        <a:xfrm rot="10800000">
          <a:off x="16177260" y="3118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171</xdr:row>
      <xdr:rowOff>0</xdr:rowOff>
    </xdr:from>
    <xdr:to>
      <xdr:col>71</xdr:col>
      <xdr:colOff>83820</xdr:colOff>
      <xdr:row>171</xdr:row>
      <xdr:rowOff>114300</xdr:rowOff>
    </xdr:to>
    <xdr:sp macro="" textlink="">
      <xdr:nvSpPr>
        <xdr:cNvPr id="1219" name="Arrow: Down 1218">
          <a:extLst>
            <a:ext uri="{FF2B5EF4-FFF2-40B4-BE49-F238E27FC236}">
              <a16:creationId xmlns:a16="http://schemas.microsoft.com/office/drawing/2014/main" id="{91AB96E3-0714-4B62-9C68-06CE1D1B1C53}"/>
            </a:ext>
          </a:extLst>
        </xdr:cNvPr>
        <xdr:cNvSpPr/>
      </xdr:nvSpPr>
      <xdr:spPr>
        <a:xfrm>
          <a:off x="1849374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171</xdr:row>
      <xdr:rowOff>0</xdr:rowOff>
    </xdr:from>
    <xdr:to>
      <xdr:col>45</xdr:col>
      <xdr:colOff>83820</xdr:colOff>
      <xdr:row>171</xdr:row>
      <xdr:rowOff>114300</xdr:rowOff>
    </xdr:to>
    <xdr:sp macro="" textlink="">
      <xdr:nvSpPr>
        <xdr:cNvPr id="1220" name="Arrow: Down 1219">
          <a:extLst>
            <a:ext uri="{FF2B5EF4-FFF2-40B4-BE49-F238E27FC236}">
              <a16:creationId xmlns:a16="http://schemas.microsoft.com/office/drawing/2014/main" id="{E3E2F63C-0888-4918-A39B-2D93E7833CB7}"/>
            </a:ext>
          </a:extLst>
        </xdr:cNvPr>
        <xdr:cNvSpPr/>
      </xdr:nvSpPr>
      <xdr:spPr>
        <a:xfrm rot="10800000">
          <a:off x="1141476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171</xdr:row>
      <xdr:rowOff>0</xdr:rowOff>
    </xdr:from>
    <xdr:to>
      <xdr:col>24</xdr:col>
      <xdr:colOff>83820</xdr:colOff>
      <xdr:row>171</xdr:row>
      <xdr:rowOff>114300</xdr:rowOff>
    </xdr:to>
    <xdr:sp macro="" textlink="">
      <xdr:nvSpPr>
        <xdr:cNvPr id="1221" name="Arrow: Down 1220">
          <a:extLst>
            <a:ext uri="{FF2B5EF4-FFF2-40B4-BE49-F238E27FC236}">
              <a16:creationId xmlns:a16="http://schemas.microsoft.com/office/drawing/2014/main" id="{438B9432-06A9-4345-A060-0107A106A21A}"/>
            </a:ext>
          </a:extLst>
        </xdr:cNvPr>
        <xdr:cNvSpPr/>
      </xdr:nvSpPr>
      <xdr:spPr>
        <a:xfrm>
          <a:off x="644652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171</xdr:row>
      <xdr:rowOff>0</xdr:rowOff>
    </xdr:from>
    <xdr:to>
      <xdr:col>5</xdr:col>
      <xdr:colOff>83820</xdr:colOff>
      <xdr:row>171</xdr:row>
      <xdr:rowOff>114300</xdr:rowOff>
    </xdr:to>
    <xdr:sp macro="" textlink="">
      <xdr:nvSpPr>
        <xdr:cNvPr id="1227" name="Arrow: Down 1226">
          <a:extLst>
            <a:ext uri="{FF2B5EF4-FFF2-40B4-BE49-F238E27FC236}">
              <a16:creationId xmlns:a16="http://schemas.microsoft.com/office/drawing/2014/main" id="{3479F9CF-852F-4FC9-8C98-7474285BE513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171</xdr:row>
      <xdr:rowOff>0</xdr:rowOff>
    </xdr:from>
    <xdr:to>
      <xdr:col>11</xdr:col>
      <xdr:colOff>83820</xdr:colOff>
      <xdr:row>171</xdr:row>
      <xdr:rowOff>114300</xdr:rowOff>
    </xdr:to>
    <xdr:sp macro="" textlink="">
      <xdr:nvSpPr>
        <xdr:cNvPr id="1229" name="Arrow: Down 1228">
          <a:extLst>
            <a:ext uri="{FF2B5EF4-FFF2-40B4-BE49-F238E27FC236}">
              <a16:creationId xmlns:a16="http://schemas.microsoft.com/office/drawing/2014/main" id="{AEC12D64-7BBD-4F54-9288-ACF1EAA3EBA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171</xdr:row>
      <xdr:rowOff>0</xdr:rowOff>
    </xdr:from>
    <xdr:to>
      <xdr:col>60</xdr:col>
      <xdr:colOff>83820</xdr:colOff>
      <xdr:row>171</xdr:row>
      <xdr:rowOff>114300</xdr:rowOff>
    </xdr:to>
    <xdr:sp macro="" textlink="">
      <xdr:nvSpPr>
        <xdr:cNvPr id="1231" name="Arrow: Down 1230">
          <a:extLst>
            <a:ext uri="{FF2B5EF4-FFF2-40B4-BE49-F238E27FC236}">
              <a16:creationId xmlns:a16="http://schemas.microsoft.com/office/drawing/2014/main" id="{7E7A6FB0-5219-4743-B52E-B11F9F580E3E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171</xdr:row>
      <xdr:rowOff>0</xdr:rowOff>
    </xdr:from>
    <xdr:to>
      <xdr:col>39</xdr:col>
      <xdr:colOff>83820</xdr:colOff>
      <xdr:row>171</xdr:row>
      <xdr:rowOff>114300</xdr:rowOff>
    </xdr:to>
    <xdr:sp macro="" textlink="">
      <xdr:nvSpPr>
        <xdr:cNvPr id="1232" name="Arrow: Down 1231">
          <a:extLst>
            <a:ext uri="{FF2B5EF4-FFF2-40B4-BE49-F238E27FC236}">
              <a16:creationId xmlns:a16="http://schemas.microsoft.com/office/drawing/2014/main" id="{19E449A9-0499-41FC-A9E0-4D45A5A3C819}"/>
            </a:ext>
          </a:extLst>
        </xdr:cNvPr>
        <xdr:cNvSpPr/>
      </xdr:nvSpPr>
      <xdr:spPr>
        <a:xfrm rot="10800000">
          <a:off x="96316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172</xdr:row>
      <xdr:rowOff>0</xdr:rowOff>
    </xdr:from>
    <xdr:to>
      <xdr:col>71</xdr:col>
      <xdr:colOff>83820</xdr:colOff>
      <xdr:row>172</xdr:row>
      <xdr:rowOff>114300</xdr:rowOff>
    </xdr:to>
    <xdr:sp macro="" textlink="">
      <xdr:nvSpPr>
        <xdr:cNvPr id="1233" name="Arrow: Down 1232">
          <a:extLst>
            <a:ext uri="{FF2B5EF4-FFF2-40B4-BE49-F238E27FC236}">
              <a16:creationId xmlns:a16="http://schemas.microsoft.com/office/drawing/2014/main" id="{179F4C67-D1AE-44DE-A31F-637264706A35}"/>
            </a:ext>
          </a:extLst>
        </xdr:cNvPr>
        <xdr:cNvSpPr/>
      </xdr:nvSpPr>
      <xdr:spPr>
        <a:xfrm>
          <a:off x="20185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172</xdr:row>
      <xdr:rowOff>0</xdr:rowOff>
    </xdr:from>
    <xdr:to>
      <xdr:col>24</xdr:col>
      <xdr:colOff>83820</xdr:colOff>
      <xdr:row>172</xdr:row>
      <xdr:rowOff>114300</xdr:rowOff>
    </xdr:to>
    <xdr:sp macro="" textlink="">
      <xdr:nvSpPr>
        <xdr:cNvPr id="1235" name="Arrow: Down 1234">
          <a:extLst>
            <a:ext uri="{FF2B5EF4-FFF2-40B4-BE49-F238E27FC236}">
              <a16:creationId xmlns:a16="http://schemas.microsoft.com/office/drawing/2014/main" id="{CFA28A94-7B73-41DC-B321-E35A0887325D}"/>
            </a:ext>
          </a:extLst>
        </xdr:cNvPr>
        <xdr:cNvSpPr/>
      </xdr:nvSpPr>
      <xdr:spPr>
        <a:xfrm>
          <a:off x="6469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5</xdr:col>
      <xdr:colOff>83820</xdr:colOff>
      <xdr:row>172</xdr:row>
      <xdr:rowOff>114300</xdr:rowOff>
    </xdr:to>
    <xdr:sp macro="" textlink="">
      <xdr:nvSpPr>
        <xdr:cNvPr id="1236" name="Arrow: Down 1235">
          <a:extLst>
            <a:ext uri="{FF2B5EF4-FFF2-40B4-BE49-F238E27FC236}">
              <a16:creationId xmlns:a16="http://schemas.microsoft.com/office/drawing/2014/main" id="{60EFABB4-18CC-4A55-B470-7F0CE052CE4C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172</xdr:row>
      <xdr:rowOff>0</xdr:rowOff>
    </xdr:from>
    <xdr:to>
      <xdr:col>11</xdr:col>
      <xdr:colOff>83820</xdr:colOff>
      <xdr:row>172</xdr:row>
      <xdr:rowOff>114300</xdr:rowOff>
    </xdr:to>
    <xdr:sp macro="" textlink="">
      <xdr:nvSpPr>
        <xdr:cNvPr id="1237" name="Arrow: Down 1236">
          <a:extLst>
            <a:ext uri="{FF2B5EF4-FFF2-40B4-BE49-F238E27FC236}">
              <a16:creationId xmlns:a16="http://schemas.microsoft.com/office/drawing/2014/main" id="{4A571F86-ADBA-447B-85A2-8A113BE37C6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172</xdr:row>
      <xdr:rowOff>0</xdr:rowOff>
    </xdr:from>
    <xdr:to>
      <xdr:col>60</xdr:col>
      <xdr:colOff>83820</xdr:colOff>
      <xdr:row>172</xdr:row>
      <xdr:rowOff>114300</xdr:rowOff>
    </xdr:to>
    <xdr:sp macro="" textlink="">
      <xdr:nvSpPr>
        <xdr:cNvPr id="1238" name="Arrow: Down 1237">
          <a:extLst>
            <a:ext uri="{FF2B5EF4-FFF2-40B4-BE49-F238E27FC236}">
              <a16:creationId xmlns:a16="http://schemas.microsoft.com/office/drawing/2014/main" id="{903C114B-5F8A-406B-B7DB-79A99A9895B5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172</xdr:row>
      <xdr:rowOff>0</xdr:rowOff>
    </xdr:from>
    <xdr:to>
      <xdr:col>39</xdr:col>
      <xdr:colOff>83820</xdr:colOff>
      <xdr:row>172</xdr:row>
      <xdr:rowOff>114300</xdr:rowOff>
    </xdr:to>
    <xdr:sp macro="" textlink="">
      <xdr:nvSpPr>
        <xdr:cNvPr id="1242" name="Arrow: Down 1241">
          <a:extLst>
            <a:ext uri="{FF2B5EF4-FFF2-40B4-BE49-F238E27FC236}">
              <a16:creationId xmlns:a16="http://schemas.microsoft.com/office/drawing/2014/main" id="{B41B6D56-6093-4973-B6D6-EAA2B12DB33E}"/>
            </a:ext>
          </a:extLst>
        </xdr:cNvPr>
        <xdr:cNvSpPr/>
      </xdr:nvSpPr>
      <xdr:spPr>
        <a:xfrm>
          <a:off x="963168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172</xdr:row>
      <xdr:rowOff>0</xdr:rowOff>
    </xdr:from>
    <xdr:to>
      <xdr:col>45</xdr:col>
      <xdr:colOff>83820</xdr:colOff>
      <xdr:row>172</xdr:row>
      <xdr:rowOff>114300</xdr:rowOff>
    </xdr:to>
    <xdr:sp macro="" textlink="">
      <xdr:nvSpPr>
        <xdr:cNvPr id="1243" name="Arrow: Down 1242">
          <a:extLst>
            <a:ext uri="{FF2B5EF4-FFF2-40B4-BE49-F238E27FC236}">
              <a16:creationId xmlns:a16="http://schemas.microsoft.com/office/drawing/2014/main" id="{745DFAE3-C781-42EB-A433-42D0EAE34D02}"/>
            </a:ext>
          </a:extLst>
        </xdr:cNvPr>
        <xdr:cNvSpPr/>
      </xdr:nvSpPr>
      <xdr:spPr>
        <a:xfrm>
          <a:off x="1143762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173</xdr:row>
      <xdr:rowOff>0</xdr:rowOff>
    </xdr:from>
    <xdr:to>
      <xdr:col>71</xdr:col>
      <xdr:colOff>83820</xdr:colOff>
      <xdr:row>173</xdr:row>
      <xdr:rowOff>114300</xdr:rowOff>
    </xdr:to>
    <xdr:sp macro="" textlink="">
      <xdr:nvSpPr>
        <xdr:cNvPr id="1244" name="Arrow: Down 1243">
          <a:extLst>
            <a:ext uri="{FF2B5EF4-FFF2-40B4-BE49-F238E27FC236}">
              <a16:creationId xmlns:a16="http://schemas.microsoft.com/office/drawing/2014/main" id="{79C2634B-EC26-4B91-84E8-696F121EE051}"/>
            </a:ext>
          </a:extLst>
        </xdr:cNvPr>
        <xdr:cNvSpPr/>
      </xdr:nvSpPr>
      <xdr:spPr>
        <a:xfrm>
          <a:off x="17960340" y="3155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173</xdr:row>
      <xdr:rowOff>0</xdr:rowOff>
    </xdr:from>
    <xdr:to>
      <xdr:col>45</xdr:col>
      <xdr:colOff>83820</xdr:colOff>
      <xdr:row>173</xdr:row>
      <xdr:rowOff>114300</xdr:rowOff>
    </xdr:to>
    <xdr:sp macro="" textlink="">
      <xdr:nvSpPr>
        <xdr:cNvPr id="1252" name="Arrow: Down 1251">
          <a:extLst>
            <a:ext uri="{FF2B5EF4-FFF2-40B4-BE49-F238E27FC236}">
              <a16:creationId xmlns:a16="http://schemas.microsoft.com/office/drawing/2014/main" id="{D3CEE987-C075-4060-9923-19B281729701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173</xdr:row>
      <xdr:rowOff>0</xdr:rowOff>
    </xdr:from>
    <xdr:to>
      <xdr:col>39</xdr:col>
      <xdr:colOff>83820</xdr:colOff>
      <xdr:row>173</xdr:row>
      <xdr:rowOff>114300</xdr:rowOff>
    </xdr:to>
    <xdr:sp macro="" textlink="">
      <xdr:nvSpPr>
        <xdr:cNvPr id="1254" name="Arrow: Down 1253">
          <a:extLst>
            <a:ext uri="{FF2B5EF4-FFF2-40B4-BE49-F238E27FC236}">
              <a16:creationId xmlns:a16="http://schemas.microsoft.com/office/drawing/2014/main" id="{129931A5-F68C-447E-BB00-90312D031D4A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173</xdr:row>
      <xdr:rowOff>0</xdr:rowOff>
    </xdr:from>
    <xdr:to>
      <xdr:col>11</xdr:col>
      <xdr:colOff>83820</xdr:colOff>
      <xdr:row>173</xdr:row>
      <xdr:rowOff>114300</xdr:rowOff>
    </xdr:to>
    <xdr:sp macro="" textlink="">
      <xdr:nvSpPr>
        <xdr:cNvPr id="1256" name="Arrow: Down 1255">
          <a:extLst>
            <a:ext uri="{FF2B5EF4-FFF2-40B4-BE49-F238E27FC236}">
              <a16:creationId xmlns:a16="http://schemas.microsoft.com/office/drawing/2014/main" id="{9986C4CD-5848-4568-8CFE-AC45F5EA951A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173</xdr:row>
      <xdr:rowOff>0</xdr:rowOff>
    </xdr:from>
    <xdr:to>
      <xdr:col>24</xdr:col>
      <xdr:colOff>83820</xdr:colOff>
      <xdr:row>173</xdr:row>
      <xdr:rowOff>114300</xdr:rowOff>
    </xdr:to>
    <xdr:sp macro="" textlink="">
      <xdr:nvSpPr>
        <xdr:cNvPr id="1257" name="Arrow: Down 1256">
          <a:extLst>
            <a:ext uri="{FF2B5EF4-FFF2-40B4-BE49-F238E27FC236}">
              <a16:creationId xmlns:a16="http://schemas.microsoft.com/office/drawing/2014/main" id="{A068FFC5-10C9-4EA8-9C26-C658BB70C709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5</xdr:col>
      <xdr:colOff>83820</xdr:colOff>
      <xdr:row>173</xdr:row>
      <xdr:rowOff>114300</xdr:rowOff>
    </xdr:to>
    <xdr:sp macro="" textlink="">
      <xdr:nvSpPr>
        <xdr:cNvPr id="1259" name="Arrow: Down 1258">
          <a:extLst>
            <a:ext uri="{FF2B5EF4-FFF2-40B4-BE49-F238E27FC236}">
              <a16:creationId xmlns:a16="http://schemas.microsoft.com/office/drawing/2014/main" id="{6B1661B0-7ACA-4985-BE54-290472C57437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173</xdr:row>
      <xdr:rowOff>0</xdr:rowOff>
    </xdr:from>
    <xdr:to>
      <xdr:col>60</xdr:col>
      <xdr:colOff>83820</xdr:colOff>
      <xdr:row>173</xdr:row>
      <xdr:rowOff>114300</xdr:rowOff>
    </xdr:to>
    <xdr:sp macro="" textlink="">
      <xdr:nvSpPr>
        <xdr:cNvPr id="1261" name="Arrow: Down 1260">
          <a:extLst>
            <a:ext uri="{FF2B5EF4-FFF2-40B4-BE49-F238E27FC236}">
              <a16:creationId xmlns:a16="http://schemas.microsoft.com/office/drawing/2014/main" id="{57D9F07F-9044-45DB-A7B4-73300BCAECB8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174</xdr:row>
      <xdr:rowOff>0</xdr:rowOff>
    </xdr:from>
    <xdr:to>
      <xdr:col>71</xdr:col>
      <xdr:colOff>83820</xdr:colOff>
      <xdr:row>174</xdr:row>
      <xdr:rowOff>114300</xdr:rowOff>
    </xdr:to>
    <xdr:sp macro="" textlink="">
      <xdr:nvSpPr>
        <xdr:cNvPr id="1269" name="Arrow: Down 1268">
          <a:extLst>
            <a:ext uri="{FF2B5EF4-FFF2-40B4-BE49-F238E27FC236}">
              <a16:creationId xmlns:a16="http://schemas.microsoft.com/office/drawing/2014/main" id="{96DEA6FE-7104-4230-9815-3CAC1AD1C8C0}"/>
            </a:ext>
          </a:extLst>
        </xdr:cNvPr>
        <xdr:cNvSpPr/>
      </xdr:nvSpPr>
      <xdr:spPr>
        <a:xfrm>
          <a:off x="1796034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174</xdr:row>
      <xdr:rowOff>0</xdr:rowOff>
    </xdr:from>
    <xdr:to>
      <xdr:col>45</xdr:col>
      <xdr:colOff>83820</xdr:colOff>
      <xdr:row>174</xdr:row>
      <xdr:rowOff>114300</xdr:rowOff>
    </xdr:to>
    <xdr:sp macro="" textlink="">
      <xdr:nvSpPr>
        <xdr:cNvPr id="1270" name="Arrow: Down 1269">
          <a:extLst>
            <a:ext uri="{FF2B5EF4-FFF2-40B4-BE49-F238E27FC236}">
              <a16:creationId xmlns:a16="http://schemas.microsoft.com/office/drawing/2014/main" id="{5DEC72C7-A7DA-462C-B580-598151639655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174</xdr:row>
      <xdr:rowOff>0</xdr:rowOff>
    </xdr:from>
    <xdr:to>
      <xdr:col>39</xdr:col>
      <xdr:colOff>83820</xdr:colOff>
      <xdr:row>174</xdr:row>
      <xdr:rowOff>114300</xdr:rowOff>
    </xdr:to>
    <xdr:sp macro="" textlink="">
      <xdr:nvSpPr>
        <xdr:cNvPr id="1271" name="Arrow: Down 1270">
          <a:extLst>
            <a:ext uri="{FF2B5EF4-FFF2-40B4-BE49-F238E27FC236}">
              <a16:creationId xmlns:a16="http://schemas.microsoft.com/office/drawing/2014/main" id="{23D4FF8E-AB77-41EA-9D2D-261A4F473EBF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174</xdr:row>
      <xdr:rowOff>0</xdr:rowOff>
    </xdr:from>
    <xdr:to>
      <xdr:col>11</xdr:col>
      <xdr:colOff>83820</xdr:colOff>
      <xdr:row>174</xdr:row>
      <xdr:rowOff>114300</xdr:rowOff>
    </xdr:to>
    <xdr:sp macro="" textlink="">
      <xdr:nvSpPr>
        <xdr:cNvPr id="1272" name="Arrow: Down 1271">
          <a:extLst>
            <a:ext uri="{FF2B5EF4-FFF2-40B4-BE49-F238E27FC236}">
              <a16:creationId xmlns:a16="http://schemas.microsoft.com/office/drawing/2014/main" id="{F2A85568-8B70-4598-887B-B81AB18A9648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174</xdr:row>
      <xdr:rowOff>0</xdr:rowOff>
    </xdr:from>
    <xdr:to>
      <xdr:col>24</xdr:col>
      <xdr:colOff>83820</xdr:colOff>
      <xdr:row>174</xdr:row>
      <xdr:rowOff>114300</xdr:rowOff>
    </xdr:to>
    <xdr:sp macro="" textlink="">
      <xdr:nvSpPr>
        <xdr:cNvPr id="1273" name="Arrow: Down 1272">
          <a:extLst>
            <a:ext uri="{FF2B5EF4-FFF2-40B4-BE49-F238E27FC236}">
              <a16:creationId xmlns:a16="http://schemas.microsoft.com/office/drawing/2014/main" id="{1B588769-9ED2-4B09-A6F5-1E5E2C2C1A24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83820</xdr:colOff>
      <xdr:row>174</xdr:row>
      <xdr:rowOff>114300</xdr:rowOff>
    </xdr:to>
    <xdr:sp macro="" textlink="">
      <xdr:nvSpPr>
        <xdr:cNvPr id="1274" name="Arrow: Down 1273">
          <a:extLst>
            <a:ext uri="{FF2B5EF4-FFF2-40B4-BE49-F238E27FC236}">
              <a16:creationId xmlns:a16="http://schemas.microsoft.com/office/drawing/2014/main" id="{4E7B8F9E-767F-46A8-9FFC-4ECDDDFB0502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174</xdr:row>
      <xdr:rowOff>0</xdr:rowOff>
    </xdr:from>
    <xdr:to>
      <xdr:col>60</xdr:col>
      <xdr:colOff>83820</xdr:colOff>
      <xdr:row>174</xdr:row>
      <xdr:rowOff>114300</xdr:rowOff>
    </xdr:to>
    <xdr:sp macro="" textlink="">
      <xdr:nvSpPr>
        <xdr:cNvPr id="1275" name="Arrow: Down 1274">
          <a:extLst>
            <a:ext uri="{FF2B5EF4-FFF2-40B4-BE49-F238E27FC236}">
              <a16:creationId xmlns:a16="http://schemas.microsoft.com/office/drawing/2014/main" id="{B71B9B81-F9A7-4323-BE20-77AFF7670C32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175</xdr:row>
      <xdr:rowOff>0</xdr:rowOff>
    </xdr:from>
    <xdr:to>
      <xdr:col>71</xdr:col>
      <xdr:colOff>83820</xdr:colOff>
      <xdr:row>175</xdr:row>
      <xdr:rowOff>114300</xdr:rowOff>
    </xdr:to>
    <xdr:sp macro="" textlink="">
      <xdr:nvSpPr>
        <xdr:cNvPr id="1276" name="Arrow: Down 1275">
          <a:extLst>
            <a:ext uri="{FF2B5EF4-FFF2-40B4-BE49-F238E27FC236}">
              <a16:creationId xmlns:a16="http://schemas.microsoft.com/office/drawing/2014/main" id="{10FDF5F4-9CAD-4710-A657-BBF73FCAA78C}"/>
            </a:ext>
          </a:extLst>
        </xdr:cNvPr>
        <xdr:cNvSpPr/>
      </xdr:nvSpPr>
      <xdr:spPr>
        <a:xfrm>
          <a:off x="1840992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175</xdr:row>
      <xdr:rowOff>0</xdr:rowOff>
    </xdr:from>
    <xdr:to>
      <xdr:col>45</xdr:col>
      <xdr:colOff>83820</xdr:colOff>
      <xdr:row>175</xdr:row>
      <xdr:rowOff>114300</xdr:rowOff>
    </xdr:to>
    <xdr:sp macro="" textlink="">
      <xdr:nvSpPr>
        <xdr:cNvPr id="1277" name="Arrow: Down 1276">
          <a:extLst>
            <a:ext uri="{FF2B5EF4-FFF2-40B4-BE49-F238E27FC236}">
              <a16:creationId xmlns:a16="http://schemas.microsoft.com/office/drawing/2014/main" id="{3265590E-E39E-4FC1-AD28-118A7060DB06}"/>
            </a:ext>
          </a:extLst>
        </xdr:cNvPr>
        <xdr:cNvSpPr/>
      </xdr:nvSpPr>
      <xdr:spPr>
        <a:xfrm rot="10800000">
          <a:off x="1133094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175</xdr:row>
      <xdr:rowOff>0</xdr:rowOff>
    </xdr:from>
    <xdr:to>
      <xdr:col>39</xdr:col>
      <xdr:colOff>83820</xdr:colOff>
      <xdr:row>175</xdr:row>
      <xdr:rowOff>114300</xdr:rowOff>
    </xdr:to>
    <xdr:sp macro="" textlink="">
      <xdr:nvSpPr>
        <xdr:cNvPr id="1278" name="Arrow: Down 1277">
          <a:extLst>
            <a:ext uri="{FF2B5EF4-FFF2-40B4-BE49-F238E27FC236}">
              <a16:creationId xmlns:a16="http://schemas.microsoft.com/office/drawing/2014/main" id="{DE5318AD-7DD2-4656-A1D8-045246EF4E8E}"/>
            </a:ext>
          </a:extLst>
        </xdr:cNvPr>
        <xdr:cNvSpPr/>
      </xdr:nvSpPr>
      <xdr:spPr>
        <a:xfrm rot="10800000">
          <a:off x="952500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175</xdr:row>
      <xdr:rowOff>0</xdr:rowOff>
    </xdr:from>
    <xdr:to>
      <xdr:col>5</xdr:col>
      <xdr:colOff>83820</xdr:colOff>
      <xdr:row>175</xdr:row>
      <xdr:rowOff>114300</xdr:rowOff>
    </xdr:to>
    <xdr:sp macro="" textlink="">
      <xdr:nvSpPr>
        <xdr:cNvPr id="1283" name="Arrow: Down 1282">
          <a:extLst>
            <a:ext uri="{FF2B5EF4-FFF2-40B4-BE49-F238E27FC236}">
              <a16:creationId xmlns:a16="http://schemas.microsoft.com/office/drawing/2014/main" id="{933129C3-E64E-4B5D-B17A-EFE6AC00DC22}"/>
            </a:ext>
          </a:extLst>
        </xdr:cNvPr>
        <xdr:cNvSpPr/>
      </xdr:nvSpPr>
      <xdr:spPr>
        <a:xfrm>
          <a:off x="192786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175</xdr:row>
      <xdr:rowOff>0</xdr:rowOff>
    </xdr:from>
    <xdr:to>
      <xdr:col>11</xdr:col>
      <xdr:colOff>83820</xdr:colOff>
      <xdr:row>175</xdr:row>
      <xdr:rowOff>114300</xdr:rowOff>
    </xdr:to>
    <xdr:sp macro="" textlink="">
      <xdr:nvSpPr>
        <xdr:cNvPr id="1284" name="Arrow: Down 1283">
          <a:extLst>
            <a:ext uri="{FF2B5EF4-FFF2-40B4-BE49-F238E27FC236}">
              <a16:creationId xmlns:a16="http://schemas.microsoft.com/office/drawing/2014/main" id="{F56DACE5-D6E5-4ADD-A6A8-1F5B5C08AB40}"/>
            </a:ext>
          </a:extLst>
        </xdr:cNvPr>
        <xdr:cNvSpPr/>
      </xdr:nvSpPr>
      <xdr:spPr>
        <a:xfrm>
          <a:off x="36195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175</xdr:row>
      <xdr:rowOff>0</xdr:rowOff>
    </xdr:from>
    <xdr:to>
      <xdr:col>24</xdr:col>
      <xdr:colOff>83820</xdr:colOff>
      <xdr:row>175</xdr:row>
      <xdr:rowOff>114300</xdr:rowOff>
    </xdr:to>
    <xdr:sp macro="" textlink="">
      <xdr:nvSpPr>
        <xdr:cNvPr id="1285" name="Arrow: Down 1284">
          <a:extLst>
            <a:ext uri="{FF2B5EF4-FFF2-40B4-BE49-F238E27FC236}">
              <a16:creationId xmlns:a16="http://schemas.microsoft.com/office/drawing/2014/main" id="{F1C79D48-082C-49C9-82CB-611C2DDC39C8}"/>
            </a:ext>
          </a:extLst>
        </xdr:cNvPr>
        <xdr:cNvSpPr/>
      </xdr:nvSpPr>
      <xdr:spPr>
        <a:xfrm>
          <a:off x="63627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45719</xdr:colOff>
      <xdr:row>175</xdr:row>
      <xdr:rowOff>76200</xdr:rowOff>
    </xdr:to>
    <xdr:sp macro="" textlink="">
      <xdr:nvSpPr>
        <xdr:cNvPr id="1286" name="Arrow: Down 1285">
          <a:extLst>
            <a:ext uri="{FF2B5EF4-FFF2-40B4-BE49-F238E27FC236}">
              <a16:creationId xmlns:a16="http://schemas.microsoft.com/office/drawing/2014/main" id="{80F7C502-58DE-42F1-9213-1D329FC275E2}"/>
            </a:ext>
          </a:extLst>
        </xdr:cNvPr>
        <xdr:cNvSpPr/>
      </xdr:nvSpPr>
      <xdr:spPr>
        <a:xfrm>
          <a:off x="16093440" y="32103060"/>
          <a:ext cx="45719" cy="762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176</xdr:row>
      <xdr:rowOff>0</xdr:rowOff>
    </xdr:from>
    <xdr:to>
      <xdr:col>71</xdr:col>
      <xdr:colOff>83820</xdr:colOff>
      <xdr:row>176</xdr:row>
      <xdr:rowOff>114300</xdr:rowOff>
    </xdr:to>
    <xdr:sp macro="" textlink="">
      <xdr:nvSpPr>
        <xdr:cNvPr id="1287" name="Arrow: Down 1286">
          <a:extLst>
            <a:ext uri="{FF2B5EF4-FFF2-40B4-BE49-F238E27FC236}">
              <a16:creationId xmlns:a16="http://schemas.microsoft.com/office/drawing/2014/main" id="{A5458EE3-3EDD-4039-B202-383F2EE59A9E}"/>
            </a:ext>
          </a:extLst>
        </xdr:cNvPr>
        <xdr:cNvSpPr/>
      </xdr:nvSpPr>
      <xdr:spPr>
        <a:xfrm>
          <a:off x="1840992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176</xdr:row>
      <xdr:rowOff>0</xdr:rowOff>
    </xdr:from>
    <xdr:to>
      <xdr:col>45</xdr:col>
      <xdr:colOff>83820</xdr:colOff>
      <xdr:row>176</xdr:row>
      <xdr:rowOff>114300</xdr:rowOff>
    </xdr:to>
    <xdr:sp macro="" textlink="">
      <xdr:nvSpPr>
        <xdr:cNvPr id="1288" name="Arrow: Down 1287">
          <a:extLst>
            <a:ext uri="{FF2B5EF4-FFF2-40B4-BE49-F238E27FC236}">
              <a16:creationId xmlns:a16="http://schemas.microsoft.com/office/drawing/2014/main" id="{AD521DCA-B0ED-4B8A-9452-AF379217AD03}"/>
            </a:ext>
          </a:extLst>
        </xdr:cNvPr>
        <xdr:cNvSpPr/>
      </xdr:nvSpPr>
      <xdr:spPr>
        <a:xfrm rot="10800000">
          <a:off x="113309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176</xdr:row>
      <xdr:rowOff>0</xdr:rowOff>
    </xdr:from>
    <xdr:to>
      <xdr:col>11</xdr:col>
      <xdr:colOff>83820</xdr:colOff>
      <xdr:row>176</xdr:row>
      <xdr:rowOff>114300</xdr:rowOff>
    </xdr:to>
    <xdr:sp macro="" textlink="">
      <xdr:nvSpPr>
        <xdr:cNvPr id="1295" name="Arrow: Down 1294">
          <a:extLst>
            <a:ext uri="{FF2B5EF4-FFF2-40B4-BE49-F238E27FC236}">
              <a16:creationId xmlns:a16="http://schemas.microsoft.com/office/drawing/2014/main" id="{7C410A07-6308-4881-8AB3-6A775D2D06B4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176</xdr:row>
      <xdr:rowOff>0</xdr:rowOff>
    </xdr:from>
    <xdr:to>
      <xdr:col>5</xdr:col>
      <xdr:colOff>83820</xdr:colOff>
      <xdr:row>176</xdr:row>
      <xdr:rowOff>114300</xdr:rowOff>
    </xdr:to>
    <xdr:sp macro="" textlink="">
      <xdr:nvSpPr>
        <xdr:cNvPr id="1297" name="Arrow: Down 1296">
          <a:extLst>
            <a:ext uri="{FF2B5EF4-FFF2-40B4-BE49-F238E27FC236}">
              <a16:creationId xmlns:a16="http://schemas.microsoft.com/office/drawing/2014/main" id="{D6FC2B43-B686-4CED-B1C7-02D1180B93A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176</xdr:row>
      <xdr:rowOff>0</xdr:rowOff>
    </xdr:from>
    <xdr:to>
      <xdr:col>24</xdr:col>
      <xdr:colOff>83820</xdr:colOff>
      <xdr:row>176</xdr:row>
      <xdr:rowOff>114300</xdr:rowOff>
    </xdr:to>
    <xdr:sp macro="" textlink="">
      <xdr:nvSpPr>
        <xdr:cNvPr id="1298" name="Arrow: Down 1297">
          <a:extLst>
            <a:ext uri="{FF2B5EF4-FFF2-40B4-BE49-F238E27FC236}">
              <a16:creationId xmlns:a16="http://schemas.microsoft.com/office/drawing/2014/main" id="{692B6E32-D8A2-41A6-9DF5-D09AB2F99A09}"/>
            </a:ext>
          </a:extLst>
        </xdr:cNvPr>
        <xdr:cNvSpPr/>
      </xdr:nvSpPr>
      <xdr:spPr>
        <a:xfrm rot="10800000">
          <a:off x="63627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176</xdr:row>
      <xdr:rowOff>0</xdr:rowOff>
    </xdr:from>
    <xdr:to>
      <xdr:col>60</xdr:col>
      <xdr:colOff>83820</xdr:colOff>
      <xdr:row>176</xdr:row>
      <xdr:rowOff>114300</xdr:rowOff>
    </xdr:to>
    <xdr:sp macro="" textlink="">
      <xdr:nvSpPr>
        <xdr:cNvPr id="1299" name="Arrow: Down 1298">
          <a:extLst>
            <a:ext uri="{FF2B5EF4-FFF2-40B4-BE49-F238E27FC236}">
              <a16:creationId xmlns:a16="http://schemas.microsoft.com/office/drawing/2014/main" id="{3D693766-27C5-4E1B-ACB1-FEC601CA2606}"/>
            </a:ext>
          </a:extLst>
        </xdr:cNvPr>
        <xdr:cNvSpPr/>
      </xdr:nvSpPr>
      <xdr:spPr>
        <a:xfrm rot="10800000">
          <a:off x="1609344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176</xdr:row>
      <xdr:rowOff>0</xdr:rowOff>
    </xdr:from>
    <xdr:to>
      <xdr:col>39</xdr:col>
      <xdr:colOff>83820</xdr:colOff>
      <xdr:row>176</xdr:row>
      <xdr:rowOff>114300</xdr:rowOff>
    </xdr:to>
    <xdr:sp macro="" textlink="">
      <xdr:nvSpPr>
        <xdr:cNvPr id="1301" name="Arrow: Down 1300">
          <a:extLst>
            <a:ext uri="{FF2B5EF4-FFF2-40B4-BE49-F238E27FC236}">
              <a16:creationId xmlns:a16="http://schemas.microsoft.com/office/drawing/2014/main" id="{0CF8FC81-63FD-49BF-9241-E4A2DA2F427E}"/>
            </a:ext>
          </a:extLst>
        </xdr:cNvPr>
        <xdr:cNvSpPr/>
      </xdr:nvSpPr>
      <xdr:spPr>
        <a:xfrm>
          <a:off x="95250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177</xdr:row>
      <xdr:rowOff>0</xdr:rowOff>
    </xdr:from>
    <xdr:to>
      <xdr:col>71</xdr:col>
      <xdr:colOff>83820</xdr:colOff>
      <xdr:row>177</xdr:row>
      <xdr:rowOff>114300</xdr:rowOff>
    </xdr:to>
    <xdr:sp macro="" textlink="">
      <xdr:nvSpPr>
        <xdr:cNvPr id="1302" name="Arrow: Down 1301">
          <a:extLst>
            <a:ext uri="{FF2B5EF4-FFF2-40B4-BE49-F238E27FC236}">
              <a16:creationId xmlns:a16="http://schemas.microsoft.com/office/drawing/2014/main" id="{09B1B329-C41D-408D-A95D-EAB6F30EB3B8}"/>
            </a:ext>
          </a:extLst>
        </xdr:cNvPr>
        <xdr:cNvSpPr/>
      </xdr:nvSpPr>
      <xdr:spPr>
        <a:xfrm>
          <a:off x="1840992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177</xdr:row>
      <xdr:rowOff>0</xdr:rowOff>
    </xdr:from>
    <xdr:to>
      <xdr:col>45</xdr:col>
      <xdr:colOff>83820</xdr:colOff>
      <xdr:row>177</xdr:row>
      <xdr:rowOff>114300</xdr:rowOff>
    </xdr:to>
    <xdr:sp macro="" textlink="">
      <xdr:nvSpPr>
        <xdr:cNvPr id="1303" name="Arrow: Down 1302">
          <a:extLst>
            <a:ext uri="{FF2B5EF4-FFF2-40B4-BE49-F238E27FC236}">
              <a16:creationId xmlns:a16="http://schemas.microsoft.com/office/drawing/2014/main" id="{3B0E9BBD-61D4-42A5-BCEB-63A0D78CA2A4}"/>
            </a:ext>
          </a:extLst>
        </xdr:cNvPr>
        <xdr:cNvSpPr/>
      </xdr:nvSpPr>
      <xdr:spPr>
        <a:xfrm rot="10800000">
          <a:off x="1133094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177</xdr:row>
      <xdr:rowOff>0</xdr:rowOff>
    </xdr:from>
    <xdr:to>
      <xdr:col>11</xdr:col>
      <xdr:colOff>83820</xdr:colOff>
      <xdr:row>177</xdr:row>
      <xdr:rowOff>114300</xdr:rowOff>
    </xdr:to>
    <xdr:sp macro="" textlink="">
      <xdr:nvSpPr>
        <xdr:cNvPr id="1304" name="Arrow: Down 1303">
          <a:extLst>
            <a:ext uri="{FF2B5EF4-FFF2-40B4-BE49-F238E27FC236}">
              <a16:creationId xmlns:a16="http://schemas.microsoft.com/office/drawing/2014/main" id="{5F97164A-A090-448B-A26B-B4847E917C50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177</xdr:row>
      <xdr:rowOff>0</xdr:rowOff>
    </xdr:from>
    <xdr:to>
      <xdr:col>5</xdr:col>
      <xdr:colOff>83820</xdr:colOff>
      <xdr:row>177</xdr:row>
      <xdr:rowOff>114300</xdr:rowOff>
    </xdr:to>
    <xdr:sp macro="" textlink="">
      <xdr:nvSpPr>
        <xdr:cNvPr id="1305" name="Arrow: Down 1304">
          <a:extLst>
            <a:ext uri="{FF2B5EF4-FFF2-40B4-BE49-F238E27FC236}">
              <a16:creationId xmlns:a16="http://schemas.microsoft.com/office/drawing/2014/main" id="{58334E99-D024-4AF3-86FD-D99D805E0F2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83820</xdr:colOff>
      <xdr:row>175</xdr:row>
      <xdr:rowOff>114300</xdr:rowOff>
    </xdr:to>
    <xdr:sp macro="" textlink="">
      <xdr:nvSpPr>
        <xdr:cNvPr id="1311" name="Arrow: Down 1310">
          <a:extLst>
            <a:ext uri="{FF2B5EF4-FFF2-40B4-BE49-F238E27FC236}">
              <a16:creationId xmlns:a16="http://schemas.microsoft.com/office/drawing/2014/main" id="{86988D28-AD60-4FC4-A13B-0AB7966B13A0}"/>
            </a:ext>
          </a:extLst>
        </xdr:cNvPr>
        <xdr:cNvSpPr/>
      </xdr:nvSpPr>
      <xdr:spPr>
        <a:xfrm>
          <a:off x="160934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177</xdr:row>
      <xdr:rowOff>0</xdr:rowOff>
    </xdr:from>
    <xdr:to>
      <xdr:col>24</xdr:col>
      <xdr:colOff>83820</xdr:colOff>
      <xdr:row>177</xdr:row>
      <xdr:rowOff>114300</xdr:rowOff>
    </xdr:to>
    <xdr:sp macro="" textlink="">
      <xdr:nvSpPr>
        <xdr:cNvPr id="1313" name="Arrow: Down 1312">
          <a:extLst>
            <a:ext uri="{FF2B5EF4-FFF2-40B4-BE49-F238E27FC236}">
              <a16:creationId xmlns:a16="http://schemas.microsoft.com/office/drawing/2014/main" id="{2BF9049A-585F-46F0-8A4C-345F314330B5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177</xdr:row>
      <xdr:rowOff>0</xdr:rowOff>
    </xdr:from>
    <xdr:to>
      <xdr:col>39</xdr:col>
      <xdr:colOff>83820</xdr:colOff>
      <xdr:row>177</xdr:row>
      <xdr:rowOff>114300</xdr:rowOff>
    </xdr:to>
    <xdr:sp macro="" textlink="">
      <xdr:nvSpPr>
        <xdr:cNvPr id="1315" name="Arrow: Down 1314">
          <a:extLst>
            <a:ext uri="{FF2B5EF4-FFF2-40B4-BE49-F238E27FC236}">
              <a16:creationId xmlns:a16="http://schemas.microsoft.com/office/drawing/2014/main" id="{AA8AA4B4-BBDC-418C-9DB2-09E9F742B3B3}"/>
            </a:ext>
          </a:extLst>
        </xdr:cNvPr>
        <xdr:cNvSpPr/>
      </xdr:nvSpPr>
      <xdr:spPr>
        <a:xfrm rot="10800000">
          <a:off x="95250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178</xdr:row>
      <xdr:rowOff>0</xdr:rowOff>
    </xdr:from>
    <xdr:to>
      <xdr:col>71</xdr:col>
      <xdr:colOff>83820</xdr:colOff>
      <xdr:row>178</xdr:row>
      <xdr:rowOff>114300</xdr:rowOff>
    </xdr:to>
    <xdr:sp macro="" textlink="">
      <xdr:nvSpPr>
        <xdr:cNvPr id="1316" name="Arrow: Down 1315">
          <a:extLst>
            <a:ext uri="{FF2B5EF4-FFF2-40B4-BE49-F238E27FC236}">
              <a16:creationId xmlns:a16="http://schemas.microsoft.com/office/drawing/2014/main" id="{AE9C56D1-6282-41FB-BFE3-6892911E507E}"/>
            </a:ext>
          </a:extLst>
        </xdr:cNvPr>
        <xdr:cNvSpPr/>
      </xdr:nvSpPr>
      <xdr:spPr>
        <a:xfrm>
          <a:off x="1840992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178</xdr:row>
      <xdr:rowOff>0</xdr:rowOff>
    </xdr:from>
    <xdr:to>
      <xdr:col>45</xdr:col>
      <xdr:colOff>83820</xdr:colOff>
      <xdr:row>178</xdr:row>
      <xdr:rowOff>114300</xdr:rowOff>
    </xdr:to>
    <xdr:sp macro="" textlink="">
      <xdr:nvSpPr>
        <xdr:cNvPr id="1317" name="Arrow: Down 1316">
          <a:extLst>
            <a:ext uri="{FF2B5EF4-FFF2-40B4-BE49-F238E27FC236}">
              <a16:creationId xmlns:a16="http://schemas.microsoft.com/office/drawing/2014/main" id="{2F22888B-729A-44C5-A1E2-163B26419ACE}"/>
            </a:ext>
          </a:extLst>
        </xdr:cNvPr>
        <xdr:cNvSpPr/>
      </xdr:nvSpPr>
      <xdr:spPr>
        <a:xfrm rot="10800000">
          <a:off x="113309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178</xdr:row>
      <xdr:rowOff>0</xdr:rowOff>
    </xdr:from>
    <xdr:to>
      <xdr:col>24</xdr:col>
      <xdr:colOff>83820</xdr:colOff>
      <xdr:row>178</xdr:row>
      <xdr:rowOff>114300</xdr:rowOff>
    </xdr:to>
    <xdr:sp macro="" textlink="">
      <xdr:nvSpPr>
        <xdr:cNvPr id="1322" name="Arrow: Down 1321">
          <a:extLst>
            <a:ext uri="{FF2B5EF4-FFF2-40B4-BE49-F238E27FC236}">
              <a16:creationId xmlns:a16="http://schemas.microsoft.com/office/drawing/2014/main" id="{BB085E4B-F663-42FA-96CC-E078D153801D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32" name="Arrow: Down 1331">
          <a:extLst>
            <a:ext uri="{FF2B5EF4-FFF2-40B4-BE49-F238E27FC236}">
              <a16:creationId xmlns:a16="http://schemas.microsoft.com/office/drawing/2014/main" id="{66B7BBA9-BA1E-4676-811A-2CC2E80815FD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33" name="Arrow: Down 1332">
          <a:extLst>
            <a:ext uri="{FF2B5EF4-FFF2-40B4-BE49-F238E27FC236}">
              <a16:creationId xmlns:a16="http://schemas.microsoft.com/office/drawing/2014/main" id="{B88C0E6B-4B95-4518-906D-C614A56D4310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38" name="Arrow: Down 1337">
          <a:extLst>
            <a:ext uri="{FF2B5EF4-FFF2-40B4-BE49-F238E27FC236}">
              <a16:creationId xmlns:a16="http://schemas.microsoft.com/office/drawing/2014/main" id="{A9356C00-7CD1-4EE2-B142-BC4D6954E195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42" name="Arrow: Down 1341">
          <a:extLst>
            <a:ext uri="{FF2B5EF4-FFF2-40B4-BE49-F238E27FC236}">
              <a16:creationId xmlns:a16="http://schemas.microsoft.com/office/drawing/2014/main" id="{6E0AF029-31D2-4FF0-AA5B-A74DE816B95B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43" name="Arrow: Down 1342">
          <a:extLst>
            <a:ext uri="{FF2B5EF4-FFF2-40B4-BE49-F238E27FC236}">
              <a16:creationId xmlns:a16="http://schemas.microsoft.com/office/drawing/2014/main" id="{7F63AB99-5CF7-44B2-8638-312ABB5F228B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48" name="Arrow: Down 1347">
          <a:extLst>
            <a:ext uri="{FF2B5EF4-FFF2-40B4-BE49-F238E27FC236}">
              <a16:creationId xmlns:a16="http://schemas.microsoft.com/office/drawing/2014/main" id="{A736AE0A-9CDA-42E3-B9D3-247F6A3FA45A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83820</xdr:colOff>
      <xdr:row>178</xdr:row>
      <xdr:rowOff>114300</xdr:rowOff>
    </xdr:to>
    <xdr:sp macro="" textlink="">
      <xdr:nvSpPr>
        <xdr:cNvPr id="1350" name="Arrow: Down 1349">
          <a:extLst>
            <a:ext uri="{FF2B5EF4-FFF2-40B4-BE49-F238E27FC236}">
              <a16:creationId xmlns:a16="http://schemas.microsoft.com/office/drawing/2014/main" id="{5D03976B-9480-491D-A806-E2612042FC12}"/>
            </a:ext>
          </a:extLst>
        </xdr:cNvPr>
        <xdr:cNvSpPr/>
      </xdr:nvSpPr>
      <xdr:spPr>
        <a:xfrm>
          <a:off x="192786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178</xdr:row>
      <xdr:rowOff>0</xdr:rowOff>
    </xdr:from>
    <xdr:to>
      <xdr:col>11</xdr:col>
      <xdr:colOff>83820</xdr:colOff>
      <xdr:row>178</xdr:row>
      <xdr:rowOff>114300</xdr:rowOff>
    </xdr:to>
    <xdr:sp macro="" textlink="">
      <xdr:nvSpPr>
        <xdr:cNvPr id="1352" name="Arrow: Down 1351">
          <a:extLst>
            <a:ext uri="{FF2B5EF4-FFF2-40B4-BE49-F238E27FC236}">
              <a16:creationId xmlns:a16="http://schemas.microsoft.com/office/drawing/2014/main" id="{5E30F1CA-AED3-4017-A6FB-1D907B95E4D4}"/>
            </a:ext>
          </a:extLst>
        </xdr:cNvPr>
        <xdr:cNvSpPr/>
      </xdr:nvSpPr>
      <xdr:spPr>
        <a:xfrm>
          <a:off x="36195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178</xdr:row>
      <xdr:rowOff>0</xdr:rowOff>
    </xdr:from>
    <xdr:to>
      <xdr:col>39</xdr:col>
      <xdr:colOff>83820</xdr:colOff>
      <xdr:row>178</xdr:row>
      <xdr:rowOff>114300</xdr:rowOff>
    </xdr:to>
    <xdr:sp macro="" textlink="">
      <xdr:nvSpPr>
        <xdr:cNvPr id="1353" name="Arrow: Down 1352">
          <a:extLst>
            <a:ext uri="{FF2B5EF4-FFF2-40B4-BE49-F238E27FC236}">
              <a16:creationId xmlns:a16="http://schemas.microsoft.com/office/drawing/2014/main" id="{2899258A-D704-470C-BBB5-EB0790FA7241}"/>
            </a:ext>
          </a:extLst>
        </xdr:cNvPr>
        <xdr:cNvSpPr/>
      </xdr:nvSpPr>
      <xdr:spPr>
        <a:xfrm>
          <a:off x="9525000" y="3265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179</xdr:row>
      <xdr:rowOff>0</xdr:rowOff>
    </xdr:from>
    <xdr:to>
      <xdr:col>5</xdr:col>
      <xdr:colOff>83820</xdr:colOff>
      <xdr:row>179</xdr:row>
      <xdr:rowOff>114300</xdr:rowOff>
    </xdr:to>
    <xdr:sp macro="" textlink="">
      <xdr:nvSpPr>
        <xdr:cNvPr id="1354" name="Arrow: Down 1353">
          <a:extLst>
            <a:ext uri="{FF2B5EF4-FFF2-40B4-BE49-F238E27FC236}">
              <a16:creationId xmlns:a16="http://schemas.microsoft.com/office/drawing/2014/main" id="{4F8446BD-33F8-4F00-B9E3-2CA36B742D7B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179</xdr:row>
      <xdr:rowOff>0</xdr:rowOff>
    </xdr:from>
    <xdr:to>
      <xdr:col>11</xdr:col>
      <xdr:colOff>83820</xdr:colOff>
      <xdr:row>179</xdr:row>
      <xdr:rowOff>114300</xdr:rowOff>
    </xdr:to>
    <xdr:sp macro="" textlink="">
      <xdr:nvSpPr>
        <xdr:cNvPr id="1355" name="Arrow: Down 1354">
          <a:extLst>
            <a:ext uri="{FF2B5EF4-FFF2-40B4-BE49-F238E27FC236}">
              <a16:creationId xmlns:a16="http://schemas.microsoft.com/office/drawing/2014/main" id="{37265FFC-9212-40F8-8B8D-31B32ADED0B1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179</xdr:row>
      <xdr:rowOff>0</xdr:rowOff>
    </xdr:from>
    <xdr:to>
      <xdr:col>39</xdr:col>
      <xdr:colOff>83820</xdr:colOff>
      <xdr:row>179</xdr:row>
      <xdr:rowOff>114300</xdr:rowOff>
    </xdr:to>
    <xdr:sp macro="" textlink="">
      <xdr:nvSpPr>
        <xdr:cNvPr id="1359" name="Arrow: Down 1358">
          <a:extLst>
            <a:ext uri="{FF2B5EF4-FFF2-40B4-BE49-F238E27FC236}">
              <a16:creationId xmlns:a16="http://schemas.microsoft.com/office/drawing/2014/main" id="{C7D9CC64-89FE-4D4E-9F53-479E810B6A5D}"/>
            </a:ext>
          </a:extLst>
        </xdr:cNvPr>
        <xdr:cNvSpPr/>
      </xdr:nvSpPr>
      <xdr:spPr>
        <a:xfrm>
          <a:off x="9525000" y="3283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0" name="Arrow: Down 1359">
          <a:extLst>
            <a:ext uri="{FF2B5EF4-FFF2-40B4-BE49-F238E27FC236}">
              <a16:creationId xmlns:a16="http://schemas.microsoft.com/office/drawing/2014/main" id="{114F6087-F7D4-4B68-A44A-9B171BDEB58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1" name="Arrow: Down 1360">
          <a:extLst>
            <a:ext uri="{FF2B5EF4-FFF2-40B4-BE49-F238E27FC236}">
              <a16:creationId xmlns:a16="http://schemas.microsoft.com/office/drawing/2014/main" id="{7DC53530-3487-4F98-A3D5-CF2798340BB7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4" name="Arrow: Down 1363">
          <a:extLst>
            <a:ext uri="{FF2B5EF4-FFF2-40B4-BE49-F238E27FC236}">
              <a16:creationId xmlns:a16="http://schemas.microsoft.com/office/drawing/2014/main" id="{EA5A433E-2083-46A0-8EC9-95955B630B60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5" name="Arrow: Down 1364">
          <a:extLst>
            <a:ext uri="{FF2B5EF4-FFF2-40B4-BE49-F238E27FC236}">
              <a16:creationId xmlns:a16="http://schemas.microsoft.com/office/drawing/2014/main" id="{82E506FE-AA3E-433A-A3F1-BB9C06F335D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6" name="Arrow: Down 1365">
          <a:extLst>
            <a:ext uri="{FF2B5EF4-FFF2-40B4-BE49-F238E27FC236}">
              <a16:creationId xmlns:a16="http://schemas.microsoft.com/office/drawing/2014/main" id="{E9274C81-43D1-4A9E-81AF-D3FB162091FD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9" name="Arrow: Down 1368">
          <a:extLst>
            <a:ext uri="{FF2B5EF4-FFF2-40B4-BE49-F238E27FC236}">
              <a16:creationId xmlns:a16="http://schemas.microsoft.com/office/drawing/2014/main" id="{2605EE34-F15B-48FF-8B51-F9A3A968816B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180</xdr:row>
      <xdr:rowOff>0</xdr:rowOff>
    </xdr:from>
    <xdr:to>
      <xdr:col>5</xdr:col>
      <xdr:colOff>83820</xdr:colOff>
      <xdr:row>180</xdr:row>
      <xdr:rowOff>114300</xdr:rowOff>
    </xdr:to>
    <xdr:sp macro="" textlink="">
      <xdr:nvSpPr>
        <xdr:cNvPr id="1370" name="Arrow: Down 1369">
          <a:extLst>
            <a:ext uri="{FF2B5EF4-FFF2-40B4-BE49-F238E27FC236}">
              <a16:creationId xmlns:a16="http://schemas.microsoft.com/office/drawing/2014/main" id="{364493B0-884C-49A7-BE01-6CC5282B1C12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180</xdr:row>
      <xdr:rowOff>0</xdr:rowOff>
    </xdr:from>
    <xdr:to>
      <xdr:col>11</xdr:col>
      <xdr:colOff>83820</xdr:colOff>
      <xdr:row>180</xdr:row>
      <xdr:rowOff>114300</xdr:rowOff>
    </xdr:to>
    <xdr:sp macro="" textlink="">
      <xdr:nvSpPr>
        <xdr:cNvPr id="1371" name="Arrow: Down 1370">
          <a:extLst>
            <a:ext uri="{FF2B5EF4-FFF2-40B4-BE49-F238E27FC236}">
              <a16:creationId xmlns:a16="http://schemas.microsoft.com/office/drawing/2014/main" id="{0C7DB04A-969E-41A4-AF1F-C9FE90DCC61F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180</xdr:row>
      <xdr:rowOff>0</xdr:rowOff>
    </xdr:from>
    <xdr:to>
      <xdr:col>39</xdr:col>
      <xdr:colOff>83820</xdr:colOff>
      <xdr:row>180</xdr:row>
      <xdr:rowOff>114300</xdr:rowOff>
    </xdr:to>
    <xdr:sp macro="" textlink="">
      <xdr:nvSpPr>
        <xdr:cNvPr id="1374" name="Arrow: Down 1373">
          <a:extLst>
            <a:ext uri="{FF2B5EF4-FFF2-40B4-BE49-F238E27FC236}">
              <a16:creationId xmlns:a16="http://schemas.microsoft.com/office/drawing/2014/main" id="{94304846-5AA6-4C8E-8A26-E8C0A9764CE7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75" name="Arrow: Down 1374">
          <a:extLst>
            <a:ext uri="{FF2B5EF4-FFF2-40B4-BE49-F238E27FC236}">
              <a16:creationId xmlns:a16="http://schemas.microsoft.com/office/drawing/2014/main" id="{D227938A-97A1-4821-96CF-75AA3260AE7F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76" name="Arrow: Down 1375">
          <a:extLst>
            <a:ext uri="{FF2B5EF4-FFF2-40B4-BE49-F238E27FC236}">
              <a16:creationId xmlns:a16="http://schemas.microsoft.com/office/drawing/2014/main" id="{7D20DA28-8798-41D8-A9BB-109E0ADEC793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80" name="Arrow: Down 1379">
          <a:extLst>
            <a:ext uri="{FF2B5EF4-FFF2-40B4-BE49-F238E27FC236}">
              <a16:creationId xmlns:a16="http://schemas.microsoft.com/office/drawing/2014/main" id="{6C0BD1F4-D865-41A4-8EF3-553463F58C65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81" name="Arrow: Down 1380">
          <a:extLst>
            <a:ext uri="{FF2B5EF4-FFF2-40B4-BE49-F238E27FC236}">
              <a16:creationId xmlns:a16="http://schemas.microsoft.com/office/drawing/2014/main" id="{4194267B-06C7-4498-9C25-91AE9FCA241A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181</xdr:row>
      <xdr:rowOff>0</xdr:rowOff>
    </xdr:from>
    <xdr:to>
      <xdr:col>39</xdr:col>
      <xdr:colOff>83820</xdr:colOff>
      <xdr:row>181</xdr:row>
      <xdr:rowOff>114300</xdr:rowOff>
    </xdr:to>
    <xdr:sp macro="" textlink="">
      <xdr:nvSpPr>
        <xdr:cNvPr id="1387" name="Arrow: Down 1386">
          <a:extLst>
            <a:ext uri="{FF2B5EF4-FFF2-40B4-BE49-F238E27FC236}">
              <a16:creationId xmlns:a16="http://schemas.microsoft.com/office/drawing/2014/main" id="{9024D6C1-A605-40B6-AFE8-732317B8CFB0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83820</xdr:colOff>
      <xdr:row>181</xdr:row>
      <xdr:rowOff>114300</xdr:rowOff>
    </xdr:to>
    <xdr:sp macro="" textlink="">
      <xdr:nvSpPr>
        <xdr:cNvPr id="1389" name="Arrow: Down 1388">
          <a:extLst>
            <a:ext uri="{FF2B5EF4-FFF2-40B4-BE49-F238E27FC236}">
              <a16:creationId xmlns:a16="http://schemas.microsoft.com/office/drawing/2014/main" id="{0018E46C-5FD8-45BB-9BA3-15F5F23118C8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181</xdr:row>
      <xdr:rowOff>0</xdr:rowOff>
    </xdr:from>
    <xdr:to>
      <xdr:col>11</xdr:col>
      <xdr:colOff>83820</xdr:colOff>
      <xdr:row>181</xdr:row>
      <xdr:rowOff>114300</xdr:rowOff>
    </xdr:to>
    <xdr:sp macro="" textlink="">
      <xdr:nvSpPr>
        <xdr:cNvPr id="1213" name="Arrow: Down 1212">
          <a:extLst>
            <a:ext uri="{FF2B5EF4-FFF2-40B4-BE49-F238E27FC236}">
              <a16:creationId xmlns:a16="http://schemas.microsoft.com/office/drawing/2014/main" id="{F198BB0D-AE11-43B8-8BB8-A493FC18D081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181</xdr:row>
      <xdr:rowOff>0</xdr:rowOff>
    </xdr:from>
    <xdr:to>
      <xdr:col>5</xdr:col>
      <xdr:colOff>83820</xdr:colOff>
      <xdr:row>181</xdr:row>
      <xdr:rowOff>114300</xdr:rowOff>
    </xdr:to>
    <xdr:sp macro="" textlink="">
      <xdr:nvSpPr>
        <xdr:cNvPr id="1222" name="Arrow: Down 1221">
          <a:extLst>
            <a:ext uri="{FF2B5EF4-FFF2-40B4-BE49-F238E27FC236}">
              <a16:creationId xmlns:a16="http://schemas.microsoft.com/office/drawing/2014/main" id="{DEDCDE00-8702-43D5-AB22-D060A8CC49A7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181</xdr:row>
      <xdr:rowOff>0</xdr:rowOff>
    </xdr:from>
    <xdr:to>
      <xdr:col>60</xdr:col>
      <xdr:colOff>83820</xdr:colOff>
      <xdr:row>181</xdr:row>
      <xdr:rowOff>114300</xdr:rowOff>
    </xdr:to>
    <xdr:sp macro="" textlink="">
      <xdr:nvSpPr>
        <xdr:cNvPr id="1224" name="Arrow: Down 1223">
          <a:extLst>
            <a:ext uri="{FF2B5EF4-FFF2-40B4-BE49-F238E27FC236}">
              <a16:creationId xmlns:a16="http://schemas.microsoft.com/office/drawing/2014/main" id="{1281001D-5060-4680-81FF-4E89CF48AD2C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5" name="Arrow: Down 1224">
          <a:extLst>
            <a:ext uri="{FF2B5EF4-FFF2-40B4-BE49-F238E27FC236}">
              <a16:creationId xmlns:a16="http://schemas.microsoft.com/office/drawing/2014/main" id="{5BB0EE02-E884-49EA-BEC4-49462ACD1B70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26" name="Arrow: Down 1225">
          <a:extLst>
            <a:ext uri="{FF2B5EF4-FFF2-40B4-BE49-F238E27FC236}">
              <a16:creationId xmlns:a16="http://schemas.microsoft.com/office/drawing/2014/main" id="{4B3F9918-4361-424D-ADDB-2D13129B6CF4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8" name="Arrow: Down 1227">
          <a:extLst>
            <a:ext uri="{FF2B5EF4-FFF2-40B4-BE49-F238E27FC236}">
              <a16:creationId xmlns:a16="http://schemas.microsoft.com/office/drawing/2014/main" id="{A23105EC-AE4E-44DE-A7ED-815ECD7C26A3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30" name="Arrow: Down 1229">
          <a:extLst>
            <a:ext uri="{FF2B5EF4-FFF2-40B4-BE49-F238E27FC236}">
              <a16:creationId xmlns:a16="http://schemas.microsoft.com/office/drawing/2014/main" id="{298218F5-FF64-45E8-8C5A-CBC664DFC709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182</xdr:row>
      <xdr:rowOff>0</xdr:rowOff>
    </xdr:from>
    <xdr:to>
      <xdr:col>39</xdr:col>
      <xdr:colOff>83820</xdr:colOff>
      <xdr:row>182</xdr:row>
      <xdr:rowOff>114300</xdr:rowOff>
    </xdr:to>
    <xdr:sp macro="" textlink="">
      <xdr:nvSpPr>
        <xdr:cNvPr id="1234" name="Arrow: Down 1233">
          <a:extLst>
            <a:ext uri="{FF2B5EF4-FFF2-40B4-BE49-F238E27FC236}">
              <a16:creationId xmlns:a16="http://schemas.microsoft.com/office/drawing/2014/main" id="{C5705C6E-399A-4C21-B3F2-837CA21DAE51}"/>
            </a:ext>
          </a:extLst>
        </xdr:cNvPr>
        <xdr:cNvSpPr/>
      </xdr:nvSpPr>
      <xdr:spPr>
        <a:xfrm rot="10800000">
          <a:off x="952500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182</xdr:row>
      <xdr:rowOff>0</xdr:rowOff>
    </xdr:from>
    <xdr:to>
      <xdr:col>24</xdr:col>
      <xdr:colOff>83820</xdr:colOff>
      <xdr:row>182</xdr:row>
      <xdr:rowOff>114300</xdr:rowOff>
    </xdr:to>
    <xdr:sp macro="" textlink="">
      <xdr:nvSpPr>
        <xdr:cNvPr id="1239" name="Arrow: Down 1238">
          <a:extLst>
            <a:ext uri="{FF2B5EF4-FFF2-40B4-BE49-F238E27FC236}">
              <a16:creationId xmlns:a16="http://schemas.microsoft.com/office/drawing/2014/main" id="{1E3CD1A1-FA5A-4982-A3D9-50FE18FBC262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182</xdr:row>
      <xdr:rowOff>0</xdr:rowOff>
    </xdr:from>
    <xdr:to>
      <xdr:col>11</xdr:col>
      <xdr:colOff>83820</xdr:colOff>
      <xdr:row>182</xdr:row>
      <xdr:rowOff>114300</xdr:rowOff>
    </xdr:to>
    <xdr:sp macro="" textlink="">
      <xdr:nvSpPr>
        <xdr:cNvPr id="1240" name="Arrow: Down 1239">
          <a:extLst>
            <a:ext uri="{FF2B5EF4-FFF2-40B4-BE49-F238E27FC236}">
              <a16:creationId xmlns:a16="http://schemas.microsoft.com/office/drawing/2014/main" id="{54C21806-F3CF-4E14-A9C3-4460DA92B454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5</xdr:col>
      <xdr:colOff>83820</xdr:colOff>
      <xdr:row>182</xdr:row>
      <xdr:rowOff>114300</xdr:rowOff>
    </xdr:to>
    <xdr:sp macro="" textlink="">
      <xdr:nvSpPr>
        <xdr:cNvPr id="1241" name="Arrow: Down 1240">
          <a:extLst>
            <a:ext uri="{FF2B5EF4-FFF2-40B4-BE49-F238E27FC236}">
              <a16:creationId xmlns:a16="http://schemas.microsoft.com/office/drawing/2014/main" id="{58345699-9ECB-4E53-B699-E27699E1B5F8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182</xdr:row>
      <xdr:rowOff>0</xdr:rowOff>
    </xdr:from>
    <xdr:to>
      <xdr:col>60</xdr:col>
      <xdr:colOff>83820</xdr:colOff>
      <xdr:row>182</xdr:row>
      <xdr:rowOff>114300</xdr:rowOff>
    </xdr:to>
    <xdr:sp macro="" textlink="">
      <xdr:nvSpPr>
        <xdr:cNvPr id="1245" name="Arrow: Down 1244">
          <a:extLst>
            <a:ext uri="{FF2B5EF4-FFF2-40B4-BE49-F238E27FC236}">
              <a16:creationId xmlns:a16="http://schemas.microsoft.com/office/drawing/2014/main" id="{F9602CE5-2A4B-40B7-AEB0-662FF9A8E322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183</xdr:row>
      <xdr:rowOff>0</xdr:rowOff>
    </xdr:from>
    <xdr:to>
      <xdr:col>11</xdr:col>
      <xdr:colOff>83820</xdr:colOff>
      <xdr:row>183</xdr:row>
      <xdr:rowOff>114300</xdr:rowOff>
    </xdr:to>
    <xdr:sp macro="" textlink="">
      <xdr:nvSpPr>
        <xdr:cNvPr id="1248" name="Arrow: Down 1247">
          <a:extLst>
            <a:ext uri="{FF2B5EF4-FFF2-40B4-BE49-F238E27FC236}">
              <a16:creationId xmlns:a16="http://schemas.microsoft.com/office/drawing/2014/main" id="{18FAE01B-BFF7-4EA0-9AC4-EFD9AFD62DD0}"/>
            </a:ext>
          </a:extLst>
        </xdr:cNvPr>
        <xdr:cNvSpPr/>
      </xdr:nvSpPr>
      <xdr:spPr>
        <a:xfrm rot="10800000">
          <a:off x="361950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183</xdr:row>
      <xdr:rowOff>0</xdr:rowOff>
    </xdr:from>
    <xdr:to>
      <xdr:col>5</xdr:col>
      <xdr:colOff>83820</xdr:colOff>
      <xdr:row>183</xdr:row>
      <xdr:rowOff>114300</xdr:rowOff>
    </xdr:to>
    <xdr:sp macro="" textlink="">
      <xdr:nvSpPr>
        <xdr:cNvPr id="1249" name="Arrow: Down 1248">
          <a:extLst>
            <a:ext uri="{FF2B5EF4-FFF2-40B4-BE49-F238E27FC236}">
              <a16:creationId xmlns:a16="http://schemas.microsoft.com/office/drawing/2014/main" id="{6FE8B25E-2C8A-4CD2-B24C-5E7205EFD775}"/>
            </a:ext>
          </a:extLst>
        </xdr:cNvPr>
        <xdr:cNvSpPr/>
      </xdr:nvSpPr>
      <xdr:spPr>
        <a:xfrm rot="10800000">
          <a:off x="192786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5" name="Arrow: Down 1264">
          <a:extLst>
            <a:ext uri="{FF2B5EF4-FFF2-40B4-BE49-F238E27FC236}">
              <a16:creationId xmlns:a16="http://schemas.microsoft.com/office/drawing/2014/main" id="{2B51D3DD-4DDF-4AB7-9515-3A6F4E5F77C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6" name="Arrow: Down 1265">
          <a:extLst>
            <a:ext uri="{FF2B5EF4-FFF2-40B4-BE49-F238E27FC236}">
              <a16:creationId xmlns:a16="http://schemas.microsoft.com/office/drawing/2014/main" id="{6F6C53FB-92A2-435E-A8A7-DDE6AAA896EE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7" name="Arrow: Down 1266">
          <a:extLst>
            <a:ext uri="{FF2B5EF4-FFF2-40B4-BE49-F238E27FC236}">
              <a16:creationId xmlns:a16="http://schemas.microsoft.com/office/drawing/2014/main" id="{82B5998C-1EA2-4F16-92CB-65A8E4814A5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8" name="Arrow: Down 1267">
          <a:extLst>
            <a:ext uri="{FF2B5EF4-FFF2-40B4-BE49-F238E27FC236}">
              <a16:creationId xmlns:a16="http://schemas.microsoft.com/office/drawing/2014/main" id="{8F756252-963B-4D50-9298-389888E163B4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183</xdr:row>
      <xdr:rowOff>0</xdr:rowOff>
    </xdr:from>
    <xdr:to>
      <xdr:col>60</xdr:col>
      <xdr:colOff>83820</xdr:colOff>
      <xdr:row>183</xdr:row>
      <xdr:rowOff>114300</xdr:rowOff>
    </xdr:to>
    <xdr:sp macro="" textlink="">
      <xdr:nvSpPr>
        <xdr:cNvPr id="1291" name="Arrow: Down 1290">
          <a:extLst>
            <a:ext uri="{FF2B5EF4-FFF2-40B4-BE49-F238E27FC236}">
              <a16:creationId xmlns:a16="http://schemas.microsoft.com/office/drawing/2014/main" id="{4590A6E6-BA82-4B8A-B1AC-C888DD2999BE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177</xdr:row>
      <xdr:rowOff>0</xdr:rowOff>
    </xdr:from>
    <xdr:to>
      <xdr:col>60</xdr:col>
      <xdr:colOff>83820</xdr:colOff>
      <xdr:row>177</xdr:row>
      <xdr:rowOff>114300</xdr:rowOff>
    </xdr:to>
    <xdr:sp macro="" textlink="">
      <xdr:nvSpPr>
        <xdr:cNvPr id="1293" name="Arrow: Down 1292">
          <a:extLst>
            <a:ext uri="{FF2B5EF4-FFF2-40B4-BE49-F238E27FC236}">
              <a16:creationId xmlns:a16="http://schemas.microsoft.com/office/drawing/2014/main" id="{ECE9B72A-4658-417F-BC43-3A966AA97CAB}"/>
            </a:ext>
          </a:extLst>
        </xdr:cNvPr>
        <xdr:cNvSpPr/>
      </xdr:nvSpPr>
      <xdr:spPr>
        <a:xfrm>
          <a:off x="160934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180</xdr:row>
      <xdr:rowOff>0</xdr:rowOff>
    </xdr:from>
    <xdr:to>
      <xdr:col>60</xdr:col>
      <xdr:colOff>83820</xdr:colOff>
      <xdr:row>180</xdr:row>
      <xdr:rowOff>114300</xdr:rowOff>
    </xdr:to>
    <xdr:sp macro="" textlink="">
      <xdr:nvSpPr>
        <xdr:cNvPr id="1296" name="Arrow: Down 1295">
          <a:extLst>
            <a:ext uri="{FF2B5EF4-FFF2-40B4-BE49-F238E27FC236}">
              <a16:creationId xmlns:a16="http://schemas.microsoft.com/office/drawing/2014/main" id="{8F8B2D7E-EC51-4086-B742-7A02C4C91C44}"/>
            </a:ext>
          </a:extLst>
        </xdr:cNvPr>
        <xdr:cNvSpPr/>
      </xdr:nvSpPr>
      <xdr:spPr>
        <a:xfrm>
          <a:off x="160934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179</xdr:row>
      <xdr:rowOff>0</xdr:rowOff>
    </xdr:from>
    <xdr:to>
      <xdr:col>60</xdr:col>
      <xdr:colOff>83820</xdr:colOff>
      <xdr:row>179</xdr:row>
      <xdr:rowOff>114300</xdr:rowOff>
    </xdr:to>
    <xdr:sp macro="" textlink="">
      <xdr:nvSpPr>
        <xdr:cNvPr id="1300" name="Arrow: Down 1299">
          <a:extLst>
            <a:ext uri="{FF2B5EF4-FFF2-40B4-BE49-F238E27FC236}">
              <a16:creationId xmlns:a16="http://schemas.microsoft.com/office/drawing/2014/main" id="{0DEB24B9-219D-43F2-B65B-5E527942BB9B}"/>
            </a:ext>
          </a:extLst>
        </xdr:cNvPr>
        <xdr:cNvSpPr/>
      </xdr:nvSpPr>
      <xdr:spPr>
        <a:xfrm>
          <a:off x="160934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178</xdr:row>
      <xdr:rowOff>0</xdr:rowOff>
    </xdr:from>
    <xdr:to>
      <xdr:col>60</xdr:col>
      <xdr:colOff>83820</xdr:colOff>
      <xdr:row>178</xdr:row>
      <xdr:rowOff>114300</xdr:rowOff>
    </xdr:to>
    <xdr:sp macro="" textlink="">
      <xdr:nvSpPr>
        <xdr:cNvPr id="1306" name="Arrow: Down 1305">
          <a:extLst>
            <a:ext uri="{FF2B5EF4-FFF2-40B4-BE49-F238E27FC236}">
              <a16:creationId xmlns:a16="http://schemas.microsoft.com/office/drawing/2014/main" id="{2E962AAB-E4A5-4CBF-891D-00F02E74CD6D}"/>
            </a:ext>
          </a:extLst>
        </xdr:cNvPr>
        <xdr:cNvSpPr/>
      </xdr:nvSpPr>
      <xdr:spPr>
        <a:xfrm>
          <a:off x="160934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183</xdr:row>
      <xdr:rowOff>0</xdr:rowOff>
    </xdr:from>
    <xdr:to>
      <xdr:col>39</xdr:col>
      <xdr:colOff>83820</xdr:colOff>
      <xdr:row>183</xdr:row>
      <xdr:rowOff>114300</xdr:rowOff>
    </xdr:to>
    <xdr:sp macro="" textlink="">
      <xdr:nvSpPr>
        <xdr:cNvPr id="1307" name="Arrow: Down 1306">
          <a:extLst>
            <a:ext uri="{FF2B5EF4-FFF2-40B4-BE49-F238E27FC236}">
              <a16:creationId xmlns:a16="http://schemas.microsoft.com/office/drawing/2014/main" id="{96CD3228-35F1-439C-B22F-7D9D92E4C2B3}"/>
            </a:ext>
          </a:extLst>
        </xdr:cNvPr>
        <xdr:cNvSpPr/>
      </xdr:nvSpPr>
      <xdr:spPr>
        <a:xfrm>
          <a:off x="95250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183</xdr:row>
      <xdr:rowOff>0</xdr:rowOff>
    </xdr:from>
    <xdr:to>
      <xdr:col>24</xdr:col>
      <xdr:colOff>83820</xdr:colOff>
      <xdr:row>183</xdr:row>
      <xdr:rowOff>114300</xdr:rowOff>
    </xdr:to>
    <xdr:sp macro="" textlink="">
      <xdr:nvSpPr>
        <xdr:cNvPr id="1310" name="Arrow: Down 1309">
          <a:extLst>
            <a:ext uri="{FF2B5EF4-FFF2-40B4-BE49-F238E27FC236}">
              <a16:creationId xmlns:a16="http://schemas.microsoft.com/office/drawing/2014/main" id="{73A259B0-3FDD-4431-BAC0-22B4FD196CD2}"/>
            </a:ext>
          </a:extLst>
        </xdr:cNvPr>
        <xdr:cNvSpPr/>
      </xdr:nvSpPr>
      <xdr:spPr>
        <a:xfrm>
          <a:off x="636270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184</xdr:row>
      <xdr:rowOff>0</xdr:rowOff>
    </xdr:from>
    <xdr:to>
      <xdr:col>11</xdr:col>
      <xdr:colOff>83820</xdr:colOff>
      <xdr:row>184</xdr:row>
      <xdr:rowOff>114300</xdr:rowOff>
    </xdr:to>
    <xdr:sp macro="" textlink="">
      <xdr:nvSpPr>
        <xdr:cNvPr id="1324" name="Arrow: Down 1323">
          <a:extLst>
            <a:ext uri="{FF2B5EF4-FFF2-40B4-BE49-F238E27FC236}">
              <a16:creationId xmlns:a16="http://schemas.microsoft.com/office/drawing/2014/main" id="{4E91505E-FD0F-4DCD-8812-157547304857}"/>
            </a:ext>
          </a:extLst>
        </xdr:cNvPr>
        <xdr:cNvSpPr/>
      </xdr:nvSpPr>
      <xdr:spPr>
        <a:xfrm rot="10800000">
          <a:off x="36195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184</xdr:row>
      <xdr:rowOff>0</xdr:rowOff>
    </xdr:from>
    <xdr:to>
      <xdr:col>5</xdr:col>
      <xdr:colOff>83820</xdr:colOff>
      <xdr:row>184</xdr:row>
      <xdr:rowOff>114300</xdr:rowOff>
    </xdr:to>
    <xdr:sp macro="" textlink="">
      <xdr:nvSpPr>
        <xdr:cNvPr id="1325" name="Arrow: Down 1324">
          <a:extLst>
            <a:ext uri="{FF2B5EF4-FFF2-40B4-BE49-F238E27FC236}">
              <a16:creationId xmlns:a16="http://schemas.microsoft.com/office/drawing/2014/main" id="{9F481CB9-0391-4C06-AFEC-8277390C09FD}"/>
            </a:ext>
          </a:extLst>
        </xdr:cNvPr>
        <xdr:cNvSpPr/>
      </xdr:nvSpPr>
      <xdr:spPr>
        <a:xfrm rot="10800000">
          <a:off x="192786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0" name="Arrow: Down 1329">
          <a:extLst>
            <a:ext uri="{FF2B5EF4-FFF2-40B4-BE49-F238E27FC236}">
              <a16:creationId xmlns:a16="http://schemas.microsoft.com/office/drawing/2014/main" id="{1F484FCD-CEE5-448E-AD98-B5478B5B13C2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1" name="Arrow: Down 1330">
          <a:extLst>
            <a:ext uri="{FF2B5EF4-FFF2-40B4-BE49-F238E27FC236}">
              <a16:creationId xmlns:a16="http://schemas.microsoft.com/office/drawing/2014/main" id="{EADB781E-5D4A-4299-AC3E-2A2858C44D3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4" name="Arrow: Down 1333">
          <a:extLst>
            <a:ext uri="{FF2B5EF4-FFF2-40B4-BE49-F238E27FC236}">
              <a16:creationId xmlns:a16="http://schemas.microsoft.com/office/drawing/2014/main" id="{199F933D-01A7-4244-AFBA-7AE276A7C8F4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5" name="Arrow: Down 1334">
          <a:extLst>
            <a:ext uri="{FF2B5EF4-FFF2-40B4-BE49-F238E27FC236}">
              <a16:creationId xmlns:a16="http://schemas.microsoft.com/office/drawing/2014/main" id="{5604F4D9-6B1C-4F7A-90B6-2DC1AB88FF0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184</xdr:row>
      <xdr:rowOff>0</xdr:rowOff>
    </xdr:from>
    <xdr:to>
      <xdr:col>60</xdr:col>
      <xdr:colOff>83820</xdr:colOff>
      <xdr:row>184</xdr:row>
      <xdr:rowOff>114300</xdr:rowOff>
    </xdr:to>
    <xdr:sp macro="" textlink="">
      <xdr:nvSpPr>
        <xdr:cNvPr id="1341" name="Arrow: Down 1340">
          <a:extLst>
            <a:ext uri="{FF2B5EF4-FFF2-40B4-BE49-F238E27FC236}">
              <a16:creationId xmlns:a16="http://schemas.microsoft.com/office/drawing/2014/main" id="{7C2C11A6-246D-4F0F-8DBB-4155E744FE10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184</xdr:row>
      <xdr:rowOff>0</xdr:rowOff>
    </xdr:from>
    <xdr:to>
      <xdr:col>24</xdr:col>
      <xdr:colOff>83820</xdr:colOff>
      <xdr:row>184</xdr:row>
      <xdr:rowOff>114300</xdr:rowOff>
    </xdr:to>
    <xdr:sp macro="" textlink="">
      <xdr:nvSpPr>
        <xdr:cNvPr id="1351" name="Arrow: Down 1350">
          <a:extLst>
            <a:ext uri="{FF2B5EF4-FFF2-40B4-BE49-F238E27FC236}">
              <a16:creationId xmlns:a16="http://schemas.microsoft.com/office/drawing/2014/main" id="{5BFA8D22-6A1A-4180-A816-4A709360AE48}"/>
            </a:ext>
          </a:extLst>
        </xdr:cNvPr>
        <xdr:cNvSpPr/>
      </xdr:nvSpPr>
      <xdr:spPr>
        <a:xfrm rot="10800000">
          <a:off x="6362700" y="3374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184</xdr:row>
      <xdr:rowOff>0</xdr:rowOff>
    </xdr:from>
    <xdr:to>
      <xdr:col>39</xdr:col>
      <xdr:colOff>83820</xdr:colOff>
      <xdr:row>184</xdr:row>
      <xdr:rowOff>114300</xdr:rowOff>
    </xdr:to>
    <xdr:sp macro="" textlink="">
      <xdr:nvSpPr>
        <xdr:cNvPr id="1356" name="Arrow: Down 1355">
          <a:extLst>
            <a:ext uri="{FF2B5EF4-FFF2-40B4-BE49-F238E27FC236}">
              <a16:creationId xmlns:a16="http://schemas.microsoft.com/office/drawing/2014/main" id="{E31B96A6-FC51-4407-BCDD-A3DE3292F866}"/>
            </a:ext>
          </a:extLst>
        </xdr:cNvPr>
        <xdr:cNvSpPr/>
      </xdr:nvSpPr>
      <xdr:spPr>
        <a:xfrm rot="10800000">
          <a:off x="952500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0" name="Arrow: Down 1419">
          <a:extLst>
            <a:ext uri="{FF2B5EF4-FFF2-40B4-BE49-F238E27FC236}">
              <a16:creationId xmlns:a16="http://schemas.microsoft.com/office/drawing/2014/main" id="{F7FA0156-628E-43EC-BE62-A1E8C3C0A5D1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1" name="Arrow: Down 1420">
          <a:extLst>
            <a:ext uri="{FF2B5EF4-FFF2-40B4-BE49-F238E27FC236}">
              <a16:creationId xmlns:a16="http://schemas.microsoft.com/office/drawing/2014/main" id="{9B8F2210-BB00-4FFA-BFB4-AB50E1AB3EFA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2" name="Arrow: Down 1421">
          <a:extLst>
            <a:ext uri="{FF2B5EF4-FFF2-40B4-BE49-F238E27FC236}">
              <a16:creationId xmlns:a16="http://schemas.microsoft.com/office/drawing/2014/main" id="{DC600B31-9F7C-4A29-BF47-CD2F3CF00A4C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3" name="Arrow: Down 1422">
          <a:extLst>
            <a:ext uri="{FF2B5EF4-FFF2-40B4-BE49-F238E27FC236}">
              <a16:creationId xmlns:a16="http://schemas.microsoft.com/office/drawing/2014/main" id="{53445DC6-1885-43B9-BAC1-76337F18B4EE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185</xdr:row>
      <xdr:rowOff>0</xdr:rowOff>
    </xdr:from>
    <xdr:to>
      <xdr:col>60</xdr:col>
      <xdr:colOff>83820</xdr:colOff>
      <xdr:row>185</xdr:row>
      <xdr:rowOff>114300</xdr:rowOff>
    </xdr:to>
    <xdr:sp macro="" textlink="">
      <xdr:nvSpPr>
        <xdr:cNvPr id="1426" name="Arrow: Down 1425">
          <a:extLst>
            <a:ext uri="{FF2B5EF4-FFF2-40B4-BE49-F238E27FC236}">
              <a16:creationId xmlns:a16="http://schemas.microsoft.com/office/drawing/2014/main" id="{89450ABA-7AD3-416B-B9D5-05B08597C197}"/>
            </a:ext>
          </a:extLst>
        </xdr:cNvPr>
        <xdr:cNvSpPr/>
      </xdr:nvSpPr>
      <xdr:spPr>
        <a:xfrm>
          <a:off x="160934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185</xdr:row>
      <xdr:rowOff>0</xdr:rowOff>
    </xdr:from>
    <xdr:to>
      <xdr:col>39</xdr:col>
      <xdr:colOff>83820</xdr:colOff>
      <xdr:row>185</xdr:row>
      <xdr:rowOff>114300</xdr:rowOff>
    </xdr:to>
    <xdr:sp macro="" textlink="">
      <xdr:nvSpPr>
        <xdr:cNvPr id="1429" name="Arrow: Down 1428">
          <a:extLst>
            <a:ext uri="{FF2B5EF4-FFF2-40B4-BE49-F238E27FC236}">
              <a16:creationId xmlns:a16="http://schemas.microsoft.com/office/drawing/2014/main" id="{780317CE-1880-4F97-A836-7EC10BC4DAD4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5</xdr:col>
      <xdr:colOff>83820</xdr:colOff>
      <xdr:row>185</xdr:row>
      <xdr:rowOff>114300</xdr:rowOff>
    </xdr:to>
    <xdr:sp macro="" textlink="">
      <xdr:nvSpPr>
        <xdr:cNvPr id="1430" name="Arrow: Down 1429">
          <a:extLst>
            <a:ext uri="{FF2B5EF4-FFF2-40B4-BE49-F238E27FC236}">
              <a16:creationId xmlns:a16="http://schemas.microsoft.com/office/drawing/2014/main" id="{087ECDE7-DBBE-46BF-996A-CF6111DD3E09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185</xdr:row>
      <xdr:rowOff>0</xdr:rowOff>
    </xdr:from>
    <xdr:to>
      <xdr:col>11</xdr:col>
      <xdr:colOff>83820</xdr:colOff>
      <xdr:row>185</xdr:row>
      <xdr:rowOff>114300</xdr:rowOff>
    </xdr:to>
    <xdr:sp macro="" textlink="">
      <xdr:nvSpPr>
        <xdr:cNvPr id="1431" name="Arrow: Down 1430">
          <a:extLst>
            <a:ext uri="{FF2B5EF4-FFF2-40B4-BE49-F238E27FC236}">
              <a16:creationId xmlns:a16="http://schemas.microsoft.com/office/drawing/2014/main" id="{12DE6EA4-2BAA-4865-A795-661A1D27CEB8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185</xdr:row>
      <xdr:rowOff>0</xdr:rowOff>
    </xdr:from>
    <xdr:to>
      <xdr:col>24</xdr:col>
      <xdr:colOff>83820</xdr:colOff>
      <xdr:row>185</xdr:row>
      <xdr:rowOff>114300</xdr:rowOff>
    </xdr:to>
    <xdr:sp macro="" textlink="">
      <xdr:nvSpPr>
        <xdr:cNvPr id="1433" name="Arrow: Down 1432">
          <a:extLst>
            <a:ext uri="{FF2B5EF4-FFF2-40B4-BE49-F238E27FC236}">
              <a16:creationId xmlns:a16="http://schemas.microsoft.com/office/drawing/2014/main" id="{3FF8E31C-CB06-499A-B725-B532AC3E4B6B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4" name="Arrow: Down 1433">
          <a:extLst>
            <a:ext uri="{FF2B5EF4-FFF2-40B4-BE49-F238E27FC236}">
              <a16:creationId xmlns:a16="http://schemas.microsoft.com/office/drawing/2014/main" id="{EF8BF3BE-C5D7-45BF-93F6-BF97726A9307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5" name="Arrow: Down 1434">
          <a:extLst>
            <a:ext uri="{FF2B5EF4-FFF2-40B4-BE49-F238E27FC236}">
              <a16:creationId xmlns:a16="http://schemas.microsoft.com/office/drawing/2014/main" id="{11ACFFF9-6FC9-43B1-B30A-4E3393EEFD79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8" name="Arrow: Down 1437">
          <a:extLst>
            <a:ext uri="{FF2B5EF4-FFF2-40B4-BE49-F238E27FC236}">
              <a16:creationId xmlns:a16="http://schemas.microsoft.com/office/drawing/2014/main" id="{AC4910B3-5780-4078-BE7C-4E471EEE6938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9" name="Arrow: Down 1438">
          <a:extLst>
            <a:ext uri="{FF2B5EF4-FFF2-40B4-BE49-F238E27FC236}">
              <a16:creationId xmlns:a16="http://schemas.microsoft.com/office/drawing/2014/main" id="{3D9E194B-4A0E-4F58-B416-B740600D9ACD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0" name="Arrow: Down 1439">
          <a:extLst>
            <a:ext uri="{FF2B5EF4-FFF2-40B4-BE49-F238E27FC236}">
              <a16:creationId xmlns:a16="http://schemas.microsoft.com/office/drawing/2014/main" id="{95B025A5-8AD3-44CA-80D3-6DCBEE8842CE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1" name="Arrow: Down 1440">
          <a:extLst>
            <a:ext uri="{FF2B5EF4-FFF2-40B4-BE49-F238E27FC236}">
              <a16:creationId xmlns:a16="http://schemas.microsoft.com/office/drawing/2014/main" id="{6DD311F1-F698-4B03-AD47-0C29825F16DC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2" name="Arrow: Down 1441">
          <a:extLst>
            <a:ext uri="{FF2B5EF4-FFF2-40B4-BE49-F238E27FC236}">
              <a16:creationId xmlns:a16="http://schemas.microsoft.com/office/drawing/2014/main" id="{11176638-CCCD-4D0C-9A2D-A9183DF4B500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3" name="Arrow: Down 1442">
          <a:extLst>
            <a:ext uri="{FF2B5EF4-FFF2-40B4-BE49-F238E27FC236}">
              <a16:creationId xmlns:a16="http://schemas.microsoft.com/office/drawing/2014/main" id="{4D8A5A68-EFE0-45A8-9450-60779CDC76F8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186</xdr:row>
      <xdr:rowOff>0</xdr:rowOff>
    </xdr:from>
    <xdr:to>
      <xdr:col>60</xdr:col>
      <xdr:colOff>83820</xdr:colOff>
      <xdr:row>186</xdr:row>
      <xdr:rowOff>114300</xdr:rowOff>
    </xdr:to>
    <xdr:sp macro="" textlink="">
      <xdr:nvSpPr>
        <xdr:cNvPr id="1444" name="Arrow: Down 1443">
          <a:extLst>
            <a:ext uri="{FF2B5EF4-FFF2-40B4-BE49-F238E27FC236}">
              <a16:creationId xmlns:a16="http://schemas.microsoft.com/office/drawing/2014/main" id="{88673488-B06C-43F0-B136-447848E469CA}"/>
            </a:ext>
          </a:extLst>
        </xdr:cNvPr>
        <xdr:cNvSpPr/>
      </xdr:nvSpPr>
      <xdr:spPr>
        <a:xfrm>
          <a:off x="160934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186</xdr:row>
      <xdr:rowOff>0</xdr:rowOff>
    </xdr:from>
    <xdr:to>
      <xdr:col>39</xdr:col>
      <xdr:colOff>83820</xdr:colOff>
      <xdr:row>186</xdr:row>
      <xdr:rowOff>114300</xdr:rowOff>
    </xdr:to>
    <xdr:sp macro="" textlink="">
      <xdr:nvSpPr>
        <xdr:cNvPr id="1445" name="Arrow: Down 1444">
          <a:extLst>
            <a:ext uri="{FF2B5EF4-FFF2-40B4-BE49-F238E27FC236}">
              <a16:creationId xmlns:a16="http://schemas.microsoft.com/office/drawing/2014/main" id="{EBC0CA19-7C17-42F1-804E-070D28A5CBF6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186</xdr:row>
      <xdr:rowOff>0</xdr:rowOff>
    </xdr:from>
    <xdr:to>
      <xdr:col>24</xdr:col>
      <xdr:colOff>83820</xdr:colOff>
      <xdr:row>186</xdr:row>
      <xdr:rowOff>114300</xdr:rowOff>
    </xdr:to>
    <xdr:sp macro="" textlink="">
      <xdr:nvSpPr>
        <xdr:cNvPr id="1446" name="Arrow: Down 1445">
          <a:extLst>
            <a:ext uri="{FF2B5EF4-FFF2-40B4-BE49-F238E27FC236}">
              <a16:creationId xmlns:a16="http://schemas.microsoft.com/office/drawing/2014/main" id="{6D512690-137A-4816-A42D-C87D9CE48089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58" name="Arrow: Down 1257">
          <a:extLst>
            <a:ext uri="{FF2B5EF4-FFF2-40B4-BE49-F238E27FC236}">
              <a16:creationId xmlns:a16="http://schemas.microsoft.com/office/drawing/2014/main" id="{D498D22E-F8B6-4287-A217-B640A1B6A393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0" name="Arrow: Down 1259">
          <a:extLst>
            <a:ext uri="{FF2B5EF4-FFF2-40B4-BE49-F238E27FC236}">
              <a16:creationId xmlns:a16="http://schemas.microsoft.com/office/drawing/2014/main" id="{66514041-B29E-486B-AB6E-0C0DB3F6912C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62" name="Arrow: Down 1261">
          <a:extLst>
            <a:ext uri="{FF2B5EF4-FFF2-40B4-BE49-F238E27FC236}">
              <a16:creationId xmlns:a16="http://schemas.microsoft.com/office/drawing/2014/main" id="{F77B8867-3973-4F14-BAFF-9FC728A6CF78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3" name="Arrow: Down 1262">
          <a:extLst>
            <a:ext uri="{FF2B5EF4-FFF2-40B4-BE49-F238E27FC236}">
              <a16:creationId xmlns:a16="http://schemas.microsoft.com/office/drawing/2014/main" id="{CC1164CB-190C-4EED-92A1-2E850490E42B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187</xdr:row>
      <xdr:rowOff>0</xdr:rowOff>
    </xdr:from>
    <xdr:to>
      <xdr:col>39</xdr:col>
      <xdr:colOff>83820</xdr:colOff>
      <xdr:row>187</xdr:row>
      <xdr:rowOff>114300</xdr:rowOff>
    </xdr:to>
    <xdr:sp macro="" textlink="">
      <xdr:nvSpPr>
        <xdr:cNvPr id="1282" name="Arrow: Down 1281">
          <a:extLst>
            <a:ext uri="{FF2B5EF4-FFF2-40B4-BE49-F238E27FC236}">
              <a16:creationId xmlns:a16="http://schemas.microsoft.com/office/drawing/2014/main" id="{1210ACD0-39EF-4AEC-9706-E309E4408337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187</xdr:row>
      <xdr:rowOff>0</xdr:rowOff>
    </xdr:from>
    <xdr:to>
      <xdr:col>5</xdr:col>
      <xdr:colOff>83820</xdr:colOff>
      <xdr:row>187</xdr:row>
      <xdr:rowOff>114300</xdr:rowOff>
    </xdr:to>
    <xdr:sp macro="" textlink="">
      <xdr:nvSpPr>
        <xdr:cNvPr id="1290" name="Arrow: Down 1289">
          <a:extLst>
            <a:ext uri="{FF2B5EF4-FFF2-40B4-BE49-F238E27FC236}">
              <a16:creationId xmlns:a16="http://schemas.microsoft.com/office/drawing/2014/main" id="{5108F5B8-91BF-42C2-A93E-1CF5CB846AEF}"/>
            </a:ext>
          </a:extLst>
        </xdr:cNvPr>
        <xdr:cNvSpPr/>
      </xdr:nvSpPr>
      <xdr:spPr>
        <a:xfrm rot="10800000">
          <a:off x="192786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187</xdr:row>
      <xdr:rowOff>0</xdr:rowOff>
    </xdr:from>
    <xdr:to>
      <xdr:col>11</xdr:col>
      <xdr:colOff>83820</xdr:colOff>
      <xdr:row>187</xdr:row>
      <xdr:rowOff>114300</xdr:rowOff>
    </xdr:to>
    <xdr:sp macro="" textlink="">
      <xdr:nvSpPr>
        <xdr:cNvPr id="1294" name="Arrow: Down 1293">
          <a:extLst>
            <a:ext uri="{FF2B5EF4-FFF2-40B4-BE49-F238E27FC236}">
              <a16:creationId xmlns:a16="http://schemas.microsoft.com/office/drawing/2014/main" id="{7CE8D358-C34C-4782-96E4-C98962C6F23E}"/>
            </a:ext>
          </a:extLst>
        </xdr:cNvPr>
        <xdr:cNvSpPr/>
      </xdr:nvSpPr>
      <xdr:spPr>
        <a:xfrm rot="10800000">
          <a:off x="36195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187</xdr:row>
      <xdr:rowOff>0</xdr:rowOff>
    </xdr:from>
    <xdr:to>
      <xdr:col>24</xdr:col>
      <xdr:colOff>83820</xdr:colOff>
      <xdr:row>187</xdr:row>
      <xdr:rowOff>114300</xdr:rowOff>
    </xdr:to>
    <xdr:sp macro="" textlink="">
      <xdr:nvSpPr>
        <xdr:cNvPr id="1308" name="Arrow: Down 1307">
          <a:extLst>
            <a:ext uri="{FF2B5EF4-FFF2-40B4-BE49-F238E27FC236}">
              <a16:creationId xmlns:a16="http://schemas.microsoft.com/office/drawing/2014/main" id="{CF459BAB-0580-4102-9EF7-BFA8F394359D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09" name="Arrow: Down 1308">
          <a:extLst>
            <a:ext uri="{FF2B5EF4-FFF2-40B4-BE49-F238E27FC236}">
              <a16:creationId xmlns:a16="http://schemas.microsoft.com/office/drawing/2014/main" id="{9FA9AB71-AB90-4671-B03C-21B676536832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2" name="Arrow: Down 1311">
          <a:extLst>
            <a:ext uri="{FF2B5EF4-FFF2-40B4-BE49-F238E27FC236}">
              <a16:creationId xmlns:a16="http://schemas.microsoft.com/office/drawing/2014/main" id="{D98C67EA-A67E-4719-994E-FC7E283A222E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14" name="Arrow: Down 1313">
          <a:extLst>
            <a:ext uri="{FF2B5EF4-FFF2-40B4-BE49-F238E27FC236}">
              <a16:creationId xmlns:a16="http://schemas.microsoft.com/office/drawing/2014/main" id="{1D942934-1FD9-4056-BDAE-95A51E26FF48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8" name="Arrow: Down 1317">
          <a:extLst>
            <a:ext uri="{FF2B5EF4-FFF2-40B4-BE49-F238E27FC236}">
              <a16:creationId xmlns:a16="http://schemas.microsoft.com/office/drawing/2014/main" id="{24CC723A-9DF6-440D-B78F-228CE0775FA1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188</xdr:row>
      <xdr:rowOff>0</xdr:rowOff>
    </xdr:from>
    <xdr:to>
      <xdr:col>60</xdr:col>
      <xdr:colOff>83820</xdr:colOff>
      <xdr:row>188</xdr:row>
      <xdr:rowOff>114300</xdr:rowOff>
    </xdr:to>
    <xdr:sp macro="" textlink="">
      <xdr:nvSpPr>
        <xdr:cNvPr id="1319" name="Arrow: Down 1318">
          <a:extLst>
            <a:ext uri="{FF2B5EF4-FFF2-40B4-BE49-F238E27FC236}">
              <a16:creationId xmlns:a16="http://schemas.microsoft.com/office/drawing/2014/main" id="{1BE05BBF-13BF-4EF0-AD84-FE0D2D2DD7A2}"/>
            </a:ext>
          </a:extLst>
        </xdr:cNvPr>
        <xdr:cNvSpPr/>
      </xdr:nvSpPr>
      <xdr:spPr>
        <a:xfrm>
          <a:off x="160934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188</xdr:row>
      <xdr:rowOff>0</xdr:rowOff>
    </xdr:from>
    <xdr:to>
      <xdr:col>39</xdr:col>
      <xdr:colOff>83820</xdr:colOff>
      <xdr:row>188</xdr:row>
      <xdr:rowOff>114300</xdr:rowOff>
    </xdr:to>
    <xdr:sp macro="" textlink="">
      <xdr:nvSpPr>
        <xdr:cNvPr id="1320" name="Arrow: Down 1319">
          <a:extLst>
            <a:ext uri="{FF2B5EF4-FFF2-40B4-BE49-F238E27FC236}">
              <a16:creationId xmlns:a16="http://schemas.microsoft.com/office/drawing/2014/main" id="{D1F55339-B887-4EB9-853E-A3F70FDE26D5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188</xdr:row>
      <xdr:rowOff>0</xdr:rowOff>
    </xdr:from>
    <xdr:to>
      <xdr:col>24</xdr:col>
      <xdr:colOff>83820</xdr:colOff>
      <xdr:row>188</xdr:row>
      <xdr:rowOff>114300</xdr:rowOff>
    </xdr:to>
    <xdr:sp macro="" textlink="">
      <xdr:nvSpPr>
        <xdr:cNvPr id="1326" name="Arrow: Down 1325">
          <a:extLst>
            <a:ext uri="{FF2B5EF4-FFF2-40B4-BE49-F238E27FC236}">
              <a16:creationId xmlns:a16="http://schemas.microsoft.com/office/drawing/2014/main" id="{440843A8-8A28-46CA-8049-DC9E969C424E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187</xdr:row>
      <xdr:rowOff>0</xdr:rowOff>
    </xdr:from>
    <xdr:to>
      <xdr:col>60</xdr:col>
      <xdr:colOff>83820</xdr:colOff>
      <xdr:row>187</xdr:row>
      <xdr:rowOff>114300</xdr:rowOff>
    </xdr:to>
    <xdr:sp macro="" textlink="">
      <xdr:nvSpPr>
        <xdr:cNvPr id="1327" name="Arrow: Down 1326">
          <a:extLst>
            <a:ext uri="{FF2B5EF4-FFF2-40B4-BE49-F238E27FC236}">
              <a16:creationId xmlns:a16="http://schemas.microsoft.com/office/drawing/2014/main" id="{0D2F68F5-27F2-4426-B1D6-C0B160A383DE}"/>
            </a:ext>
          </a:extLst>
        </xdr:cNvPr>
        <xdr:cNvSpPr/>
      </xdr:nvSpPr>
      <xdr:spPr>
        <a:xfrm rot="10800000">
          <a:off x="1609344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5</xdr:col>
      <xdr:colOff>83820</xdr:colOff>
      <xdr:row>188</xdr:row>
      <xdr:rowOff>114300</xdr:rowOff>
    </xdr:to>
    <xdr:sp macro="" textlink="">
      <xdr:nvSpPr>
        <xdr:cNvPr id="1328" name="Arrow: Down 1327">
          <a:extLst>
            <a:ext uri="{FF2B5EF4-FFF2-40B4-BE49-F238E27FC236}">
              <a16:creationId xmlns:a16="http://schemas.microsoft.com/office/drawing/2014/main" id="{0151764B-E3D7-474E-AB33-F08E28E474C2}"/>
            </a:ext>
          </a:extLst>
        </xdr:cNvPr>
        <xdr:cNvSpPr/>
      </xdr:nvSpPr>
      <xdr:spPr>
        <a:xfrm>
          <a:off x="192786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188</xdr:row>
      <xdr:rowOff>0</xdr:rowOff>
    </xdr:from>
    <xdr:to>
      <xdr:col>11</xdr:col>
      <xdr:colOff>83820</xdr:colOff>
      <xdr:row>188</xdr:row>
      <xdr:rowOff>114300</xdr:rowOff>
    </xdr:to>
    <xdr:sp macro="" textlink="">
      <xdr:nvSpPr>
        <xdr:cNvPr id="1329" name="Arrow: Down 1328">
          <a:extLst>
            <a:ext uri="{FF2B5EF4-FFF2-40B4-BE49-F238E27FC236}">
              <a16:creationId xmlns:a16="http://schemas.microsoft.com/office/drawing/2014/main" id="{20059EB3-C410-4253-B26B-C169953456B7}"/>
            </a:ext>
          </a:extLst>
        </xdr:cNvPr>
        <xdr:cNvSpPr/>
      </xdr:nvSpPr>
      <xdr:spPr>
        <a:xfrm>
          <a:off x="36195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79" name="Arrow: Down 1278">
          <a:extLst>
            <a:ext uri="{FF2B5EF4-FFF2-40B4-BE49-F238E27FC236}">
              <a16:creationId xmlns:a16="http://schemas.microsoft.com/office/drawing/2014/main" id="{F5AD2A64-AFF9-4235-B8E2-7A89BBE8CED3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0" name="Arrow: Down 1279">
          <a:extLst>
            <a:ext uri="{FF2B5EF4-FFF2-40B4-BE49-F238E27FC236}">
              <a16:creationId xmlns:a16="http://schemas.microsoft.com/office/drawing/2014/main" id="{34EE0DBD-DF1C-4F68-A8E0-CC05E6EA5C67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81" name="Arrow: Down 1280">
          <a:extLst>
            <a:ext uri="{FF2B5EF4-FFF2-40B4-BE49-F238E27FC236}">
              <a16:creationId xmlns:a16="http://schemas.microsoft.com/office/drawing/2014/main" id="{4CE683F9-5591-4AEC-A663-B55C862A5DAC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9" name="Arrow: Down 1288">
          <a:extLst>
            <a:ext uri="{FF2B5EF4-FFF2-40B4-BE49-F238E27FC236}">
              <a16:creationId xmlns:a16="http://schemas.microsoft.com/office/drawing/2014/main" id="{085F8844-0E8B-464F-B616-5F8929E78AD4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189</xdr:row>
      <xdr:rowOff>0</xdr:rowOff>
    </xdr:from>
    <xdr:to>
      <xdr:col>39</xdr:col>
      <xdr:colOff>83820</xdr:colOff>
      <xdr:row>189</xdr:row>
      <xdr:rowOff>114300</xdr:rowOff>
    </xdr:to>
    <xdr:sp macro="" textlink="">
      <xdr:nvSpPr>
        <xdr:cNvPr id="1321" name="Arrow: Down 1320">
          <a:extLst>
            <a:ext uri="{FF2B5EF4-FFF2-40B4-BE49-F238E27FC236}">
              <a16:creationId xmlns:a16="http://schemas.microsoft.com/office/drawing/2014/main" id="{91ABD96E-B48E-43E0-80CB-909D2A647508}"/>
            </a:ext>
          </a:extLst>
        </xdr:cNvPr>
        <xdr:cNvSpPr/>
      </xdr:nvSpPr>
      <xdr:spPr>
        <a:xfrm rot="10800000">
          <a:off x="95250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189</xdr:row>
      <xdr:rowOff>0</xdr:rowOff>
    </xdr:from>
    <xdr:to>
      <xdr:col>11</xdr:col>
      <xdr:colOff>83820</xdr:colOff>
      <xdr:row>189</xdr:row>
      <xdr:rowOff>114300</xdr:rowOff>
    </xdr:to>
    <xdr:sp macro="" textlink="">
      <xdr:nvSpPr>
        <xdr:cNvPr id="1339" name="Arrow: Down 1338">
          <a:extLst>
            <a:ext uri="{FF2B5EF4-FFF2-40B4-BE49-F238E27FC236}">
              <a16:creationId xmlns:a16="http://schemas.microsoft.com/office/drawing/2014/main" id="{4DD576E1-CC43-449B-A5AB-A469523B3EE0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189</xdr:row>
      <xdr:rowOff>0</xdr:rowOff>
    </xdr:from>
    <xdr:to>
      <xdr:col>5</xdr:col>
      <xdr:colOff>83820</xdr:colOff>
      <xdr:row>189</xdr:row>
      <xdr:rowOff>114300</xdr:rowOff>
    </xdr:to>
    <xdr:sp macro="" textlink="">
      <xdr:nvSpPr>
        <xdr:cNvPr id="1340" name="Arrow: Down 1339">
          <a:extLst>
            <a:ext uri="{FF2B5EF4-FFF2-40B4-BE49-F238E27FC236}">
              <a16:creationId xmlns:a16="http://schemas.microsoft.com/office/drawing/2014/main" id="{B0860EFE-46D1-4792-B5DD-E138EFFE743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189</xdr:row>
      <xdr:rowOff>0</xdr:rowOff>
    </xdr:from>
    <xdr:to>
      <xdr:col>24</xdr:col>
      <xdr:colOff>83820</xdr:colOff>
      <xdr:row>189</xdr:row>
      <xdr:rowOff>114300</xdr:rowOff>
    </xdr:to>
    <xdr:sp macro="" textlink="">
      <xdr:nvSpPr>
        <xdr:cNvPr id="1344" name="Arrow: Down 1343">
          <a:extLst>
            <a:ext uri="{FF2B5EF4-FFF2-40B4-BE49-F238E27FC236}">
              <a16:creationId xmlns:a16="http://schemas.microsoft.com/office/drawing/2014/main" id="{E8E5788A-D4B0-49EB-B1DA-97571CCA0104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189</xdr:row>
      <xdr:rowOff>0</xdr:rowOff>
    </xdr:from>
    <xdr:to>
      <xdr:col>60</xdr:col>
      <xdr:colOff>83820</xdr:colOff>
      <xdr:row>189</xdr:row>
      <xdr:rowOff>114300</xdr:rowOff>
    </xdr:to>
    <xdr:sp macro="" textlink="">
      <xdr:nvSpPr>
        <xdr:cNvPr id="1345" name="Arrow: Down 1344">
          <a:extLst>
            <a:ext uri="{FF2B5EF4-FFF2-40B4-BE49-F238E27FC236}">
              <a16:creationId xmlns:a16="http://schemas.microsoft.com/office/drawing/2014/main" id="{8C969F08-6DCE-4056-9066-285137E7830C}"/>
            </a:ext>
          </a:extLst>
        </xdr:cNvPr>
        <xdr:cNvSpPr/>
      </xdr:nvSpPr>
      <xdr:spPr>
        <a:xfrm rot="10800000">
          <a:off x="1609344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6" name="Arrow: Down 1345">
          <a:extLst>
            <a:ext uri="{FF2B5EF4-FFF2-40B4-BE49-F238E27FC236}">
              <a16:creationId xmlns:a16="http://schemas.microsoft.com/office/drawing/2014/main" id="{141D9F04-3A3F-497A-A4A6-A444F6761A2E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47" name="Arrow: Down 1346">
          <a:extLst>
            <a:ext uri="{FF2B5EF4-FFF2-40B4-BE49-F238E27FC236}">
              <a16:creationId xmlns:a16="http://schemas.microsoft.com/office/drawing/2014/main" id="{A18B8E6E-8D4A-4639-A9E4-686598A58AE1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9" name="Arrow: Down 1348">
          <a:extLst>
            <a:ext uri="{FF2B5EF4-FFF2-40B4-BE49-F238E27FC236}">
              <a16:creationId xmlns:a16="http://schemas.microsoft.com/office/drawing/2014/main" id="{EA5A6CC0-8DF4-4FBB-B780-A8CC58B911FF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57" name="Arrow: Down 1356">
          <a:extLst>
            <a:ext uri="{FF2B5EF4-FFF2-40B4-BE49-F238E27FC236}">
              <a16:creationId xmlns:a16="http://schemas.microsoft.com/office/drawing/2014/main" id="{072DE80E-E2CF-4293-B0DE-1F924EB54F48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190</xdr:row>
      <xdr:rowOff>0</xdr:rowOff>
    </xdr:from>
    <xdr:to>
      <xdr:col>11</xdr:col>
      <xdr:colOff>83820</xdr:colOff>
      <xdr:row>190</xdr:row>
      <xdr:rowOff>114300</xdr:rowOff>
    </xdr:to>
    <xdr:sp macro="" textlink="">
      <xdr:nvSpPr>
        <xdr:cNvPr id="1362" name="Arrow: Down 1361">
          <a:extLst>
            <a:ext uri="{FF2B5EF4-FFF2-40B4-BE49-F238E27FC236}">
              <a16:creationId xmlns:a16="http://schemas.microsoft.com/office/drawing/2014/main" id="{D264ACE2-BE42-430A-A96A-22AA81888017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190</xdr:row>
      <xdr:rowOff>0</xdr:rowOff>
    </xdr:from>
    <xdr:to>
      <xdr:col>5</xdr:col>
      <xdr:colOff>83820</xdr:colOff>
      <xdr:row>190</xdr:row>
      <xdr:rowOff>114300</xdr:rowOff>
    </xdr:to>
    <xdr:sp macro="" textlink="">
      <xdr:nvSpPr>
        <xdr:cNvPr id="1363" name="Arrow: Down 1362">
          <a:extLst>
            <a:ext uri="{FF2B5EF4-FFF2-40B4-BE49-F238E27FC236}">
              <a16:creationId xmlns:a16="http://schemas.microsoft.com/office/drawing/2014/main" id="{425DE884-F368-4536-ACB1-98FDBA0DB8A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190</xdr:row>
      <xdr:rowOff>0</xdr:rowOff>
    </xdr:from>
    <xdr:to>
      <xdr:col>24</xdr:col>
      <xdr:colOff>83820</xdr:colOff>
      <xdr:row>190</xdr:row>
      <xdr:rowOff>114300</xdr:rowOff>
    </xdr:to>
    <xdr:sp macro="" textlink="">
      <xdr:nvSpPr>
        <xdr:cNvPr id="1367" name="Arrow: Down 1366">
          <a:extLst>
            <a:ext uri="{FF2B5EF4-FFF2-40B4-BE49-F238E27FC236}">
              <a16:creationId xmlns:a16="http://schemas.microsoft.com/office/drawing/2014/main" id="{7CB5975A-2933-4AB7-BD97-F64E22CBD42F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190</xdr:row>
      <xdr:rowOff>0</xdr:rowOff>
    </xdr:from>
    <xdr:to>
      <xdr:col>39</xdr:col>
      <xdr:colOff>83820</xdr:colOff>
      <xdr:row>190</xdr:row>
      <xdr:rowOff>114300</xdr:rowOff>
    </xdr:to>
    <xdr:sp macro="" textlink="">
      <xdr:nvSpPr>
        <xdr:cNvPr id="1323" name="Arrow: Down 1322">
          <a:extLst>
            <a:ext uri="{FF2B5EF4-FFF2-40B4-BE49-F238E27FC236}">
              <a16:creationId xmlns:a16="http://schemas.microsoft.com/office/drawing/2014/main" id="{8DD57977-6E0B-4E4C-8093-3C7E9D5A63E1}"/>
            </a:ext>
          </a:extLst>
        </xdr:cNvPr>
        <xdr:cNvSpPr/>
      </xdr:nvSpPr>
      <xdr:spPr>
        <a:xfrm>
          <a:off x="95250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190</xdr:row>
      <xdr:rowOff>0</xdr:rowOff>
    </xdr:from>
    <xdr:to>
      <xdr:col>60</xdr:col>
      <xdr:colOff>83820</xdr:colOff>
      <xdr:row>190</xdr:row>
      <xdr:rowOff>114300</xdr:rowOff>
    </xdr:to>
    <xdr:sp macro="" textlink="">
      <xdr:nvSpPr>
        <xdr:cNvPr id="1337" name="Arrow: Down 1336">
          <a:extLst>
            <a:ext uri="{FF2B5EF4-FFF2-40B4-BE49-F238E27FC236}">
              <a16:creationId xmlns:a16="http://schemas.microsoft.com/office/drawing/2014/main" id="{6933E24F-4461-40C9-BAD3-ED01BCCB4FDC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72" name="Arrow: Down 1371">
          <a:extLst>
            <a:ext uri="{FF2B5EF4-FFF2-40B4-BE49-F238E27FC236}">
              <a16:creationId xmlns:a16="http://schemas.microsoft.com/office/drawing/2014/main" id="{7EDF0788-6EE6-4EE7-A6EF-C227115A79D7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7" name="Arrow: Down 1376">
          <a:extLst>
            <a:ext uri="{FF2B5EF4-FFF2-40B4-BE49-F238E27FC236}">
              <a16:creationId xmlns:a16="http://schemas.microsoft.com/office/drawing/2014/main" id="{2B780AE0-9116-41B4-B273-17B0245ECBC5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78" name="Arrow: Down 1377">
          <a:extLst>
            <a:ext uri="{FF2B5EF4-FFF2-40B4-BE49-F238E27FC236}">
              <a16:creationId xmlns:a16="http://schemas.microsoft.com/office/drawing/2014/main" id="{1D69156C-58C5-4A59-9B35-13B774DEFE3E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9" name="Arrow: Down 1378">
          <a:extLst>
            <a:ext uri="{FF2B5EF4-FFF2-40B4-BE49-F238E27FC236}">
              <a16:creationId xmlns:a16="http://schemas.microsoft.com/office/drawing/2014/main" id="{DA4C2536-3751-4333-9AF9-96FA0FA75A61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82" name="Arrow: Down 1381">
          <a:extLst>
            <a:ext uri="{FF2B5EF4-FFF2-40B4-BE49-F238E27FC236}">
              <a16:creationId xmlns:a16="http://schemas.microsoft.com/office/drawing/2014/main" id="{7BE252DA-F02E-4E6E-8469-8A4EA9F538C7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83" name="Arrow: Down 1382">
          <a:extLst>
            <a:ext uri="{FF2B5EF4-FFF2-40B4-BE49-F238E27FC236}">
              <a16:creationId xmlns:a16="http://schemas.microsoft.com/office/drawing/2014/main" id="{0636F7AF-1516-4FC7-A4A0-70C4113D8211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191</xdr:row>
      <xdr:rowOff>0</xdr:rowOff>
    </xdr:from>
    <xdr:to>
      <xdr:col>60</xdr:col>
      <xdr:colOff>83820</xdr:colOff>
      <xdr:row>191</xdr:row>
      <xdr:rowOff>114300</xdr:rowOff>
    </xdr:to>
    <xdr:sp macro="" textlink="">
      <xdr:nvSpPr>
        <xdr:cNvPr id="1388" name="Arrow: Down 1387">
          <a:extLst>
            <a:ext uri="{FF2B5EF4-FFF2-40B4-BE49-F238E27FC236}">
              <a16:creationId xmlns:a16="http://schemas.microsoft.com/office/drawing/2014/main" id="{7E2183F0-5FA3-456C-967B-326314847C1A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191</xdr:row>
      <xdr:rowOff>0</xdr:rowOff>
    </xdr:from>
    <xdr:to>
      <xdr:col>39</xdr:col>
      <xdr:colOff>83820</xdr:colOff>
      <xdr:row>191</xdr:row>
      <xdr:rowOff>114300</xdr:rowOff>
    </xdr:to>
    <xdr:sp macro="" textlink="">
      <xdr:nvSpPr>
        <xdr:cNvPr id="1390" name="Arrow: Down 1389">
          <a:extLst>
            <a:ext uri="{FF2B5EF4-FFF2-40B4-BE49-F238E27FC236}">
              <a16:creationId xmlns:a16="http://schemas.microsoft.com/office/drawing/2014/main" id="{F3D00C1D-9EF5-40E8-AF86-C8198F6EFCFC}"/>
            </a:ext>
          </a:extLst>
        </xdr:cNvPr>
        <xdr:cNvSpPr/>
      </xdr:nvSpPr>
      <xdr:spPr>
        <a:xfrm rot="10800000">
          <a:off x="952500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191</xdr:row>
      <xdr:rowOff>0</xdr:rowOff>
    </xdr:from>
    <xdr:to>
      <xdr:col>24</xdr:col>
      <xdr:colOff>83820</xdr:colOff>
      <xdr:row>191</xdr:row>
      <xdr:rowOff>114300</xdr:rowOff>
    </xdr:to>
    <xdr:sp macro="" textlink="">
      <xdr:nvSpPr>
        <xdr:cNvPr id="1391" name="Arrow: Down 1390">
          <a:extLst>
            <a:ext uri="{FF2B5EF4-FFF2-40B4-BE49-F238E27FC236}">
              <a16:creationId xmlns:a16="http://schemas.microsoft.com/office/drawing/2014/main" id="{668DC9C0-8B12-4484-AFD0-825BCEB007BA}"/>
            </a:ext>
          </a:extLst>
        </xdr:cNvPr>
        <xdr:cNvSpPr/>
      </xdr:nvSpPr>
      <xdr:spPr>
        <a:xfrm rot="10800000">
          <a:off x="636270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4" name="Arrow: Down 1393">
          <a:extLst>
            <a:ext uri="{FF2B5EF4-FFF2-40B4-BE49-F238E27FC236}">
              <a16:creationId xmlns:a16="http://schemas.microsoft.com/office/drawing/2014/main" id="{C02F5A6F-14B8-4C6F-8653-E71FF66D7B44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5" name="Arrow: Down 1394">
          <a:extLst>
            <a:ext uri="{FF2B5EF4-FFF2-40B4-BE49-F238E27FC236}">
              <a16:creationId xmlns:a16="http://schemas.microsoft.com/office/drawing/2014/main" id="{92410203-CD65-45ED-BCAD-C3ABAF1C4FB4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6" name="Arrow: Down 1395">
          <a:extLst>
            <a:ext uri="{FF2B5EF4-FFF2-40B4-BE49-F238E27FC236}">
              <a16:creationId xmlns:a16="http://schemas.microsoft.com/office/drawing/2014/main" id="{BBBE952D-1FCD-4F31-95DA-25DB0634DEF2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7" name="Arrow: Down 1396">
          <a:extLst>
            <a:ext uri="{FF2B5EF4-FFF2-40B4-BE49-F238E27FC236}">
              <a16:creationId xmlns:a16="http://schemas.microsoft.com/office/drawing/2014/main" id="{A8E190F9-2DC9-42DF-9AFC-AFCE822ADBB6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192</xdr:row>
      <xdr:rowOff>0</xdr:rowOff>
    </xdr:from>
    <xdr:to>
      <xdr:col>60</xdr:col>
      <xdr:colOff>83820</xdr:colOff>
      <xdr:row>192</xdr:row>
      <xdr:rowOff>114300</xdr:rowOff>
    </xdr:to>
    <xdr:sp macro="" textlink="">
      <xdr:nvSpPr>
        <xdr:cNvPr id="1400" name="Arrow: Down 1399">
          <a:extLst>
            <a:ext uri="{FF2B5EF4-FFF2-40B4-BE49-F238E27FC236}">
              <a16:creationId xmlns:a16="http://schemas.microsoft.com/office/drawing/2014/main" id="{CCEDB59A-8189-45D5-97C7-5951AEC63437}"/>
            </a:ext>
          </a:extLst>
        </xdr:cNvPr>
        <xdr:cNvSpPr/>
      </xdr:nvSpPr>
      <xdr:spPr>
        <a:xfrm>
          <a:off x="160934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192</xdr:row>
      <xdr:rowOff>0</xdr:rowOff>
    </xdr:from>
    <xdr:to>
      <xdr:col>39</xdr:col>
      <xdr:colOff>83820</xdr:colOff>
      <xdr:row>192</xdr:row>
      <xdr:rowOff>114300</xdr:rowOff>
    </xdr:to>
    <xdr:sp macro="" textlink="">
      <xdr:nvSpPr>
        <xdr:cNvPr id="1403" name="Arrow: Down 1402">
          <a:extLst>
            <a:ext uri="{FF2B5EF4-FFF2-40B4-BE49-F238E27FC236}">
              <a16:creationId xmlns:a16="http://schemas.microsoft.com/office/drawing/2014/main" id="{A729CCC1-2BA5-4A9C-9E4E-EC701F3B037C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192</xdr:row>
      <xdr:rowOff>0</xdr:rowOff>
    </xdr:from>
    <xdr:to>
      <xdr:col>24</xdr:col>
      <xdr:colOff>83820</xdr:colOff>
      <xdr:row>192</xdr:row>
      <xdr:rowOff>114300</xdr:rowOff>
    </xdr:to>
    <xdr:sp macro="" textlink="">
      <xdr:nvSpPr>
        <xdr:cNvPr id="1404" name="Arrow: Down 1403">
          <a:extLst>
            <a:ext uri="{FF2B5EF4-FFF2-40B4-BE49-F238E27FC236}">
              <a16:creationId xmlns:a16="http://schemas.microsoft.com/office/drawing/2014/main" id="{79E4909F-3996-44EA-91EE-119E97A5B12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192</xdr:row>
      <xdr:rowOff>0</xdr:rowOff>
    </xdr:from>
    <xdr:to>
      <xdr:col>11</xdr:col>
      <xdr:colOff>83820</xdr:colOff>
      <xdr:row>192</xdr:row>
      <xdr:rowOff>114300</xdr:rowOff>
    </xdr:to>
    <xdr:sp macro="" textlink="">
      <xdr:nvSpPr>
        <xdr:cNvPr id="1405" name="Arrow: Down 1404">
          <a:extLst>
            <a:ext uri="{FF2B5EF4-FFF2-40B4-BE49-F238E27FC236}">
              <a16:creationId xmlns:a16="http://schemas.microsoft.com/office/drawing/2014/main" id="{5702541E-D9B1-4C9A-887C-4D65DAE12B5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192</xdr:row>
      <xdr:rowOff>0</xdr:rowOff>
    </xdr:from>
    <xdr:to>
      <xdr:col>5</xdr:col>
      <xdr:colOff>83820</xdr:colOff>
      <xdr:row>192</xdr:row>
      <xdr:rowOff>114300</xdr:rowOff>
    </xdr:to>
    <xdr:sp macro="" textlink="">
      <xdr:nvSpPr>
        <xdr:cNvPr id="1406" name="Arrow: Down 1405">
          <a:extLst>
            <a:ext uri="{FF2B5EF4-FFF2-40B4-BE49-F238E27FC236}">
              <a16:creationId xmlns:a16="http://schemas.microsoft.com/office/drawing/2014/main" id="{C37084FB-8028-4668-A014-C0FEC0A940CE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191</xdr:row>
      <xdr:rowOff>0</xdr:rowOff>
    </xdr:from>
    <xdr:to>
      <xdr:col>5</xdr:col>
      <xdr:colOff>83820</xdr:colOff>
      <xdr:row>191</xdr:row>
      <xdr:rowOff>114300</xdr:rowOff>
    </xdr:to>
    <xdr:sp macro="" textlink="">
      <xdr:nvSpPr>
        <xdr:cNvPr id="1407" name="Arrow: Down 1406">
          <a:extLst>
            <a:ext uri="{FF2B5EF4-FFF2-40B4-BE49-F238E27FC236}">
              <a16:creationId xmlns:a16="http://schemas.microsoft.com/office/drawing/2014/main" id="{06B7204D-EC0A-4BCB-92DB-BF2D720A8DA1}"/>
            </a:ext>
          </a:extLst>
        </xdr:cNvPr>
        <xdr:cNvSpPr/>
      </xdr:nvSpPr>
      <xdr:spPr>
        <a:xfrm rot="10800000">
          <a:off x="192786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408" name="Arrow: Down 1407">
          <a:extLst>
            <a:ext uri="{FF2B5EF4-FFF2-40B4-BE49-F238E27FC236}">
              <a16:creationId xmlns:a16="http://schemas.microsoft.com/office/drawing/2014/main" id="{0F84E102-E9D0-49C4-AACD-B9E127083A6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409" name="Arrow: Down 1408">
          <a:extLst>
            <a:ext uri="{FF2B5EF4-FFF2-40B4-BE49-F238E27FC236}">
              <a16:creationId xmlns:a16="http://schemas.microsoft.com/office/drawing/2014/main" id="{39EE4EE9-8585-4D03-AC2D-B340719AC254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36" name="Arrow: Down 1335">
          <a:extLst>
            <a:ext uri="{FF2B5EF4-FFF2-40B4-BE49-F238E27FC236}">
              <a16:creationId xmlns:a16="http://schemas.microsoft.com/office/drawing/2014/main" id="{7CF104BA-129D-4076-8A65-C11320AA39F4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58" name="Arrow: Down 1357">
          <a:extLst>
            <a:ext uri="{FF2B5EF4-FFF2-40B4-BE49-F238E27FC236}">
              <a16:creationId xmlns:a16="http://schemas.microsoft.com/office/drawing/2014/main" id="{F20B9FE2-6129-4C54-9976-453DB7E4545B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68" name="Arrow: Down 1367">
          <a:extLst>
            <a:ext uri="{FF2B5EF4-FFF2-40B4-BE49-F238E27FC236}">
              <a16:creationId xmlns:a16="http://schemas.microsoft.com/office/drawing/2014/main" id="{8E825DD3-9E3E-4D6E-A0C9-933F5BE59CE3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73" name="Arrow: Down 1372">
          <a:extLst>
            <a:ext uri="{FF2B5EF4-FFF2-40B4-BE49-F238E27FC236}">
              <a16:creationId xmlns:a16="http://schemas.microsoft.com/office/drawing/2014/main" id="{DD596FD6-7587-4ED5-A580-797C33EEBEDD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193</xdr:row>
      <xdr:rowOff>0</xdr:rowOff>
    </xdr:from>
    <xdr:to>
      <xdr:col>60</xdr:col>
      <xdr:colOff>83820</xdr:colOff>
      <xdr:row>193</xdr:row>
      <xdr:rowOff>114300</xdr:rowOff>
    </xdr:to>
    <xdr:sp macro="" textlink="">
      <xdr:nvSpPr>
        <xdr:cNvPr id="1384" name="Arrow: Down 1383">
          <a:extLst>
            <a:ext uri="{FF2B5EF4-FFF2-40B4-BE49-F238E27FC236}">
              <a16:creationId xmlns:a16="http://schemas.microsoft.com/office/drawing/2014/main" id="{35ABE1C6-08E2-4313-BF57-0890CCFDDEA9}"/>
            </a:ext>
          </a:extLst>
        </xdr:cNvPr>
        <xdr:cNvSpPr/>
      </xdr:nvSpPr>
      <xdr:spPr>
        <a:xfrm>
          <a:off x="160934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193</xdr:row>
      <xdr:rowOff>0</xdr:rowOff>
    </xdr:from>
    <xdr:to>
      <xdr:col>39</xdr:col>
      <xdr:colOff>83820</xdr:colOff>
      <xdr:row>193</xdr:row>
      <xdr:rowOff>114300</xdr:rowOff>
    </xdr:to>
    <xdr:sp macro="" textlink="">
      <xdr:nvSpPr>
        <xdr:cNvPr id="1385" name="Arrow: Down 1384">
          <a:extLst>
            <a:ext uri="{FF2B5EF4-FFF2-40B4-BE49-F238E27FC236}">
              <a16:creationId xmlns:a16="http://schemas.microsoft.com/office/drawing/2014/main" id="{19C64DA9-9C65-4EA7-A61B-15BF24561169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193</xdr:row>
      <xdr:rowOff>0</xdr:rowOff>
    </xdr:from>
    <xdr:to>
      <xdr:col>24</xdr:col>
      <xdr:colOff>83820</xdr:colOff>
      <xdr:row>193</xdr:row>
      <xdr:rowOff>114300</xdr:rowOff>
    </xdr:to>
    <xdr:sp macro="" textlink="">
      <xdr:nvSpPr>
        <xdr:cNvPr id="1386" name="Arrow: Down 1385">
          <a:extLst>
            <a:ext uri="{FF2B5EF4-FFF2-40B4-BE49-F238E27FC236}">
              <a16:creationId xmlns:a16="http://schemas.microsoft.com/office/drawing/2014/main" id="{BA30C9EE-4D55-4A2D-8F23-81598AAEECB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392" name="Arrow: Down 1391">
          <a:extLst>
            <a:ext uri="{FF2B5EF4-FFF2-40B4-BE49-F238E27FC236}">
              <a16:creationId xmlns:a16="http://schemas.microsoft.com/office/drawing/2014/main" id="{DF710637-E6FC-4BE5-9F22-786EBF0C74F2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393" name="Arrow: Down 1392">
          <a:extLst>
            <a:ext uri="{FF2B5EF4-FFF2-40B4-BE49-F238E27FC236}">
              <a16:creationId xmlns:a16="http://schemas.microsoft.com/office/drawing/2014/main" id="{A8D04284-13CA-496C-8877-4C19F49E3953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19" name="Arrow: Down 1418">
          <a:extLst>
            <a:ext uri="{FF2B5EF4-FFF2-40B4-BE49-F238E27FC236}">
              <a16:creationId xmlns:a16="http://schemas.microsoft.com/office/drawing/2014/main" id="{3C9FAF8C-073B-4A1D-926B-8F9CC52B1C27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4" name="Arrow: Down 1423">
          <a:extLst>
            <a:ext uri="{FF2B5EF4-FFF2-40B4-BE49-F238E27FC236}">
              <a16:creationId xmlns:a16="http://schemas.microsoft.com/office/drawing/2014/main" id="{568CFDA5-EC12-4BEC-9B09-C00EA402DF70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25" name="Arrow: Down 1424">
          <a:extLst>
            <a:ext uri="{FF2B5EF4-FFF2-40B4-BE49-F238E27FC236}">
              <a16:creationId xmlns:a16="http://schemas.microsoft.com/office/drawing/2014/main" id="{5F776C9B-6830-4335-BD0E-A6A3705A450F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7" name="Arrow: Down 1426">
          <a:extLst>
            <a:ext uri="{FF2B5EF4-FFF2-40B4-BE49-F238E27FC236}">
              <a16:creationId xmlns:a16="http://schemas.microsoft.com/office/drawing/2014/main" id="{1896BEEF-177D-4F5D-9B38-56D429C78E1B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194</xdr:row>
      <xdr:rowOff>0</xdr:rowOff>
    </xdr:from>
    <xdr:to>
      <xdr:col>60</xdr:col>
      <xdr:colOff>83820</xdr:colOff>
      <xdr:row>194</xdr:row>
      <xdr:rowOff>114300</xdr:rowOff>
    </xdr:to>
    <xdr:sp macro="" textlink="">
      <xdr:nvSpPr>
        <xdr:cNvPr id="1448" name="Arrow: Down 1447">
          <a:extLst>
            <a:ext uri="{FF2B5EF4-FFF2-40B4-BE49-F238E27FC236}">
              <a16:creationId xmlns:a16="http://schemas.microsoft.com/office/drawing/2014/main" id="{E3567C6C-1DBC-46F4-845C-2C06C9A576B1}"/>
            </a:ext>
          </a:extLst>
        </xdr:cNvPr>
        <xdr:cNvSpPr/>
      </xdr:nvSpPr>
      <xdr:spPr>
        <a:xfrm rot="10800000">
          <a:off x="1609344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194</xdr:row>
      <xdr:rowOff>0</xdr:rowOff>
    </xdr:from>
    <xdr:to>
      <xdr:col>39</xdr:col>
      <xdr:colOff>83820</xdr:colOff>
      <xdr:row>194</xdr:row>
      <xdr:rowOff>114300</xdr:rowOff>
    </xdr:to>
    <xdr:sp macro="" textlink="">
      <xdr:nvSpPr>
        <xdr:cNvPr id="1450" name="Arrow: Down 1449">
          <a:extLst>
            <a:ext uri="{FF2B5EF4-FFF2-40B4-BE49-F238E27FC236}">
              <a16:creationId xmlns:a16="http://schemas.microsoft.com/office/drawing/2014/main" id="{F80F5A38-7393-4D8E-9189-D198B5966C44}"/>
            </a:ext>
          </a:extLst>
        </xdr:cNvPr>
        <xdr:cNvSpPr/>
      </xdr:nvSpPr>
      <xdr:spPr>
        <a:xfrm rot="10800000">
          <a:off x="952500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194</xdr:row>
      <xdr:rowOff>0</xdr:rowOff>
    </xdr:from>
    <xdr:to>
      <xdr:col>24</xdr:col>
      <xdr:colOff>83820</xdr:colOff>
      <xdr:row>194</xdr:row>
      <xdr:rowOff>114300</xdr:rowOff>
    </xdr:to>
    <xdr:sp macro="" textlink="">
      <xdr:nvSpPr>
        <xdr:cNvPr id="1451" name="Arrow: Down 1450">
          <a:extLst>
            <a:ext uri="{FF2B5EF4-FFF2-40B4-BE49-F238E27FC236}">
              <a16:creationId xmlns:a16="http://schemas.microsoft.com/office/drawing/2014/main" id="{77D782D1-FDBC-4B05-B2FF-11C20A11C24B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194</xdr:row>
      <xdr:rowOff>0</xdr:rowOff>
    </xdr:from>
    <xdr:to>
      <xdr:col>5</xdr:col>
      <xdr:colOff>83820</xdr:colOff>
      <xdr:row>194</xdr:row>
      <xdr:rowOff>114300</xdr:rowOff>
    </xdr:to>
    <xdr:sp macro="" textlink="">
      <xdr:nvSpPr>
        <xdr:cNvPr id="1453" name="Arrow: Down 1452">
          <a:extLst>
            <a:ext uri="{FF2B5EF4-FFF2-40B4-BE49-F238E27FC236}">
              <a16:creationId xmlns:a16="http://schemas.microsoft.com/office/drawing/2014/main" id="{7398FAEE-3E7D-4B76-BF73-04C95DC039A1}"/>
            </a:ext>
          </a:extLst>
        </xdr:cNvPr>
        <xdr:cNvSpPr/>
      </xdr:nvSpPr>
      <xdr:spPr>
        <a:xfrm rot="10800000">
          <a:off x="192786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194</xdr:row>
      <xdr:rowOff>0</xdr:rowOff>
    </xdr:from>
    <xdr:to>
      <xdr:col>11</xdr:col>
      <xdr:colOff>83820</xdr:colOff>
      <xdr:row>194</xdr:row>
      <xdr:rowOff>114300</xdr:rowOff>
    </xdr:to>
    <xdr:sp macro="" textlink="">
      <xdr:nvSpPr>
        <xdr:cNvPr id="1454" name="Arrow: Down 1453">
          <a:extLst>
            <a:ext uri="{FF2B5EF4-FFF2-40B4-BE49-F238E27FC236}">
              <a16:creationId xmlns:a16="http://schemas.microsoft.com/office/drawing/2014/main" id="{D3813916-3F76-445A-848F-A57B0E88538C}"/>
            </a:ext>
          </a:extLst>
        </xdr:cNvPr>
        <xdr:cNvSpPr/>
      </xdr:nvSpPr>
      <xdr:spPr>
        <a:xfrm rot="10800000">
          <a:off x="36195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5" name="Arrow: Down 1414">
          <a:extLst>
            <a:ext uri="{FF2B5EF4-FFF2-40B4-BE49-F238E27FC236}">
              <a16:creationId xmlns:a16="http://schemas.microsoft.com/office/drawing/2014/main" id="{69C13B5D-FD2F-49E2-A5FE-51FC8508862E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6" name="Arrow: Down 1415">
          <a:extLst>
            <a:ext uri="{FF2B5EF4-FFF2-40B4-BE49-F238E27FC236}">
              <a16:creationId xmlns:a16="http://schemas.microsoft.com/office/drawing/2014/main" id="{254C8C3B-D0FF-4C26-9C62-922271450E2B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7" name="Arrow: Down 1416">
          <a:extLst>
            <a:ext uri="{FF2B5EF4-FFF2-40B4-BE49-F238E27FC236}">
              <a16:creationId xmlns:a16="http://schemas.microsoft.com/office/drawing/2014/main" id="{EDDE4C1A-E115-4226-9A37-1CF1BCBC80AF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8" name="Arrow: Down 1417">
          <a:extLst>
            <a:ext uri="{FF2B5EF4-FFF2-40B4-BE49-F238E27FC236}">
              <a16:creationId xmlns:a16="http://schemas.microsoft.com/office/drawing/2014/main" id="{07B9EC51-47F0-47F2-996E-99805868B83F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195</xdr:row>
      <xdr:rowOff>0</xdr:rowOff>
    </xdr:from>
    <xdr:to>
      <xdr:col>24</xdr:col>
      <xdr:colOff>83820</xdr:colOff>
      <xdr:row>195</xdr:row>
      <xdr:rowOff>114300</xdr:rowOff>
    </xdr:to>
    <xdr:sp macro="" textlink="">
      <xdr:nvSpPr>
        <xdr:cNvPr id="1436" name="Arrow: Down 1435">
          <a:extLst>
            <a:ext uri="{FF2B5EF4-FFF2-40B4-BE49-F238E27FC236}">
              <a16:creationId xmlns:a16="http://schemas.microsoft.com/office/drawing/2014/main" id="{2305382A-F04E-40BF-A969-53B69FBF3D44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195</xdr:row>
      <xdr:rowOff>0</xdr:rowOff>
    </xdr:from>
    <xdr:to>
      <xdr:col>5</xdr:col>
      <xdr:colOff>83820</xdr:colOff>
      <xdr:row>195</xdr:row>
      <xdr:rowOff>114300</xdr:rowOff>
    </xdr:to>
    <xdr:sp macro="" textlink="">
      <xdr:nvSpPr>
        <xdr:cNvPr id="1449" name="Arrow: Down 1448">
          <a:extLst>
            <a:ext uri="{FF2B5EF4-FFF2-40B4-BE49-F238E27FC236}">
              <a16:creationId xmlns:a16="http://schemas.microsoft.com/office/drawing/2014/main" id="{2E5560A5-0C7A-431F-87AB-5E1928DB56B2}"/>
            </a:ext>
          </a:extLst>
        </xdr:cNvPr>
        <xdr:cNvSpPr/>
      </xdr:nvSpPr>
      <xdr:spPr>
        <a:xfrm>
          <a:off x="192786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195</xdr:row>
      <xdr:rowOff>0</xdr:rowOff>
    </xdr:from>
    <xdr:to>
      <xdr:col>11</xdr:col>
      <xdr:colOff>83820</xdr:colOff>
      <xdr:row>195</xdr:row>
      <xdr:rowOff>114300</xdr:rowOff>
    </xdr:to>
    <xdr:sp macro="" textlink="">
      <xdr:nvSpPr>
        <xdr:cNvPr id="1452" name="Arrow: Down 1451">
          <a:extLst>
            <a:ext uri="{FF2B5EF4-FFF2-40B4-BE49-F238E27FC236}">
              <a16:creationId xmlns:a16="http://schemas.microsoft.com/office/drawing/2014/main" id="{F1277F4C-6728-41CE-9AA4-0557F935C29A}"/>
            </a:ext>
          </a:extLst>
        </xdr:cNvPr>
        <xdr:cNvSpPr/>
      </xdr:nvSpPr>
      <xdr:spPr>
        <a:xfrm>
          <a:off x="361950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195</xdr:row>
      <xdr:rowOff>0</xdr:rowOff>
    </xdr:from>
    <xdr:to>
      <xdr:col>39</xdr:col>
      <xdr:colOff>83820</xdr:colOff>
      <xdr:row>195</xdr:row>
      <xdr:rowOff>114300</xdr:rowOff>
    </xdr:to>
    <xdr:sp macro="" textlink="">
      <xdr:nvSpPr>
        <xdr:cNvPr id="1455" name="Arrow: Down 1454">
          <a:extLst>
            <a:ext uri="{FF2B5EF4-FFF2-40B4-BE49-F238E27FC236}">
              <a16:creationId xmlns:a16="http://schemas.microsoft.com/office/drawing/2014/main" id="{B398C1FB-1482-4292-BC55-20545B174E6D}"/>
            </a:ext>
          </a:extLst>
        </xdr:cNvPr>
        <xdr:cNvSpPr/>
      </xdr:nvSpPr>
      <xdr:spPr>
        <a:xfrm>
          <a:off x="1180338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195</xdr:row>
      <xdr:rowOff>0</xdr:rowOff>
    </xdr:from>
    <xdr:to>
      <xdr:col>60</xdr:col>
      <xdr:colOff>83820</xdr:colOff>
      <xdr:row>195</xdr:row>
      <xdr:rowOff>114300</xdr:rowOff>
    </xdr:to>
    <xdr:sp macro="" textlink="">
      <xdr:nvSpPr>
        <xdr:cNvPr id="1457" name="Arrow: Down 1456">
          <a:extLst>
            <a:ext uri="{FF2B5EF4-FFF2-40B4-BE49-F238E27FC236}">
              <a16:creationId xmlns:a16="http://schemas.microsoft.com/office/drawing/2014/main" id="{F9F43A51-E045-4DF9-B590-0043C317B751}"/>
            </a:ext>
          </a:extLst>
        </xdr:cNvPr>
        <xdr:cNvSpPr/>
      </xdr:nvSpPr>
      <xdr:spPr>
        <a:xfrm>
          <a:off x="183718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58" name="Arrow: Down 1457">
          <a:extLst>
            <a:ext uri="{FF2B5EF4-FFF2-40B4-BE49-F238E27FC236}">
              <a16:creationId xmlns:a16="http://schemas.microsoft.com/office/drawing/2014/main" id="{499002BF-AD07-4081-B2BE-9EC90A596534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59" name="Arrow: Down 1458">
          <a:extLst>
            <a:ext uri="{FF2B5EF4-FFF2-40B4-BE49-F238E27FC236}">
              <a16:creationId xmlns:a16="http://schemas.microsoft.com/office/drawing/2014/main" id="{BD3BF816-EA51-4809-9148-2BAD4B6B92A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60" name="Arrow: Down 1459">
          <a:extLst>
            <a:ext uri="{FF2B5EF4-FFF2-40B4-BE49-F238E27FC236}">
              <a16:creationId xmlns:a16="http://schemas.microsoft.com/office/drawing/2014/main" id="{813BE744-BD10-4679-8CE7-3BB40DCCE67A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61" name="Arrow: Down 1460">
          <a:extLst>
            <a:ext uri="{FF2B5EF4-FFF2-40B4-BE49-F238E27FC236}">
              <a16:creationId xmlns:a16="http://schemas.microsoft.com/office/drawing/2014/main" id="{9CB702DB-FE2C-43B2-8469-9BFCA1B6097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196</xdr:row>
      <xdr:rowOff>0</xdr:rowOff>
    </xdr:from>
    <xdr:to>
      <xdr:col>24</xdr:col>
      <xdr:colOff>83820</xdr:colOff>
      <xdr:row>196</xdr:row>
      <xdr:rowOff>114300</xdr:rowOff>
    </xdr:to>
    <xdr:sp macro="" textlink="">
      <xdr:nvSpPr>
        <xdr:cNvPr id="1462" name="Arrow: Down 1461">
          <a:extLst>
            <a:ext uri="{FF2B5EF4-FFF2-40B4-BE49-F238E27FC236}">
              <a16:creationId xmlns:a16="http://schemas.microsoft.com/office/drawing/2014/main" id="{C00C4BE7-C3D0-420B-9EB0-77F6580A13D0}"/>
            </a:ext>
          </a:extLst>
        </xdr:cNvPr>
        <xdr:cNvSpPr/>
      </xdr:nvSpPr>
      <xdr:spPr>
        <a:xfrm rot="10800000">
          <a:off x="636270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196</xdr:row>
      <xdr:rowOff>0</xdr:rowOff>
    </xdr:from>
    <xdr:to>
      <xdr:col>60</xdr:col>
      <xdr:colOff>83820</xdr:colOff>
      <xdr:row>196</xdr:row>
      <xdr:rowOff>114300</xdr:rowOff>
    </xdr:to>
    <xdr:sp macro="" textlink="">
      <xdr:nvSpPr>
        <xdr:cNvPr id="1466" name="Arrow: Down 1465">
          <a:extLst>
            <a:ext uri="{FF2B5EF4-FFF2-40B4-BE49-F238E27FC236}">
              <a16:creationId xmlns:a16="http://schemas.microsoft.com/office/drawing/2014/main" id="{882C9745-DB24-449A-87D2-71CF8B12571B}"/>
            </a:ext>
          </a:extLst>
        </xdr:cNvPr>
        <xdr:cNvSpPr/>
      </xdr:nvSpPr>
      <xdr:spPr>
        <a:xfrm>
          <a:off x="160934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196</xdr:row>
      <xdr:rowOff>0</xdr:rowOff>
    </xdr:from>
    <xdr:to>
      <xdr:col>5</xdr:col>
      <xdr:colOff>83820</xdr:colOff>
      <xdr:row>196</xdr:row>
      <xdr:rowOff>114300</xdr:rowOff>
    </xdr:to>
    <xdr:sp macro="" textlink="">
      <xdr:nvSpPr>
        <xdr:cNvPr id="1467" name="Arrow: Down 1466">
          <a:extLst>
            <a:ext uri="{FF2B5EF4-FFF2-40B4-BE49-F238E27FC236}">
              <a16:creationId xmlns:a16="http://schemas.microsoft.com/office/drawing/2014/main" id="{A59D0A2F-5E32-47D7-9B2D-23896D517919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196</xdr:row>
      <xdr:rowOff>0</xdr:rowOff>
    </xdr:from>
    <xdr:to>
      <xdr:col>11</xdr:col>
      <xdr:colOff>83820</xdr:colOff>
      <xdr:row>196</xdr:row>
      <xdr:rowOff>114300</xdr:rowOff>
    </xdr:to>
    <xdr:sp macro="" textlink="">
      <xdr:nvSpPr>
        <xdr:cNvPr id="1468" name="Arrow: Down 1467">
          <a:extLst>
            <a:ext uri="{FF2B5EF4-FFF2-40B4-BE49-F238E27FC236}">
              <a16:creationId xmlns:a16="http://schemas.microsoft.com/office/drawing/2014/main" id="{71CFCFAD-6E13-48A0-839F-ABBD7F997E7A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196</xdr:row>
      <xdr:rowOff>0</xdr:rowOff>
    </xdr:from>
    <xdr:to>
      <xdr:col>39</xdr:col>
      <xdr:colOff>83820</xdr:colOff>
      <xdr:row>196</xdr:row>
      <xdr:rowOff>114300</xdr:rowOff>
    </xdr:to>
    <xdr:sp macro="" textlink="">
      <xdr:nvSpPr>
        <xdr:cNvPr id="1469" name="Arrow: Down 1468">
          <a:extLst>
            <a:ext uri="{FF2B5EF4-FFF2-40B4-BE49-F238E27FC236}">
              <a16:creationId xmlns:a16="http://schemas.microsoft.com/office/drawing/2014/main" id="{7B04FF91-D40C-41A6-94D6-59651D69B9F6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0" name="Arrow: Down 1469">
          <a:extLst>
            <a:ext uri="{FF2B5EF4-FFF2-40B4-BE49-F238E27FC236}">
              <a16:creationId xmlns:a16="http://schemas.microsoft.com/office/drawing/2014/main" id="{FB5A24B4-0E3C-4E32-BBE1-022528B644C3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1" name="Arrow: Down 1470">
          <a:extLst>
            <a:ext uri="{FF2B5EF4-FFF2-40B4-BE49-F238E27FC236}">
              <a16:creationId xmlns:a16="http://schemas.microsoft.com/office/drawing/2014/main" id="{606732C1-035D-418E-B291-D066ED6A3693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2" name="Arrow: Down 1471">
          <a:extLst>
            <a:ext uri="{FF2B5EF4-FFF2-40B4-BE49-F238E27FC236}">
              <a16:creationId xmlns:a16="http://schemas.microsoft.com/office/drawing/2014/main" id="{6CB10B81-A25C-492A-9083-BA96B5F993F8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3" name="Arrow: Down 1472">
          <a:extLst>
            <a:ext uri="{FF2B5EF4-FFF2-40B4-BE49-F238E27FC236}">
              <a16:creationId xmlns:a16="http://schemas.microsoft.com/office/drawing/2014/main" id="{D75B4CA1-7294-4C51-98BA-5A831AD30A6B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197</xdr:row>
      <xdr:rowOff>0</xdr:rowOff>
    </xdr:from>
    <xdr:to>
      <xdr:col>60</xdr:col>
      <xdr:colOff>83820</xdr:colOff>
      <xdr:row>197</xdr:row>
      <xdr:rowOff>114300</xdr:rowOff>
    </xdr:to>
    <xdr:sp macro="" textlink="">
      <xdr:nvSpPr>
        <xdr:cNvPr id="1475" name="Arrow: Down 1474">
          <a:extLst>
            <a:ext uri="{FF2B5EF4-FFF2-40B4-BE49-F238E27FC236}">
              <a16:creationId xmlns:a16="http://schemas.microsoft.com/office/drawing/2014/main" id="{74E5F558-4F52-4DBB-9D95-259948F79153}"/>
            </a:ext>
          </a:extLst>
        </xdr:cNvPr>
        <xdr:cNvSpPr/>
      </xdr:nvSpPr>
      <xdr:spPr>
        <a:xfrm>
          <a:off x="1613916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197</xdr:row>
      <xdr:rowOff>0</xdr:rowOff>
    </xdr:from>
    <xdr:to>
      <xdr:col>5</xdr:col>
      <xdr:colOff>83820</xdr:colOff>
      <xdr:row>197</xdr:row>
      <xdr:rowOff>114300</xdr:rowOff>
    </xdr:to>
    <xdr:sp macro="" textlink="">
      <xdr:nvSpPr>
        <xdr:cNvPr id="1476" name="Arrow: Down 1475">
          <a:extLst>
            <a:ext uri="{FF2B5EF4-FFF2-40B4-BE49-F238E27FC236}">
              <a16:creationId xmlns:a16="http://schemas.microsoft.com/office/drawing/2014/main" id="{F709F72C-361B-462F-ADC3-BC501A7F4A1A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197</xdr:row>
      <xdr:rowOff>0</xdr:rowOff>
    </xdr:from>
    <xdr:to>
      <xdr:col>11</xdr:col>
      <xdr:colOff>83820</xdr:colOff>
      <xdr:row>197</xdr:row>
      <xdr:rowOff>114300</xdr:rowOff>
    </xdr:to>
    <xdr:sp macro="" textlink="">
      <xdr:nvSpPr>
        <xdr:cNvPr id="1477" name="Arrow: Down 1476">
          <a:extLst>
            <a:ext uri="{FF2B5EF4-FFF2-40B4-BE49-F238E27FC236}">
              <a16:creationId xmlns:a16="http://schemas.microsoft.com/office/drawing/2014/main" id="{810A2499-3D87-4A9C-BFCE-69E7C0E1B2C6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197</xdr:row>
      <xdr:rowOff>0</xdr:rowOff>
    </xdr:from>
    <xdr:to>
      <xdr:col>39</xdr:col>
      <xdr:colOff>83820</xdr:colOff>
      <xdr:row>197</xdr:row>
      <xdr:rowOff>114300</xdr:rowOff>
    </xdr:to>
    <xdr:sp macro="" textlink="">
      <xdr:nvSpPr>
        <xdr:cNvPr id="1478" name="Arrow: Down 1477">
          <a:extLst>
            <a:ext uri="{FF2B5EF4-FFF2-40B4-BE49-F238E27FC236}">
              <a16:creationId xmlns:a16="http://schemas.microsoft.com/office/drawing/2014/main" id="{79586BFD-C950-435B-A887-5A6733D6750C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197</xdr:row>
      <xdr:rowOff>0</xdr:rowOff>
    </xdr:from>
    <xdr:to>
      <xdr:col>24</xdr:col>
      <xdr:colOff>83820</xdr:colOff>
      <xdr:row>197</xdr:row>
      <xdr:rowOff>114300</xdr:rowOff>
    </xdr:to>
    <xdr:sp macro="" textlink="">
      <xdr:nvSpPr>
        <xdr:cNvPr id="1480" name="Arrow: Down 1479">
          <a:extLst>
            <a:ext uri="{FF2B5EF4-FFF2-40B4-BE49-F238E27FC236}">
              <a16:creationId xmlns:a16="http://schemas.microsoft.com/office/drawing/2014/main" id="{98D9E041-BD6F-40B5-B087-973ABFEFA092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1" name="Arrow: Down 1480">
          <a:extLst>
            <a:ext uri="{FF2B5EF4-FFF2-40B4-BE49-F238E27FC236}">
              <a16:creationId xmlns:a16="http://schemas.microsoft.com/office/drawing/2014/main" id="{EAFE4103-25D0-4C73-A653-0475BDF640E3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2" name="Arrow: Down 1481">
          <a:extLst>
            <a:ext uri="{FF2B5EF4-FFF2-40B4-BE49-F238E27FC236}">
              <a16:creationId xmlns:a16="http://schemas.microsoft.com/office/drawing/2014/main" id="{1E172573-C5E9-4623-A4A4-197988BF9A96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3" name="Arrow: Down 1482">
          <a:extLst>
            <a:ext uri="{FF2B5EF4-FFF2-40B4-BE49-F238E27FC236}">
              <a16:creationId xmlns:a16="http://schemas.microsoft.com/office/drawing/2014/main" id="{8BA04A41-6B42-4ADC-8248-9D33E64BF4B0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4" name="Arrow: Down 1483">
          <a:extLst>
            <a:ext uri="{FF2B5EF4-FFF2-40B4-BE49-F238E27FC236}">
              <a16:creationId xmlns:a16="http://schemas.microsoft.com/office/drawing/2014/main" id="{20AF39D4-1FD5-4A26-91A9-6DA767BCE547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198</xdr:row>
      <xdr:rowOff>0</xdr:rowOff>
    </xdr:from>
    <xdr:to>
      <xdr:col>5</xdr:col>
      <xdr:colOff>83820</xdr:colOff>
      <xdr:row>198</xdr:row>
      <xdr:rowOff>114300</xdr:rowOff>
    </xdr:to>
    <xdr:sp macro="" textlink="">
      <xdr:nvSpPr>
        <xdr:cNvPr id="1486" name="Arrow: Down 1485">
          <a:extLst>
            <a:ext uri="{FF2B5EF4-FFF2-40B4-BE49-F238E27FC236}">
              <a16:creationId xmlns:a16="http://schemas.microsoft.com/office/drawing/2014/main" id="{0BBCD458-9669-430B-8C52-ADF09203020D}"/>
            </a:ext>
          </a:extLst>
        </xdr:cNvPr>
        <xdr:cNvSpPr/>
      </xdr:nvSpPr>
      <xdr:spPr>
        <a:xfrm rot="10800000">
          <a:off x="192786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198</xdr:row>
      <xdr:rowOff>0</xdr:rowOff>
    </xdr:from>
    <xdr:to>
      <xdr:col>11</xdr:col>
      <xdr:colOff>83820</xdr:colOff>
      <xdr:row>198</xdr:row>
      <xdr:rowOff>114300</xdr:rowOff>
    </xdr:to>
    <xdr:sp macro="" textlink="">
      <xdr:nvSpPr>
        <xdr:cNvPr id="1487" name="Arrow: Down 1486">
          <a:extLst>
            <a:ext uri="{FF2B5EF4-FFF2-40B4-BE49-F238E27FC236}">
              <a16:creationId xmlns:a16="http://schemas.microsoft.com/office/drawing/2014/main" id="{42FE42B0-FD31-4D60-83D7-F99AA0025F01}"/>
            </a:ext>
          </a:extLst>
        </xdr:cNvPr>
        <xdr:cNvSpPr/>
      </xdr:nvSpPr>
      <xdr:spPr>
        <a:xfrm rot="10800000">
          <a:off x="361950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198</xdr:row>
      <xdr:rowOff>0</xdr:rowOff>
    </xdr:from>
    <xdr:to>
      <xdr:col>39</xdr:col>
      <xdr:colOff>83820</xdr:colOff>
      <xdr:row>198</xdr:row>
      <xdr:rowOff>114300</xdr:rowOff>
    </xdr:to>
    <xdr:sp macro="" textlink="">
      <xdr:nvSpPr>
        <xdr:cNvPr id="1488" name="Arrow: Down 1487">
          <a:extLst>
            <a:ext uri="{FF2B5EF4-FFF2-40B4-BE49-F238E27FC236}">
              <a16:creationId xmlns:a16="http://schemas.microsoft.com/office/drawing/2014/main" id="{1963A889-C213-4116-8ECA-606379D29861}"/>
            </a:ext>
          </a:extLst>
        </xdr:cNvPr>
        <xdr:cNvSpPr/>
      </xdr:nvSpPr>
      <xdr:spPr>
        <a:xfrm rot="10800000">
          <a:off x="95250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198</xdr:row>
      <xdr:rowOff>0</xdr:rowOff>
    </xdr:from>
    <xdr:to>
      <xdr:col>24</xdr:col>
      <xdr:colOff>83820</xdr:colOff>
      <xdr:row>198</xdr:row>
      <xdr:rowOff>114300</xdr:rowOff>
    </xdr:to>
    <xdr:sp macro="" textlink="">
      <xdr:nvSpPr>
        <xdr:cNvPr id="1489" name="Arrow: Down 1488">
          <a:extLst>
            <a:ext uri="{FF2B5EF4-FFF2-40B4-BE49-F238E27FC236}">
              <a16:creationId xmlns:a16="http://schemas.microsoft.com/office/drawing/2014/main" id="{03B39E06-B2D1-44E2-A695-42ADBC9E9004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198</xdr:row>
      <xdr:rowOff>0</xdr:rowOff>
    </xdr:from>
    <xdr:to>
      <xdr:col>60</xdr:col>
      <xdr:colOff>83820</xdr:colOff>
      <xdr:row>198</xdr:row>
      <xdr:rowOff>114300</xdr:rowOff>
    </xdr:to>
    <xdr:sp macro="" textlink="">
      <xdr:nvSpPr>
        <xdr:cNvPr id="1491" name="Arrow: Down 1490">
          <a:extLst>
            <a:ext uri="{FF2B5EF4-FFF2-40B4-BE49-F238E27FC236}">
              <a16:creationId xmlns:a16="http://schemas.microsoft.com/office/drawing/2014/main" id="{194ED048-BD44-4F5F-B242-8F298F34FCEA}"/>
            </a:ext>
          </a:extLst>
        </xdr:cNvPr>
        <xdr:cNvSpPr/>
      </xdr:nvSpPr>
      <xdr:spPr>
        <a:xfrm rot="10800000">
          <a:off x="16139160" y="3630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2" name="Arrow: Down 1491">
          <a:extLst>
            <a:ext uri="{FF2B5EF4-FFF2-40B4-BE49-F238E27FC236}">
              <a16:creationId xmlns:a16="http://schemas.microsoft.com/office/drawing/2014/main" id="{38CC6BD5-E5BC-44F2-9D7F-2A1471C0DD8F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3" name="Arrow: Down 1492">
          <a:extLst>
            <a:ext uri="{FF2B5EF4-FFF2-40B4-BE49-F238E27FC236}">
              <a16:creationId xmlns:a16="http://schemas.microsoft.com/office/drawing/2014/main" id="{F5AA5589-5547-4657-B280-1E16D8D9636D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4" name="Arrow: Down 1493">
          <a:extLst>
            <a:ext uri="{FF2B5EF4-FFF2-40B4-BE49-F238E27FC236}">
              <a16:creationId xmlns:a16="http://schemas.microsoft.com/office/drawing/2014/main" id="{F2572DF9-C536-4750-AF74-5063342570B7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5" name="Arrow: Down 1494">
          <a:extLst>
            <a:ext uri="{FF2B5EF4-FFF2-40B4-BE49-F238E27FC236}">
              <a16:creationId xmlns:a16="http://schemas.microsoft.com/office/drawing/2014/main" id="{A0AACC56-FC5E-40B4-AB87-F8C6AC90E5CC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199</xdr:row>
      <xdr:rowOff>0</xdr:rowOff>
    </xdr:from>
    <xdr:to>
      <xdr:col>39</xdr:col>
      <xdr:colOff>83820</xdr:colOff>
      <xdr:row>199</xdr:row>
      <xdr:rowOff>114300</xdr:rowOff>
    </xdr:to>
    <xdr:sp macro="" textlink="">
      <xdr:nvSpPr>
        <xdr:cNvPr id="1498" name="Arrow: Down 1497">
          <a:extLst>
            <a:ext uri="{FF2B5EF4-FFF2-40B4-BE49-F238E27FC236}">
              <a16:creationId xmlns:a16="http://schemas.microsoft.com/office/drawing/2014/main" id="{58ECD722-DE78-4B88-A626-B51EAE75D3F8}"/>
            </a:ext>
          </a:extLst>
        </xdr:cNvPr>
        <xdr:cNvSpPr/>
      </xdr:nvSpPr>
      <xdr:spPr>
        <a:xfrm rot="10800000">
          <a:off x="95250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199</xdr:row>
      <xdr:rowOff>0</xdr:rowOff>
    </xdr:from>
    <xdr:to>
      <xdr:col>24</xdr:col>
      <xdr:colOff>83820</xdr:colOff>
      <xdr:row>199</xdr:row>
      <xdr:rowOff>114300</xdr:rowOff>
    </xdr:to>
    <xdr:sp macro="" textlink="">
      <xdr:nvSpPr>
        <xdr:cNvPr id="1499" name="Arrow: Down 1498">
          <a:extLst>
            <a:ext uri="{FF2B5EF4-FFF2-40B4-BE49-F238E27FC236}">
              <a16:creationId xmlns:a16="http://schemas.microsoft.com/office/drawing/2014/main" id="{8463B461-58CF-495C-B64A-484610B64FB6}"/>
            </a:ext>
          </a:extLst>
        </xdr:cNvPr>
        <xdr:cNvSpPr/>
      </xdr:nvSpPr>
      <xdr:spPr>
        <a:xfrm>
          <a:off x="63627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199</xdr:row>
      <xdr:rowOff>0</xdr:rowOff>
    </xdr:from>
    <xdr:to>
      <xdr:col>5</xdr:col>
      <xdr:colOff>83820</xdr:colOff>
      <xdr:row>199</xdr:row>
      <xdr:rowOff>114300</xdr:rowOff>
    </xdr:to>
    <xdr:sp macro="" textlink="">
      <xdr:nvSpPr>
        <xdr:cNvPr id="1501" name="Arrow: Down 1500">
          <a:extLst>
            <a:ext uri="{FF2B5EF4-FFF2-40B4-BE49-F238E27FC236}">
              <a16:creationId xmlns:a16="http://schemas.microsoft.com/office/drawing/2014/main" id="{C2AF8F5C-464C-45C7-B111-F7677AA18C4F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199</xdr:row>
      <xdr:rowOff>0</xdr:rowOff>
    </xdr:from>
    <xdr:to>
      <xdr:col>11</xdr:col>
      <xdr:colOff>83820</xdr:colOff>
      <xdr:row>199</xdr:row>
      <xdr:rowOff>114300</xdr:rowOff>
    </xdr:to>
    <xdr:sp macro="" textlink="">
      <xdr:nvSpPr>
        <xdr:cNvPr id="1503" name="Arrow: Down 1502">
          <a:extLst>
            <a:ext uri="{FF2B5EF4-FFF2-40B4-BE49-F238E27FC236}">
              <a16:creationId xmlns:a16="http://schemas.microsoft.com/office/drawing/2014/main" id="{017DEDC8-0DA3-432F-9A6A-2EB9DD90BF76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199</xdr:row>
      <xdr:rowOff>0</xdr:rowOff>
    </xdr:from>
    <xdr:to>
      <xdr:col>60</xdr:col>
      <xdr:colOff>83820</xdr:colOff>
      <xdr:row>199</xdr:row>
      <xdr:rowOff>114300</xdr:rowOff>
    </xdr:to>
    <xdr:sp macro="" textlink="">
      <xdr:nvSpPr>
        <xdr:cNvPr id="1504" name="Arrow: Down 1503">
          <a:extLst>
            <a:ext uri="{FF2B5EF4-FFF2-40B4-BE49-F238E27FC236}">
              <a16:creationId xmlns:a16="http://schemas.microsoft.com/office/drawing/2014/main" id="{DCC554AF-5761-4E51-B049-D5F7BF094AEF}"/>
            </a:ext>
          </a:extLst>
        </xdr:cNvPr>
        <xdr:cNvSpPr/>
      </xdr:nvSpPr>
      <xdr:spPr>
        <a:xfrm>
          <a:off x="161391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5" name="Arrow: Down 1514">
          <a:extLst>
            <a:ext uri="{FF2B5EF4-FFF2-40B4-BE49-F238E27FC236}">
              <a16:creationId xmlns:a16="http://schemas.microsoft.com/office/drawing/2014/main" id="{22FA2283-DD31-4F10-8A8E-C3FCC4E6289C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6" name="Arrow: Down 1515">
          <a:extLst>
            <a:ext uri="{FF2B5EF4-FFF2-40B4-BE49-F238E27FC236}">
              <a16:creationId xmlns:a16="http://schemas.microsoft.com/office/drawing/2014/main" id="{DCB9369D-D1AD-48DF-B2AA-F5D057C78EA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7" name="Arrow: Down 1516">
          <a:extLst>
            <a:ext uri="{FF2B5EF4-FFF2-40B4-BE49-F238E27FC236}">
              <a16:creationId xmlns:a16="http://schemas.microsoft.com/office/drawing/2014/main" id="{00C2BDA2-C340-4B8C-BAF3-B8BF66F7EDB2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8" name="Arrow: Down 1517">
          <a:extLst>
            <a:ext uri="{FF2B5EF4-FFF2-40B4-BE49-F238E27FC236}">
              <a16:creationId xmlns:a16="http://schemas.microsoft.com/office/drawing/2014/main" id="{F7569B92-36ED-45A6-821C-85EB2070AC1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200</xdr:row>
      <xdr:rowOff>0</xdr:rowOff>
    </xdr:from>
    <xdr:to>
      <xdr:col>24</xdr:col>
      <xdr:colOff>83820</xdr:colOff>
      <xdr:row>200</xdr:row>
      <xdr:rowOff>114300</xdr:rowOff>
    </xdr:to>
    <xdr:sp macro="" textlink="">
      <xdr:nvSpPr>
        <xdr:cNvPr id="1520" name="Arrow: Down 1519">
          <a:extLst>
            <a:ext uri="{FF2B5EF4-FFF2-40B4-BE49-F238E27FC236}">
              <a16:creationId xmlns:a16="http://schemas.microsoft.com/office/drawing/2014/main" id="{469CD98C-25E2-4761-BB68-5B906AB89D31}"/>
            </a:ext>
          </a:extLst>
        </xdr:cNvPr>
        <xdr:cNvSpPr/>
      </xdr:nvSpPr>
      <xdr:spPr>
        <a:xfrm>
          <a:off x="63627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200</xdr:row>
      <xdr:rowOff>0</xdr:rowOff>
    </xdr:from>
    <xdr:to>
      <xdr:col>5</xdr:col>
      <xdr:colOff>83820</xdr:colOff>
      <xdr:row>200</xdr:row>
      <xdr:rowOff>114300</xdr:rowOff>
    </xdr:to>
    <xdr:sp macro="" textlink="">
      <xdr:nvSpPr>
        <xdr:cNvPr id="1521" name="Arrow: Down 1520">
          <a:extLst>
            <a:ext uri="{FF2B5EF4-FFF2-40B4-BE49-F238E27FC236}">
              <a16:creationId xmlns:a16="http://schemas.microsoft.com/office/drawing/2014/main" id="{B11B69DE-BE80-41D7-92FA-F25D02519F30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83820</xdr:colOff>
      <xdr:row>200</xdr:row>
      <xdr:rowOff>114300</xdr:rowOff>
    </xdr:to>
    <xdr:sp macro="" textlink="">
      <xdr:nvSpPr>
        <xdr:cNvPr id="1522" name="Arrow: Down 1521">
          <a:extLst>
            <a:ext uri="{FF2B5EF4-FFF2-40B4-BE49-F238E27FC236}">
              <a16:creationId xmlns:a16="http://schemas.microsoft.com/office/drawing/2014/main" id="{C30442F3-1F16-45F2-B36A-784520DBBAF9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200</xdr:row>
      <xdr:rowOff>0</xdr:rowOff>
    </xdr:from>
    <xdr:to>
      <xdr:col>39</xdr:col>
      <xdr:colOff>83820</xdr:colOff>
      <xdr:row>200</xdr:row>
      <xdr:rowOff>114300</xdr:rowOff>
    </xdr:to>
    <xdr:sp macro="" textlink="">
      <xdr:nvSpPr>
        <xdr:cNvPr id="1524" name="Arrow: Down 1523">
          <a:extLst>
            <a:ext uri="{FF2B5EF4-FFF2-40B4-BE49-F238E27FC236}">
              <a16:creationId xmlns:a16="http://schemas.microsoft.com/office/drawing/2014/main" id="{56482B25-76D2-4924-8CEB-338262AC6285}"/>
            </a:ext>
          </a:extLst>
        </xdr:cNvPr>
        <xdr:cNvSpPr/>
      </xdr:nvSpPr>
      <xdr:spPr>
        <a:xfrm>
          <a:off x="952500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200</xdr:row>
      <xdr:rowOff>0</xdr:rowOff>
    </xdr:from>
    <xdr:to>
      <xdr:col>60</xdr:col>
      <xdr:colOff>83820</xdr:colOff>
      <xdr:row>200</xdr:row>
      <xdr:rowOff>114300</xdr:rowOff>
    </xdr:to>
    <xdr:sp macro="" textlink="">
      <xdr:nvSpPr>
        <xdr:cNvPr id="1525" name="Arrow: Down 1524">
          <a:extLst>
            <a:ext uri="{FF2B5EF4-FFF2-40B4-BE49-F238E27FC236}">
              <a16:creationId xmlns:a16="http://schemas.microsoft.com/office/drawing/2014/main" id="{1A702772-5954-4734-84EF-AC7CB5432AC9}"/>
            </a:ext>
          </a:extLst>
        </xdr:cNvPr>
        <xdr:cNvSpPr/>
      </xdr:nvSpPr>
      <xdr:spPr>
        <a:xfrm rot="10800000">
          <a:off x="1613916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6" name="Arrow: Down 1525">
          <a:extLst>
            <a:ext uri="{FF2B5EF4-FFF2-40B4-BE49-F238E27FC236}">
              <a16:creationId xmlns:a16="http://schemas.microsoft.com/office/drawing/2014/main" id="{89AD4741-D139-48D2-B8D8-D17E743448FC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7" name="Arrow: Down 1526">
          <a:extLst>
            <a:ext uri="{FF2B5EF4-FFF2-40B4-BE49-F238E27FC236}">
              <a16:creationId xmlns:a16="http://schemas.microsoft.com/office/drawing/2014/main" id="{AD2B9880-0EEA-4A15-9889-E450AFBDC8FA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8" name="Arrow: Down 1527">
          <a:extLst>
            <a:ext uri="{FF2B5EF4-FFF2-40B4-BE49-F238E27FC236}">
              <a16:creationId xmlns:a16="http://schemas.microsoft.com/office/drawing/2014/main" id="{DAA8D9FB-4708-4EFC-B13E-CDE3A81468A8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9" name="Arrow: Down 1528">
          <a:extLst>
            <a:ext uri="{FF2B5EF4-FFF2-40B4-BE49-F238E27FC236}">
              <a16:creationId xmlns:a16="http://schemas.microsoft.com/office/drawing/2014/main" id="{0E421F5F-7DF7-4037-8A2C-66F0E0D77B6E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201</xdr:row>
      <xdr:rowOff>0</xdr:rowOff>
    </xdr:from>
    <xdr:to>
      <xdr:col>60</xdr:col>
      <xdr:colOff>83820</xdr:colOff>
      <xdr:row>201</xdr:row>
      <xdr:rowOff>114300</xdr:rowOff>
    </xdr:to>
    <xdr:sp macro="" textlink="">
      <xdr:nvSpPr>
        <xdr:cNvPr id="1536" name="Arrow: Down 1535">
          <a:extLst>
            <a:ext uri="{FF2B5EF4-FFF2-40B4-BE49-F238E27FC236}">
              <a16:creationId xmlns:a16="http://schemas.microsoft.com/office/drawing/2014/main" id="{EDE3D347-77DB-4C52-A165-4F20ABDC505A}"/>
            </a:ext>
          </a:extLst>
        </xdr:cNvPr>
        <xdr:cNvSpPr/>
      </xdr:nvSpPr>
      <xdr:spPr>
        <a:xfrm>
          <a:off x="1613916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201</xdr:row>
      <xdr:rowOff>0</xdr:rowOff>
    </xdr:from>
    <xdr:to>
      <xdr:col>39</xdr:col>
      <xdr:colOff>83820</xdr:colOff>
      <xdr:row>201</xdr:row>
      <xdr:rowOff>114300</xdr:rowOff>
    </xdr:to>
    <xdr:sp macro="" textlink="">
      <xdr:nvSpPr>
        <xdr:cNvPr id="1537" name="Arrow: Down 1536">
          <a:extLst>
            <a:ext uri="{FF2B5EF4-FFF2-40B4-BE49-F238E27FC236}">
              <a16:creationId xmlns:a16="http://schemas.microsoft.com/office/drawing/2014/main" id="{2EDEFE2E-B5B1-4175-8E4C-58A0B7E27AA5}"/>
            </a:ext>
          </a:extLst>
        </xdr:cNvPr>
        <xdr:cNvSpPr/>
      </xdr:nvSpPr>
      <xdr:spPr>
        <a:xfrm rot="10800000">
          <a:off x="952500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201</xdr:row>
      <xdr:rowOff>0</xdr:rowOff>
    </xdr:from>
    <xdr:to>
      <xdr:col>5</xdr:col>
      <xdr:colOff>83820</xdr:colOff>
      <xdr:row>201</xdr:row>
      <xdr:rowOff>114300</xdr:rowOff>
    </xdr:to>
    <xdr:sp macro="" textlink="">
      <xdr:nvSpPr>
        <xdr:cNvPr id="1538" name="Arrow: Down 1537">
          <a:extLst>
            <a:ext uri="{FF2B5EF4-FFF2-40B4-BE49-F238E27FC236}">
              <a16:creationId xmlns:a16="http://schemas.microsoft.com/office/drawing/2014/main" id="{F8452C6D-53CA-451C-8779-C4B075E46D22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201</xdr:row>
      <xdr:rowOff>0</xdr:rowOff>
    </xdr:from>
    <xdr:to>
      <xdr:col>11</xdr:col>
      <xdr:colOff>83820</xdr:colOff>
      <xdr:row>201</xdr:row>
      <xdr:rowOff>114300</xdr:rowOff>
    </xdr:to>
    <xdr:sp macro="" textlink="">
      <xdr:nvSpPr>
        <xdr:cNvPr id="1540" name="Arrow: Down 1539">
          <a:extLst>
            <a:ext uri="{FF2B5EF4-FFF2-40B4-BE49-F238E27FC236}">
              <a16:creationId xmlns:a16="http://schemas.microsoft.com/office/drawing/2014/main" id="{FCACC174-5CE5-47B6-9790-544EDD9D7A98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201</xdr:row>
      <xdr:rowOff>0</xdr:rowOff>
    </xdr:from>
    <xdr:to>
      <xdr:col>24</xdr:col>
      <xdr:colOff>83820</xdr:colOff>
      <xdr:row>201</xdr:row>
      <xdr:rowOff>114300</xdr:rowOff>
    </xdr:to>
    <xdr:sp macro="" textlink="">
      <xdr:nvSpPr>
        <xdr:cNvPr id="1542" name="Arrow: Down 1541">
          <a:extLst>
            <a:ext uri="{FF2B5EF4-FFF2-40B4-BE49-F238E27FC236}">
              <a16:creationId xmlns:a16="http://schemas.microsoft.com/office/drawing/2014/main" id="{80F06599-0A17-4B7D-B31E-7237DFCA1389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3" name="Arrow: Down 1542">
          <a:extLst>
            <a:ext uri="{FF2B5EF4-FFF2-40B4-BE49-F238E27FC236}">
              <a16:creationId xmlns:a16="http://schemas.microsoft.com/office/drawing/2014/main" id="{754B9A8C-4250-42A9-9BA1-7CB403463399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4" name="Arrow: Down 1543">
          <a:extLst>
            <a:ext uri="{FF2B5EF4-FFF2-40B4-BE49-F238E27FC236}">
              <a16:creationId xmlns:a16="http://schemas.microsoft.com/office/drawing/2014/main" id="{96487D1D-DC44-4BEB-805E-353986E454A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5" name="Arrow: Down 1544">
          <a:extLst>
            <a:ext uri="{FF2B5EF4-FFF2-40B4-BE49-F238E27FC236}">
              <a16:creationId xmlns:a16="http://schemas.microsoft.com/office/drawing/2014/main" id="{331B3736-3005-4EC0-BE54-B5C6D2510B25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6" name="Arrow: Down 1545">
          <a:extLst>
            <a:ext uri="{FF2B5EF4-FFF2-40B4-BE49-F238E27FC236}">
              <a16:creationId xmlns:a16="http://schemas.microsoft.com/office/drawing/2014/main" id="{D84702AD-2EE7-49D2-933D-30C54438BF3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202</xdr:row>
      <xdr:rowOff>0</xdr:rowOff>
    </xdr:from>
    <xdr:to>
      <xdr:col>5</xdr:col>
      <xdr:colOff>83820</xdr:colOff>
      <xdr:row>202</xdr:row>
      <xdr:rowOff>114300</xdr:rowOff>
    </xdr:to>
    <xdr:sp macro="" textlink="">
      <xdr:nvSpPr>
        <xdr:cNvPr id="1549" name="Arrow: Down 1548">
          <a:extLst>
            <a:ext uri="{FF2B5EF4-FFF2-40B4-BE49-F238E27FC236}">
              <a16:creationId xmlns:a16="http://schemas.microsoft.com/office/drawing/2014/main" id="{964E831A-E9AF-4D50-9E90-05AC043CF507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202</xdr:row>
      <xdr:rowOff>0</xdr:rowOff>
    </xdr:from>
    <xdr:to>
      <xdr:col>11</xdr:col>
      <xdr:colOff>83820</xdr:colOff>
      <xdr:row>202</xdr:row>
      <xdr:rowOff>114300</xdr:rowOff>
    </xdr:to>
    <xdr:sp macro="" textlink="">
      <xdr:nvSpPr>
        <xdr:cNvPr id="1550" name="Arrow: Down 1549">
          <a:extLst>
            <a:ext uri="{FF2B5EF4-FFF2-40B4-BE49-F238E27FC236}">
              <a16:creationId xmlns:a16="http://schemas.microsoft.com/office/drawing/2014/main" id="{6A85FA02-9598-48C1-BAC6-DB1D4C6F3AEA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202</xdr:row>
      <xdr:rowOff>0</xdr:rowOff>
    </xdr:from>
    <xdr:to>
      <xdr:col>24</xdr:col>
      <xdr:colOff>83820</xdr:colOff>
      <xdr:row>202</xdr:row>
      <xdr:rowOff>114300</xdr:rowOff>
    </xdr:to>
    <xdr:sp macro="" textlink="">
      <xdr:nvSpPr>
        <xdr:cNvPr id="1551" name="Arrow: Down 1550">
          <a:extLst>
            <a:ext uri="{FF2B5EF4-FFF2-40B4-BE49-F238E27FC236}">
              <a16:creationId xmlns:a16="http://schemas.microsoft.com/office/drawing/2014/main" id="{499FA77D-F975-442E-8986-0537AFF744FF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202</xdr:row>
      <xdr:rowOff>0</xdr:rowOff>
    </xdr:from>
    <xdr:to>
      <xdr:col>39</xdr:col>
      <xdr:colOff>83820</xdr:colOff>
      <xdr:row>202</xdr:row>
      <xdr:rowOff>114300</xdr:rowOff>
    </xdr:to>
    <xdr:sp macro="" textlink="">
      <xdr:nvSpPr>
        <xdr:cNvPr id="1552" name="Arrow: Down 1551">
          <a:extLst>
            <a:ext uri="{FF2B5EF4-FFF2-40B4-BE49-F238E27FC236}">
              <a16:creationId xmlns:a16="http://schemas.microsoft.com/office/drawing/2014/main" id="{4B1F74AB-D170-4153-B4B6-409400BDADA7}"/>
            </a:ext>
          </a:extLst>
        </xdr:cNvPr>
        <xdr:cNvSpPr/>
      </xdr:nvSpPr>
      <xdr:spPr>
        <a:xfrm>
          <a:off x="1184910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202</xdr:row>
      <xdr:rowOff>0</xdr:rowOff>
    </xdr:from>
    <xdr:to>
      <xdr:col>60</xdr:col>
      <xdr:colOff>83820</xdr:colOff>
      <xdr:row>202</xdr:row>
      <xdr:rowOff>114300</xdr:rowOff>
    </xdr:to>
    <xdr:sp macro="" textlink="">
      <xdr:nvSpPr>
        <xdr:cNvPr id="1554" name="Arrow: Down 1553">
          <a:extLst>
            <a:ext uri="{FF2B5EF4-FFF2-40B4-BE49-F238E27FC236}">
              <a16:creationId xmlns:a16="http://schemas.microsoft.com/office/drawing/2014/main" id="{46E65A08-6741-461F-B5E8-B8E10A754CA7}"/>
            </a:ext>
          </a:extLst>
        </xdr:cNvPr>
        <xdr:cNvSpPr/>
      </xdr:nvSpPr>
      <xdr:spPr>
        <a:xfrm rot="10800000">
          <a:off x="1846326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203</xdr:row>
      <xdr:rowOff>0</xdr:rowOff>
    </xdr:from>
    <xdr:to>
      <xdr:col>71</xdr:col>
      <xdr:colOff>83820</xdr:colOff>
      <xdr:row>203</xdr:row>
      <xdr:rowOff>114300</xdr:rowOff>
    </xdr:to>
    <xdr:sp macro="" textlink="">
      <xdr:nvSpPr>
        <xdr:cNvPr id="1565" name="Arrow: Down 1564">
          <a:extLst>
            <a:ext uri="{FF2B5EF4-FFF2-40B4-BE49-F238E27FC236}">
              <a16:creationId xmlns:a16="http://schemas.microsoft.com/office/drawing/2014/main" id="{71B4D63D-4780-4AD6-BA21-3B67936DD1E6}"/>
            </a:ext>
          </a:extLst>
        </xdr:cNvPr>
        <xdr:cNvSpPr/>
      </xdr:nvSpPr>
      <xdr:spPr>
        <a:xfrm>
          <a:off x="207797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203</xdr:row>
      <xdr:rowOff>0</xdr:rowOff>
    </xdr:from>
    <xdr:to>
      <xdr:col>45</xdr:col>
      <xdr:colOff>83820</xdr:colOff>
      <xdr:row>203</xdr:row>
      <xdr:rowOff>114300</xdr:rowOff>
    </xdr:to>
    <xdr:sp macro="" textlink="">
      <xdr:nvSpPr>
        <xdr:cNvPr id="1566" name="Arrow: Down 1565">
          <a:extLst>
            <a:ext uri="{FF2B5EF4-FFF2-40B4-BE49-F238E27FC236}">
              <a16:creationId xmlns:a16="http://schemas.microsoft.com/office/drawing/2014/main" id="{74E28FD7-418A-4E31-BD6F-230DE013B4D8}"/>
            </a:ext>
          </a:extLst>
        </xdr:cNvPr>
        <xdr:cNvSpPr/>
      </xdr:nvSpPr>
      <xdr:spPr>
        <a:xfrm rot="10800000">
          <a:off x="136550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203</xdr:row>
      <xdr:rowOff>0</xdr:rowOff>
    </xdr:from>
    <xdr:to>
      <xdr:col>71</xdr:col>
      <xdr:colOff>83820</xdr:colOff>
      <xdr:row>203</xdr:row>
      <xdr:rowOff>114300</xdr:rowOff>
    </xdr:to>
    <xdr:sp macro="" textlink="">
      <xdr:nvSpPr>
        <xdr:cNvPr id="1567" name="Arrow: Down 1566">
          <a:extLst>
            <a:ext uri="{FF2B5EF4-FFF2-40B4-BE49-F238E27FC236}">
              <a16:creationId xmlns:a16="http://schemas.microsoft.com/office/drawing/2014/main" id="{91DB2CD2-1294-462C-9E1B-F463F689FDD3}"/>
            </a:ext>
          </a:extLst>
        </xdr:cNvPr>
        <xdr:cNvSpPr/>
      </xdr:nvSpPr>
      <xdr:spPr>
        <a:xfrm>
          <a:off x="207797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203</xdr:row>
      <xdr:rowOff>0</xdr:rowOff>
    </xdr:from>
    <xdr:to>
      <xdr:col>45</xdr:col>
      <xdr:colOff>83820</xdr:colOff>
      <xdr:row>203</xdr:row>
      <xdr:rowOff>114300</xdr:rowOff>
    </xdr:to>
    <xdr:sp macro="" textlink="">
      <xdr:nvSpPr>
        <xdr:cNvPr id="1568" name="Arrow: Down 1567">
          <a:extLst>
            <a:ext uri="{FF2B5EF4-FFF2-40B4-BE49-F238E27FC236}">
              <a16:creationId xmlns:a16="http://schemas.microsoft.com/office/drawing/2014/main" id="{87F4672A-AC6A-41C8-A655-85337C5CEEC2}"/>
            </a:ext>
          </a:extLst>
        </xdr:cNvPr>
        <xdr:cNvSpPr/>
      </xdr:nvSpPr>
      <xdr:spPr>
        <a:xfrm rot="10800000">
          <a:off x="136550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203</xdr:row>
      <xdr:rowOff>0</xdr:rowOff>
    </xdr:from>
    <xdr:to>
      <xdr:col>5</xdr:col>
      <xdr:colOff>83820</xdr:colOff>
      <xdr:row>203</xdr:row>
      <xdr:rowOff>114300</xdr:rowOff>
    </xdr:to>
    <xdr:sp macro="" textlink="">
      <xdr:nvSpPr>
        <xdr:cNvPr id="1411" name="Arrow: Down 1410">
          <a:extLst>
            <a:ext uri="{FF2B5EF4-FFF2-40B4-BE49-F238E27FC236}">
              <a16:creationId xmlns:a16="http://schemas.microsoft.com/office/drawing/2014/main" id="{4C192A43-192C-402E-99F7-8D14D9B05FE8}"/>
            </a:ext>
          </a:extLst>
        </xdr:cNvPr>
        <xdr:cNvSpPr/>
      </xdr:nvSpPr>
      <xdr:spPr>
        <a:xfrm>
          <a:off x="192786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83820</xdr:colOff>
      <xdr:row>203</xdr:row>
      <xdr:rowOff>114300</xdr:rowOff>
    </xdr:to>
    <xdr:sp macro="" textlink="">
      <xdr:nvSpPr>
        <xdr:cNvPr id="1412" name="Arrow: Down 1411">
          <a:extLst>
            <a:ext uri="{FF2B5EF4-FFF2-40B4-BE49-F238E27FC236}">
              <a16:creationId xmlns:a16="http://schemas.microsoft.com/office/drawing/2014/main" id="{00ED1DCC-9F69-4D1B-AFA5-21B7AC2D3D77}"/>
            </a:ext>
          </a:extLst>
        </xdr:cNvPr>
        <xdr:cNvSpPr/>
      </xdr:nvSpPr>
      <xdr:spPr>
        <a:xfrm>
          <a:off x="36195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203</xdr:row>
      <xdr:rowOff>0</xdr:rowOff>
    </xdr:from>
    <xdr:to>
      <xdr:col>24</xdr:col>
      <xdr:colOff>83820</xdr:colOff>
      <xdr:row>203</xdr:row>
      <xdr:rowOff>114300</xdr:rowOff>
    </xdr:to>
    <xdr:sp macro="" textlink="">
      <xdr:nvSpPr>
        <xdr:cNvPr id="1414" name="Arrow: Down 1413">
          <a:extLst>
            <a:ext uri="{FF2B5EF4-FFF2-40B4-BE49-F238E27FC236}">
              <a16:creationId xmlns:a16="http://schemas.microsoft.com/office/drawing/2014/main" id="{84F9A811-1470-4637-B720-CB496DAC9679}"/>
            </a:ext>
          </a:extLst>
        </xdr:cNvPr>
        <xdr:cNvSpPr/>
      </xdr:nvSpPr>
      <xdr:spPr>
        <a:xfrm>
          <a:off x="63627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203</xdr:row>
      <xdr:rowOff>0</xdr:rowOff>
    </xdr:from>
    <xdr:to>
      <xdr:col>60</xdr:col>
      <xdr:colOff>83820</xdr:colOff>
      <xdr:row>203</xdr:row>
      <xdr:rowOff>114300</xdr:rowOff>
    </xdr:to>
    <xdr:sp macro="" textlink="">
      <xdr:nvSpPr>
        <xdr:cNvPr id="1447" name="Arrow: Down 1446">
          <a:extLst>
            <a:ext uri="{FF2B5EF4-FFF2-40B4-BE49-F238E27FC236}">
              <a16:creationId xmlns:a16="http://schemas.microsoft.com/office/drawing/2014/main" id="{B8F8E0FF-D511-4059-B9B6-DD742BA6D102}"/>
            </a:ext>
          </a:extLst>
        </xdr:cNvPr>
        <xdr:cNvSpPr/>
      </xdr:nvSpPr>
      <xdr:spPr>
        <a:xfrm>
          <a:off x="1613916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204</xdr:row>
      <xdr:rowOff>0</xdr:rowOff>
    </xdr:from>
    <xdr:to>
      <xdr:col>71</xdr:col>
      <xdr:colOff>83820</xdr:colOff>
      <xdr:row>204</xdr:row>
      <xdr:rowOff>114300</xdr:rowOff>
    </xdr:to>
    <xdr:sp macro="" textlink="">
      <xdr:nvSpPr>
        <xdr:cNvPr id="1497" name="Arrow: Down 1496">
          <a:extLst>
            <a:ext uri="{FF2B5EF4-FFF2-40B4-BE49-F238E27FC236}">
              <a16:creationId xmlns:a16="http://schemas.microsoft.com/office/drawing/2014/main" id="{B4CAE8A5-7718-4CBD-B11D-3AC2E3FB1ED7}"/>
            </a:ext>
          </a:extLst>
        </xdr:cNvPr>
        <xdr:cNvSpPr/>
      </xdr:nvSpPr>
      <xdr:spPr>
        <a:xfrm>
          <a:off x="184556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204</xdr:row>
      <xdr:rowOff>0</xdr:rowOff>
    </xdr:from>
    <xdr:to>
      <xdr:col>45</xdr:col>
      <xdr:colOff>83820</xdr:colOff>
      <xdr:row>204</xdr:row>
      <xdr:rowOff>114300</xdr:rowOff>
    </xdr:to>
    <xdr:sp macro="" textlink="">
      <xdr:nvSpPr>
        <xdr:cNvPr id="1500" name="Arrow: Down 1499">
          <a:extLst>
            <a:ext uri="{FF2B5EF4-FFF2-40B4-BE49-F238E27FC236}">
              <a16:creationId xmlns:a16="http://schemas.microsoft.com/office/drawing/2014/main" id="{3B7356DF-94FA-484D-855C-DD7A0ED666C5}"/>
            </a:ext>
          </a:extLst>
        </xdr:cNvPr>
        <xdr:cNvSpPr/>
      </xdr:nvSpPr>
      <xdr:spPr>
        <a:xfrm rot="10800000">
          <a:off x="113309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204</xdr:row>
      <xdr:rowOff>0</xdr:rowOff>
    </xdr:from>
    <xdr:to>
      <xdr:col>71</xdr:col>
      <xdr:colOff>83820</xdr:colOff>
      <xdr:row>204</xdr:row>
      <xdr:rowOff>114300</xdr:rowOff>
    </xdr:to>
    <xdr:sp macro="" textlink="">
      <xdr:nvSpPr>
        <xdr:cNvPr id="1502" name="Arrow: Down 1501">
          <a:extLst>
            <a:ext uri="{FF2B5EF4-FFF2-40B4-BE49-F238E27FC236}">
              <a16:creationId xmlns:a16="http://schemas.microsoft.com/office/drawing/2014/main" id="{F75A4B36-98E9-4153-BFDC-F7C68CCA64D7}"/>
            </a:ext>
          </a:extLst>
        </xdr:cNvPr>
        <xdr:cNvSpPr/>
      </xdr:nvSpPr>
      <xdr:spPr>
        <a:xfrm>
          <a:off x="184556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204</xdr:row>
      <xdr:rowOff>0</xdr:rowOff>
    </xdr:from>
    <xdr:to>
      <xdr:col>45</xdr:col>
      <xdr:colOff>83820</xdr:colOff>
      <xdr:row>204</xdr:row>
      <xdr:rowOff>114300</xdr:rowOff>
    </xdr:to>
    <xdr:sp macro="" textlink="">
      <xdr:nvSpPr>
        <xdr:cNvPr id="1505" name="Arrow: Down 1504">
          <a:extLst>
            <a:ext uri="{FF2B5EF4-FFF2-40B4-BE49-F238E27FC236}">
              <a16:creationId xmlns:a16="http://schemas.microsoft.com/office/drawing/2014/main" id="{53CEC494-0057-404D-A88D-5880E901BC25}"/>
            </a:ext>
          </a:extLst>
        </xdr:cNvPr>
        <xdr:cNvSpPr/>
      </xdr:nvSpPr>
      <xdr:spPr>
        <a:xfrm rot="10800000">
          <a:off x="113309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204</xdr:row>
      <xdr:rowOff>0</xdr:rowOff>
    </xdr:from>
    <xdr:to>
      <xdr:col>24</xdr:col>
      <xdr:colOff>83820</xdr:colOff>
      <xdr:row>204</xdr:row>
      <xdr:rowOff>114300</xdr:rowOff>
    </xdr:to>
    <xdr:sp macro="" textlink="">
      <xdr:nvSpPr>
        <xdr:cNvPr id="1508" name="Arrow: Down 1507">
          <a:extLst>
            <a:ext uri="{FF2B5EF4-FFF2-40B4-BE49-F238E27FC236}">
              <a16:creationId xmlns:a16="http://schemas.microsoft.com/office/drawing/2014/main" id="{961B3582-8391-45CB-8AE6-3EA4AE43EF0B}"/>
            </a:ext>
          </a:extLst>
        </xdr:cNvPr>
        <xdr:cNvSpPr/>
      </xdr:nvSpPr>
      <xdr:spPr>
        <a:xfrm>
          <a:off x="63627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204</xdr:row>
      <xdr:rowOff>0</xdr:rowOff>
    </xdr:from>
    <xdr:to>
      <xdr:col>11</xdr:col>
      <xdr:colOff>83820</xdr:colOff>
      <xdr:row>204</xdr:row>
      <xdr:rowOff>114300</xdr:rowOff>
    </xdr:to>
    <xdr:sp macro="" textlink="">
      <xdr:nvSpPr>
        <xdr:cNvPr id="1511" name="Arrow: Down 1510">
          <a:extLst>
            <a:ext uri="{FF2B5EF4-FFF2-40B4-BE49-F238E27FC236}">
              <a16:creationId xmlns:a16="http://schemas.microsoft.com/office/drawing/2014/main" id="{E65AAB5B-65B9-452B-B5BB-61874EFC7766}"/>
            </a:ext>
          </a:extLst>
        </xdr:cNvPr>
        <xdr:cNvSpPr/>
      </xdr:nvSpPr>
      <xdr:spPr>
        <a:xfrm rot="10800000">
          <a:off x="36195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204</xdr:row>
      <xdr:rowOff>0</xdr:rowOff>
    </xdr:from>
    <xdr:to>
      <xdr:col>5</xdr:col>
      <xdr:colOff>83820</xdr:colOff>
      <xdr:row>204</xdr:row>
      <xdr:rowOff>114300</xdr:rowOff>
    </xdr:to>
    <xdr:sp macro="" textlink="">
      <xdr:nvSpPr>
        <xdr:cNvPr id="1512" name="Arrow: Down 1511">
          <a:extLst>
            <a:ext uri="{FF2B5EF4-FFF2-40B4-BE49-F238E27FC236}">
              <a16:creationId xmlns:a16="http://schemas.microsoft.com/office/drawing/2014/main" id="{D9BBF3AE-659B-465D-AE76-2A8599373A02}"/>
            </a:ext>
          </a:extLst>
        </xdr:cNvPr>
        <xdr:cNvSpPr/>
      </xdr:nvSpPr>
      <xdr:spPr>
        <a:xfrm rot="10800000">
          <a:off x="19278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204</xdr:row>
      <xdr:rowOff>0</xdr:rowOff>
    </xdr:from>
    <xdr:to>
      <xdr:col>60</xdr:col>
      <xdr:colOff>83820</xdr:colOff>
      <xdr:row>204</xdr:row>
      <xdr:rowOff>114300</xdr:rowOff>
    </xdr:to>
    <xdr:sp macro="" textlink="">
      <xdr:nvSpPr>
        <xdr:cNvPr id="1514" name="Arrow: Down 1513">
          <a:extLst>
            <a:ext uri="{FF2B5EF4-FFF2-40B4-BE49-F238E27FC236}">
              <a16:creationId xmlns:a16="http://schemas.microsoft.com/office/drawing/2014/main" id="{B45A744B-BA33-4F16-97FD-90BDB036A6D9}"/>
            </a:ext>
          </a:extLst>
        </xdr:cNvPr>
        <xdr:cNvSpPr/>
      </xdr:nvSpPr>
      <xdr:spPr>
        <a:xfrm rot="10800000">
          <a:off x="161391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204</xdr:row>
      <xdr:rowOff>0</xdr:rowOff>
    </xdr:from>
    <xdr:to>
      <xdr:col>39</xdr:col>
      <xdr:colOff>83820</xdr:colOff>
      <xdr:row>204</xdr:row>
      <xdr:rowOff>114300</xdr:rowOff>
    </xdr:to>
    <xdr:sp macro="" textlink="">
      <xdr:nvSpPr>
        <xdr:cNvPr id="1519" name="Arrow: Down 1518">
          <a:extLst>
            <a:ext uri="{FF2B5EF4-FFF2-40B4-BE49-F238E27FC236}">
              <a16:creationId xmlns:a16="http://schemas.microsoft.com/office/drawing/2014/main" id="{D1E432FE-06E6-4BFD-9B0B-BE7DAA052B4E}"/>
            </a:ext>
          </a:extLst>
        </xdr:cNvPr>
        <xdr:cNvSpPr/>
      </xdr:nvSpPr>
      <xdr:spPr>
        <a:xfrm>
          <a:off x="95250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205</xdr:row>
      <xdr:rowOff>0</xdr:rowOff>
    </xdr:from>
    <xdr:to>
      <xdr:col>71</xdr:col>
      <xdr:colOff>83820</xdr:colOff>
      <xdr:row>205</xdr:row>
      <xdr:rowOff>114300</xdr:rowOff>
    </xdr:to>
    <xdr:sp macro="" textlink="">
      <xdr:nvSpPr>
        <xdr:cNvPr id="1523" name="Arrow: Down 1522">
          <a:extLst>
            <a:ext uri="{FF2B5EF4-FFF2-40B4-BE49-F238E27FC236}">
              <a16:creationId xmlns:a16="http://schemas.microsoft.com/office/drawing/2014/main" id="{F895504C-86F0-4983-B34C-A4FCE30CCE00}"/>
            </a:ext>
          </a:extLst>
        </xdr:cNvPr>
        <xdr:cNvSpPr/>
      </xdr:nvSpPr>
      <xdr:spPr>
        <a:xfrm>
          <a:off x="184556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205</xdr:row>
      <xdr:rowOff>0</xdr:rowOff>
    </xdr:from>
    <xdr:to>
      <xdr:col>45</xdr:col>
      <xdr:colOff>83820</xdr:colOff>
      <xdr:row>205</xdr:row>
      <xdr:rowOff>114300</xdr:rowOff>
    </xdr:to>
    <xdr:sp macro="" textlink="">
      <xdr:nvSpPr>
        <xdr:cNvPr id="1530" name="Arrow: Down 1529">
          <a:extLst>
            <a:ext uri="{FF2B5EF4-FFF2-40B4-BE49-F238E27FC236}">
              <a16:creationId xmlns:a16="http://schemas.microsoft.com/office/drawing/2014/main" id="{006D58BA-6DD6-4EF1-8D77-10F65528DC22}"/>
            </a:ext>
          </a:extLst>
        </xdr:cNvPr>
        <xdr:cNvSpPr/>
      </xdr:nvSpPr>
      <xdr:spPr>
        <a:xfrm rot="10800000">
          <a:off x="113309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205</xdr:row>
      <xdr:rowOff>0</xdr:rowOff>
    </xdr:from>
    <xdr:to>
      <xdr:col>71</xdr:col>
      <xdr:colOff>83820</xdr:colOff>
      <xdr:row>205</xdr:row>
      <xdr:rowOff>114300</xdr:rowOff>
    </xdr:to>
    <xdr:sp macro="" textlink="">
      <xdr:nvSpPr>
        <xdr:cNvPr id="1531" name="Arrow: Down 1530">
          <a:extLst>
            <a:ext uri="{FF2B5EF4-FFF2-40B4-BE49-F238E27FC236}">
              <a16:creationId xmlns:a16="http://schemas.microsoft.com/office/drawing/2014/main" id="{8E69E520-80C7-440D-B5DB-AD47585E3D8A}"/>
            </a:ext>
          </a:extLst>
        </xdr:cNvPr>
        <xdr:cNvSpPr/>
      </xdr:nvSpPr>
      <xdr:spPr>
        <a:xfrm>
          <a:off x="184556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205</xdr:row>
      <xdr:rowOff>0</xdr:rowOff>
    </xdr:from>
    <xdr:to>
      <xdr:col>45</xdr:col>
      <xdr:colOff>83820</xdr:colOff>
      <xdr:row>205</xdr:row>
      <xdr:rowOff>114300</xdr:rowOff>
    </xdr:to>
    <xdr:sp macro="" textlink="">
      <xdr:nvSpPr>
        <xdr:cNvPr id="1532" name="Arrow: Down 1531">
          <a:extLst>
            <a:ext uri="{FF2B5EF4-FFF2-40B4-BE49-F238E27FC236}">
              <a16:creationId xmlns:a16="http://schemas.microsoft.com/office/drawing/2014/main" id="{930E46C0-3436-40F6-8F29-030261364EF5}"/>
            </a:ext>
          </a:extLst>
        </xdr:cNvPr>
        <xdr:cNvSpPr/>
      </xdr:nvSpPr>
      <xdr:spPr>
        <a:xfrm rot="10800000">
          <a:off x="113309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205</xdr:row>
      <xdr:rowOff>0</xdr:rowOff>
    </xdr:from>
    <xdr:to>
      <xdr:col>24</xdr:col>
      <xdr:colOff>83820</xdr:colOff>
      <xdr:row>205</xdr:row>
      <xdr:rowOff>114300</xdr:rowOff>
    </xdr:to>
    <xdr:sp macro="" textlink="">
      <xdr:nvSpPr>
        <xdr:cNvPr id="1533" name="Arrow: Down 1532">
          <a:extLst>
            <a:ext uri="{FF2B5EF4-FFF2-40B4-BE49-F238E27FC236}">
              <a16:creationId xmlns:a16="http://schemas.microsoft.com/office/drawing/2014/main" id="{B1030B3F-6CE2-4DFD-AC55-F901E6AEB2A6}"/>
            </a:ext>
          </a:extLst>
        </xdr:cNvPr>
        <xdr:cNvSpPr/>
      </xdr:nvSpPr>
      <xdr:spPr>
        <a:xfrm>
          <a:off x="636270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205</xdr:row>
      <xdr:rowOff>0</xdr:rowOff>
    </xdr:from>
    <xdr:to>
      <xdr:col>11</xdr:col>
      <xdr:colOff>83820</xdr:colOff>
      <xdr:row>205</xdr:row>
      <xdr:rowOff>114300</xdr:rowOff>
    </xdr:to>
    <xdr:sp macro="" textlink="">
      <xdr:nvSpPr>
        <xdr:cNvPr id="1534" name="Arrow: Down 1533">
          <a:extLst>
            <a:ext uri="{FF2B5EF4-FFF2-40B4-BE49-F238E27FC236}">
              <a16:creationId xmlns:a16="http://schemas.microsoft.com/office/drawing/2014/main" id="{EE71379C-D34E-47C8-A84A-9C444F67D519}"/>
            </a:ext>
          </a:extLst>
        </xdr:cNvPr>
        <xdr:cNvSpPr/>
      </xdr:nvSpPr>
      <xdr:spPr>
        <a:xfrm rot="10800000">
          <a:off x="36195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205</xdr:row>
      <xdr:rowOff>0</xdr:rowOff>
    </xdr:from>
    <xdr:to>
      <xdr:col>5</xdr:col>
      <xdr:colOff>83820</xdr:colOff>
      <xdr:row>205</xdr:row>
      <xdr:rowOff>114300</xdr:rowOff>
    </xdr:to>
    <xdr:sp macro="" textlink="">
      <xdr:nvSpPr>
        <xdr:cNvPr id="1535" name="Arrow: Down 1534">
          <a:extLst>
            <a:ext uri="{FF2B5EF4-FFF2-40B4-BE49-F238E27FC236}">
              <a16:creationId xmlns:a16="http://schemas.microsoft.com/office/drawing/2014/main" id="{3A5CE941-C353-4E9C-955B-E705C0D11E42}"/>
            </a:ext>
          </a:extLst>
        </xdr:cNvPr>
        <xdr:cNvSpPr/>
      </xdr:nvSpPr>
      <xdr:spPr>
        <a:xfrm rot="10800000">
          <a:off x="19278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205</xdr:row>
      <xdr:rowOff>0</xdr:rowOff>
    </xdr:from>
    <xdr:to>
      <xdr:col>60</xdr:col>
      <xdr:colOff>83820</xdr:colOff>
      <xdr:row>205</xdr:row>
      <xdr:rowOff>114300</xdr:rowOff>
    </xdr:to>
    <xdr:sp macro="" textlink="">
      <xdr:nvSpPr>
        <xdr:cNvPr id="1553" name="Arrow: Down 1552">
          <a:extLst>
            <a:ext uri="{FF2B5EF4-FFF2-40B4-BE49-F238E27FC236}">
              <a16:creationId xmlns:a16="http://schemas.microsoft.com/office/drawing/2014/main" id="{118E539B-0AC7-4FC2-A601-D7534CD953E3}"/>
            </a:ext>
          </a:extLst>
        </xdr:cNvPr>
        <xdr:cNvSpPr/>
      </xdr:nvSpPr>
      <xdr:spPr>
        <a:xfrm>
          <a:off x="1613916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206</xdr:row>
      <xdr:rowOff>0</xdr:rowOff>
    </xdr:from>
    <xdr:to>
      <xdr:col>71</xdr:col>
      <xdr:colOff>83820</xdr:colOff>
      <xdr:row>206</xdr:row>
      <xdr:rowOff>114300</xdr:rowOff>
    </xdr:to>
    <xdr:sp macro="" textlink="">
      <xdr:nvSpPr>
        <xdr:cNvPr id="1564" name="Arrow: Down 1563">
          <a:extLst>
            <a:ext uri="{FF2B5EF4-FFF2-40B4-BE49-F238E27FC236}">
              <a16:creationId xmlns:a16="http://schemas.microsoft.com/office/drawing/2014/main" id="{BF49C1B5-7257-4433-8CC7-0C96DAD34C12}"/>
            </a:ext>
          </a:extLst>
        </xdr:cNvPr>
        <xdr:cNvSpPr/>
      </xdr:nvSpPr>
      <xdr:spPr>
        <a:xfrm>
          <a:off x="184556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206</xdr:row>
      <xdr:rowOff>0</xdr:rowOff>
    </xdr:from>
    <xdr:to>
      <xdr:col>45</xdr:col>
      <xdr:colOff>83820</xdr:colOff>
      <xdr:row>206</xdr:row>
      <xdr:rowOff>114300</xdr:rowOff>
    </xdr:to>
    <xdr:sp macro="" textlink="">
      <xdr:nvSpPr>
        <xdr:cNvPr id="1574" name="Arrow: Down 1573">
          <a:extLst>
            <a:ext uri="{FF2B5EF4-FFF2-40B4-BE49-F238E27FC236}">
              <a16:creationId xmlns:a16="http://schemas.microsoft.com/office/drawing/2014/main" id="{0639FC7D-6A52-47FC-9AB7-F006B5EE982E}"/>
            </a:ext>
          </a:extLst>
        </xdr:cNvPr>
        <xdr:cNvSpPr/>
      </xdr:nvSpPr>
      <xdr:spPr>
        <a:xfrm rot="10800000">
          <a:off x="113309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206</xdr:row>
      <xdr:rowOff>0</xdr:rowOff>
    </xdr:from>
    <xdr:to>
      <xdr:col>71</xdr:col>
      <xdr:colOff>83820</xdr:colOff>
      <xdr:row>206</xdr:row>
      <xdr:rowOff>114300</xdr:rowOff>
    </xdr:to>
    <xdr:sp macro="" textlink="">
      <xdr:nvSpPr>
        <xdr:cNvPr id="1575" name="Arrow: Down 1574">
          <a:extLst>
            <a:ext uri="{FF2B5EF4-FFF2-40B4-BE49-F238E27FC236}">
              <a16:creationId xmlns:a16="http://schemas.microsoft.com/office/drawing/2014/main" id="{134E5F0C-502A-45EC-AE23-B64CE8C74DAC}"/>
            </a:ext>
          </a:extLst>
        </xdr:cNvPr>
        <xdr:cNvSpPr/>
      </xdr:nvSpPr>
      <xdr:spPr>
        <a:xfrm>
          <a:off x="184556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206</xdr:row>
      <xdr:rowOff>0</xdr:rowOff>
    </xdr:from>
    <xdr:to>
      <xdr:col>45</xdr:col>
      <xdr:colOff>83820</xdr:colOff>
      <xdr:row>206</xdr:row>
      <xdr:rowOff>114300</xdr:rowOff>
    </xdr:to>
    <xdr:sp macro="" textlink="">
      <xdr:nvSpPr>
        <xdr:cNvPr id="1576" name="Arrow: Down 1575">
          <a:extLst>
            <a:ext uri="{FF2B5EF4-FFF2-40B4-BE49-F238E27FC236}">
              <a16:creationId xmlns:a16="http://schemas.microsoft.com/office/drawing/2014/main" id="{5C3BECFC-B8DC-4503-AA4B-60DD2FACFA22}"/>
            </a:ext>
          </a:extLst>
        </xdr:cNvPr>
        <xdr:cNvSpPr/>
      </xdr:nvSpPr>
      <xdr:spPr>
        <a:xfrm rot="10800000">
          <a:off x="113309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206</xdr:row>
      <xdr:rowOff>0</xdr:rowOff>
    </xdr:from>
    <xdr:to>
      <xdr:col>24</xdr:col>
      <xdr:colOff>83820</xdr:colOff>
      <xdr:row>206</xdr:row>
      <xdr:rowOff>114300</xdr:rowOff>
    </xdr:to>
    <xdr:sp macro="" textlink="">
      <xdr:nvSpPr>
        <xdr:cNvPr id="1577" name="Arrow: Down 1576">
          <a:extLst>
            <a:ext uri="{FF2B5EF4-FFF2-40B4-BE49-F238E27FC236}">
              <a16:creationId xmlns:a16="http://schemas.microsoft.com/office/drawing/2014/main" id="{634DDD09-0BD1-4383-A17B-21DC71DA1DC6}"/>
            </a:ext>
          </a:extLst>
        </xdr:cNvPr>
        <xdr:cNvSpPr/>
      </xdr:nvSpPr>
      <xdr:spPr>
        <a:xfrm>
          <a:off x="636270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206</xdr:row>
      <xdr:rowOff>0</xdr:rowOff>
    </xdr:from>
    <xdr:to>
      <xdr:col>60</xdr:col>
      <xdr:colOff>83820</xdr:colOff>
      <xdr:row>206</xdr:row>
      <xdr:rowOff>114300</xdr:rowOff>
    </xdr:to>
    <xdr:sp macro="" textlink="">
      <xdr:nvSpPr>
        <xdr:cNvPr id="1437" name="Arrow: Down 1436">
          <a:extLst>
            <a:ext uri="{FF2B5EF4-FFF2-40B4-BE49-F238E27FC236}">
              <a16:creationId xmlns:a16="http://schemas.microsoft.com/office/drawing/2014/main" id="{BC545588-6C85-43C6-9751-034063ADE962}"/>
            </a:ext>
          </a:extLst>
        </xdr:cNvPr>
        <xdr:cNvSpPr/>
      </xdr:nvSpPr>
      <xdr:spPr>
        <a:xfrm rot="10800000">
          <a:off x="16139160" y="37772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206</xdr:row>
      <xdr:rowOff>0</xdr:rowOff>
    </xdr:from>
    <xdr:to>
      <xdr:col>39</xdr:col>
      <xdr:colOff>83820</xdr:colOff>
      <xdr:row>206</xdr:row>
      <xdr:rowOff>114300</xdr:rowOff>
    </xdr:to>
    <xdr:sp macro="" textlink="">
      <xdr:nvSpPr>
        <xdr:cNvPr id="1463" name="Arrow: Down 1462">
          <a:extLst>
            <a:ext uri="{FF2B5EF4-FFF2-40B4-BE49-F238E27FC236}">
              <a16:creationId xmlns:a16="http://schemas.microsoft.com/office/drawing/2014/main" id="{91CD7412-8086-421E-9F7D-4558AF87818E}"/>
            </a:ext>
          </a:extLst>
        </xdr:cNvPr>
        <xdr:cNvSpPr/>
      </xdr:nvSpPr>
      <xdr:spPr>
        <a:xfrm rot="10800000">
          <a:off x="95250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203</xdr:row>
      <xdr:rowOff>0</xdr:rowOff>
    </xdr:from>
    <xdr:to>
      <xdr:col>39</xdr:col>
      <xdr:colOff>83820</xdr:colOff>
      <xdr:row>203</xdr:row>
      <xdr:rowOff>114300</xdr:rowOff>
    </xdr:to>
    <xdr:sp macro="" textlink="">
      <xdr:nvSpPr>
        <xdr:cNvPr id="1464" name="Arrow: Down 1463">
          <a:extLst>
            <a:ext uri="{FF2B5EF4-FFF2-40B4-BE49-F238E27FC236}">
              <a16:creationId xmlns:a16="http://schemas.microsoft.com/office/drawing/2014/main" id="{9BC7965E-99E1-4A01-8429-97D215CE4480}"/>
            </a:ext>
          </a:extLst>
        </xdr:cNvPr>
        <xdr:cNvSpPr/>
      </xdr:nvSpPr>
      <xdr:spPr>
        <a:xfrm rot="10800000">
          <a:off x="95250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205</xdr:row>
      <xdr:rowOff>0</xdr:rowOff>
    </xdr:from>
    <xdr:to>
      <xdr:col>39</xdr:col>
      <xdr:colOff>83820</xdr:colOff>
      <xdr:row>205</xdr:row>
      <xdr:rowOff>114300</xdr:rowOff>
    </xdr:to>
    <xdr:sp macro="" textlink="">
      <xdr:nvSpPr>
        <xdr:cNvPr id="1465" name="Arrow: Down 1464">
          <a:extLst>
            <a:ext uri="{FF2B5EF4-FFF2-40B4-BE49-F238E27FC236}">
              <a16:creationId xmlns:a16="http://schemas.microsoft.com/office/drawing/2014/main" id="{9E34E8AC-6B49-412E-B145-54843A40F6E8}"/>
            </a:ext>
          </a:extLst>
        </xdr:cNvPr>
        <xdr:cNvSpPr/>
      </xdr:nvSpPr>
      <xdr:spPr>
        <a:xfrm rot="10800000">
          <a:off x="952500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206</xdr:row>
      <xdr:rowOff>0</xdr:rowOff>
    </xdr:from>
    <xdr:to>
      <xdr:col>5</xdr:col>
      <xdr:colOff>83820</xdr:colOff>
      <xdr:row>206</xdr:row>
      <xdr:rowOff>114300</xdr:rowOff>
    </xdr:to>
    <xdr:sp macro="" textlink="">
      <xdr:nvSpPr>
        <xdr:cNvPr id="1474" name="Arrow: Down 1473">
          <a:extLst>
            <a:ext uri="{FF2B5EF4-FFF2-40B4-BE49-F238E27FC236}">
              <a16:creationId xmlns:a16="http://schemas.microsoft.com/office/drawing/2014/main" id="{3330E4F3-D285-4805-B19D-FC4E98D63B4C}"/>
            </a:ext>
          </a:extLst>
        </xdr:cNvPr>
        <xdr:cNvSpPr/>
      </xdr:nvSpPr>
      <xdr:spPr>
        <a:xfrm>
          <a:off x="192786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206</xdr:row>
      <xdr:rowOff>0</xdr:rowOff>
    </xdr:from>
    <xdr:to>
      <xdr:col>11</xdr:col>
      <xdr:colOff>83820</xdr:colOff>
      <xdr:row>206</xdr:row>
      <xdr:rowOff>114300</xdr:rowOff>
    </xdr:to>
    <xdr:sp macro="" textlink="">
      <xdr:nvSpPr>
        <xdr:cNvPr id="1485" name="Arrow: Down 1484">
          <a:extLst>
            <a:ext uri="{FF2B5EF4-FFF2-40B4-BE49-F238E27FC236}">
              <a16:creationId xmlns:a16="http://schemas.microsoft.com/office/drawing/2014/main" id="{5B6D8476-5959-44E5-B033-FFA7EB000060}"/>
            </a:ext>
          </a:extLst>
        </xdr:cNvPr>
        <xdr:cNvSpPr/>
      </xdr:nvSpPr>
      <xdr:spPr>
        <a:xfrm>
          <a:off x="36195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207</xdr:row>
      <xdr:rowOff>0</xdr:rowOff>
    </xdr:from>
    <xdr:to>
      <xdr:col>71</xdr:col>
      <xdr:colOff>83820</xdr:colOff>
      <xdr:row>207</xdr:row>
      <xdr:rowOff>114300</xdr:rowOff>
    </xdr:to>
    <xdr:sp macro="" textlink="">
      <xdr:nvSpPr>
        <xdr:cNvPr id="1490" name="Arrow: Down 1489">
          <a:extLst>
            <a:ext uri="{FF2B5EF4-FFF2-40B4-BE49-F238E27FC236}">
              <a16:creationId xmlns:a16="http://schemas.microsoft.com/office/drawing/2014/main" id="{A15049DE-C368-4357-84FF-947CC8CE7F03}"/>
            </a:ext>
          </a:extLst>
        </xdr:cNvPr>
        <xdr:cNvSpPr/>
      </xdr:nvSpPr>
      <xdr:spPr>
        <a:xfrm>
          <a:off x="184556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207</xdr:row>
      <xdr:rowOff>0</xdr:rowOff>
    </xdr:from>
    <xdr:to>
      <xdr:col>45</xdr:col>
      <xdr:colOff>83820</xdr:colOff>
      <xdr:row>207</xdr:row>
      <xdr:rowOff>114300</xdr:rowOff>
    </xdr:to>
    <xdr:sp macro="" textlink="">
      <xdr:nvSpPr>
        <xdr:cNvPr id="1496" name="Arrow: Down 1495">
          <a:extLst>
            <a:ext uri="{FF2B5EF4-FFF2-40B4-BE49-F238E27FC236}">
              <a16:creationId xmlns:a16="http://schemas.microsoft.com/office/drawing/2014/main" id="{69F9CE32-6FC5-4BE2-8CD4-FBE9CB027B16}"/>
            </a:ext>
          </a:extLst>
        </xdr:cNvPr>
        <xdr:cNvSpPr/>
      </xdr:nvSpPr>
      <xdr:spPr>
        <a:xfrm rot="10800000">
          <a:off x="113309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207</xdr:row>
      <xdr:rowOff>0</xdr:rowOff>
    </xdr:from>
    <xdr:to>
      <xdr:col>71</xdr:col>
      <xdr:colOff>83820</xdr:colOff>
      <xdr:row>207</xdr:row>
      <xdr:rowOff>114300</xdr:rowOff>
    </xdr:to>
    <xdr:sp macro="" textlink="">
      <xdr:nvSpPr>
        <xdr:cNvPr id="1506" name="Arrow: Down 1505">
          <a:extLst>
            <a:ext uri="{FF2B5EF4-FFF2-40B4-BE49-F238E27FC236}">
              <a16:creationId xmlns:a16="http://schemas.microsoft.com/office/drawing/2014/main" id="{590E9475-FE17-4F36-8E8C-BA25069FF51A}"/>
            </a:ext>
          </a:extLst>
        </xdr:cNvPr>
        <xdr:cNvSpPr/>
      </xdr:nvSpPr>
      <xdr:spPr>
        <a:xfrm>
          <a:off x="184556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207</xdr:row>
      <xdr:rowOff>0</xdr:rowOff>
    </xdr:from>
    <xdr:to>
      <xdr:col>45</xdr:col>
      <xdr:colOff>83820</xdr:colOff>
      <xdr:row>207</xdr:row>
      <xdr:rowOff>114300</xdr:rowOff>
    </xdr:to>
    <xdr:sp macro="" textlink="">
      <xdr:nvSpPr>
        <xdr:cNvPr id="1507" name="Arrow: Down 1506">
          <a:extLst>
            <a:ext uri="{FF2B5EF4-FFF2-40B4-BE49-F238E27FC236}">
              <a16:creationId xmlns:a16="http://schemas.microsoft.com/office/drawing/2014/main" id="{85A42CEA-5B89-4390-97E3-0B760FA44C99}"/>
            </a:ext>
          </a:extLst>
        </xdr:cNvPr>
        <xdr:cNvSpPr/>
      </xdr:nvSpPr>
      <xdr:spPr>
        <a:xfrm rot="10800000">
          <a:off x="113309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207</xdr:row>
      <xdr:rowOff>0</xdr:rowOff>
    </xdr:from>
    <xdr:to>
      <xdr:col>24</xdr:col>
      <xdr:colOff>83820</xdr:colOff>
      <xdr:row>207</xdr:row>
      <xdr:rowOff>114300</xdr:rowOff>
    </xdr:to>
    <xdr:sp macro="" textlink="">
      <xdr:nvSpPr>
        <xdr:cNvPr id="1509" name="Arrow: Down 1508">
          <a:extLst>
            <a:ext uri="{FF2B5EF4-FFF2-40B4-BE49-F238E27FC236}">
              <a16:creationId xmlns:a16="http://schemas.microsoft.com/office/drawing/2014/main" id="{09694832-7F7C-4BF6-A2E1-C01EA8508459}"/>
            </a:ext>
          </a:extLst>
        </xdr:cNvPr>
        <xdr:cNvSpPr/>
      </xdr:nvSpPr>
      <xdr:spPr>
        <a:xfrm>
          <a:off x="63627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207</xdr:row>
      <xdr:rowOff>0</xdr:rowOff>
    </xdr:from>
    <xdr:to>
      <xdr:col>5</xdr:col>
      <xdr:colOff>83820</xdr:colOff>
      <xdr:row>207</xdr:row>
      <xdr:rowOff>114300</xdr:rowOff>
    </xdr:to>
    <xdr:sp macro="" textlink="">
      <xdr:nvSpPr>
        <xdr:cNvPr id="1539" name="Arrow: Down 1538">
          <a:extLst>
            <a:ext uri="{FF2B5EF4-FFF2-40B4-BE49-F238E27FC236}">
              <a16:creationId xmlns:a16="http://schemas.microsoft.com/office/drawing/2014/main" id="{9D83E71C-3AF6-4D23-AEEC-3304BBE4A2A8}"/>
            </a:ext>
          </a:extLst>
        </xdr:cNvPr>
        <xdr:cNvSpPr/>
      </xdr:nvSpPr>
      <xdr:spPr>
        <a:xfrm>
          <a:off x="192786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207</xdr:row>
      <xdr:rowOff>0</xdr:rowOff>
    </xdr:from>
    <xdr:to>
      <xdr:col>11</xdr:col>
      <xdr:colOff>83820</xdr:colOff>
      <xdr:row>207</xdr:row>
      <xdr:rowOff>114300</xdr:rowOff>
    </xdr:to>
    <xdr:sp macro="" textlink="">
      <xdr:nvSpPr>
        <xdr:cNvPr id="1541" name="Arrow: Down 1540">
          <a:extLst>
            <a:ext uri="{FF2B5EF4-FFF2-40B4-BE49-F238E27FC236}">
              <a16:creationId xmlns:a16="http://schemas.microsoft.com/office/drawing/2014/main" id="{34E0CE6D-8FBF-423A-A9D4-35E31A2F5179}"/>
            </a:ext>
          </a:extLst>
        </xdr:cNvPr>
        <xdr:cNvSpPr/>
      </xdr:nvSpPr>
      <xdr:spPr>
        <a:xfrm>
          <a:off x="36195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207</xdr:row>
      <xdr:rowOff>0</xdr:rowOff>
    </xdr:from>
    <xdr:to>
      <xdr:col>60</xdr:col>
      <xdr:colOff>83820</xdr:colOff>
      <xdr:row>207</xdr:row>
      <xdr:rowOff>114300</xdr:rowOff>
    </xdr:to>
    <xdr:sp macro="" textlink="">
      <xdr:nvSpPr>
        <xdr:cNvPr id="1555" name="Arrow: Down 1554">
          <a:extLst>
            <a:ext uri="{FF2B5EF4-FFF2-40B4-BE49-F238E27FC236}">
              <a16:creationId xmlns:a16="http://schemas.microsoft.com/office/drawing/2014/main" id="{FDB6E449-91C2-46E6-9807-1704AA857B6E}"/>
            </a:ext>
          </a:extLst>
        </xdr:cNvPr>
        <xdr:cNvSpPr/>
      </xdr:nvSpPr>
      <xdr:spPr>
        <a:xfrm>
          <a:off x="1613916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207</xdr:row>
      <xdr:rowOff>0</xdr:rowOff>
    </xdr:from>
    <xdr:to>
      <xdr:col>39</xdr:col>
      <xdr:colOff>83820</xdr:colOff>
      <xdr:row>207</xdr:row>
      <xdr:rowOff>114300</xdr:rowOff>
    </xdr:to>
    <xdr:sp macro="" textlink="">
      <xdr:nvSpPr>
        <xdr:cNvPr id="1556" name="Arrow: Down 1555">
          <a:extLst>
            <a:ext uri="{FF2B5EF4-FFF2-40B4-BE49-F238E27FC236}">
              <a16:creationId xmlns:a16="http://schemas.microsoft.com/office/drawing/2014/main" id="{42C77985-B24B-43F9-89D9-5212200A52AD}"/>
            </a:ext>
          </a:extLst>
        </xdr:cNvPr>
        <xdr:cNvSpPr/>
      </xdr:nvSpPr>
      <xdr:spPr>
        <a:xfrm>
          <a:off x="9525000" y="3795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208</xdr:row>
      <xdr:rowOff>0</xdr:rowOff>
    </xdr:from>
    <xdr:to>
      <xdr:col>71</xdr:col>
      <xdr:colOff>83820</xdr:colOff>
      <xdr:row>208</xdr:row>
      <xdr:rowOff>114300</xdr:rowOff>
    </xdr:to>
    <xdr:sp macro="" textlink="">
      <xdr:nvSpPr>
        <xdr:cNvPr id="1557" name="Arrow: Down 1556">
          <a:extLst>
            <a:ext uri="{FF2B5EF4-FFF2-40B4-BE49-F238E27FC236}">
              <a16:creationId xmlns:a16="http://schemas.microsoft.com/office/drawing/2014/main" id="{78A14097-7ACB-4B05-A1FF-D7F506546763}"/>
            </a:ext>
          </a:extLst>
        </xdr:cNvPr>
        <xdr:cNvSpPr/>
      </xdr:nvSpPr>
      <xdr:spPr>
        <a:xfrm>
          <a:off x="184556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208</xdr:row>
      <xdr:rowOff>0</xdr:rowOff>
    </xdr:from>
    <xdr:to>
      <xdr:col>45</xdr:col>
      <xdr:colOff>83820</xdr:colOff>
      <xdr:row>208</xdr:row>
      <xdr:rowOff>114300</xdr:rowOff>
    </xdr:to>
    <xdr:sp macro="" textlink="">
      <xdr:nvSpPr>
        <xdr:cNvPr id="1558" name="Arrow: Down 1557">
          <a:extLst>
            <a:ext uri="{FF2B5EF4-FFF2-40B4-BE49-F238E27FC236}">
              <a16:creationId xmlns:a16="http://schemas.microsoft.com/office/drawing/2014/main" id="{F621FF92-827C-4A7B-B9EB-B2C125173105}"/>
            </a:ext>
          </a:extLst>
        </xdr:cNvPr>
        <xdr:cNvSpPr/>
      </xdr:nvSpPr>
      <xdr:spPr>
        <a:xfrm rot="10800000">
          <a:off x="113309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208</xdr:row>
      <xdr:rowOff>0</xdr:rowOff>
    </xdr:from>
    <xdr:to>
      <xdr:col>71</xdr:col>
      <xdr:colOff>83820</xdr:colOff>
      <xdr:row>208</xdr:row>
      <xdr:rowOff>114300</xdr:rowOff>
    </xdr:to>
    <xdr:sp macro="" textlink="">
      <xdr:nvSpPr>
        <xdr:cNvPr id="1559" name="Arrow: Down 1558">
          <a:extLst>
            <a:ext uri="{FF2B5EF4-FFF2-40B4-BE49-F238E27FC236}">
              <a16:creationId xmlns:a16="http://schemas.microsoft.com/office/drawing/2014/main" id="{8040DA70-C318-4F44-BC3F-184099D6418C}"/>
            </a:ext>
          </a:extLst>
        </xdr:cNvPr>
        <xdr:cNvSpPr/>
      </xdr:nvSpPr>
      <xdr:spPr>
        <a:xfrm>
          <a:off x="184556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208</xdr:row>
      <xdr:rowOff>0</xdr:rowOff>
    </xdr:from>
    <xdr:to>
      <xdr:col>45</xdr:col>
      <xdr:colOff>83820</xdr:colOff>
      <xdr:row>208</xdr:row>
      <xdr:rowOff>114300</xdr:rowOff>
    </xdr:to>
    <xdr:sp macro="" textlink="">
      <xdr:nvSpPr>
        <xdr:cNvPr id="1560" name="Arrow: Down 1559">
          <a:extLst>
            <a:ext uri="{FF2B5EF4-FFF2-40B4-BE49-F238E27FC236}">
              <a16:creationId xmlns:a16="http://schemas.microsoft.com/office/drawing/2014/main" id="{54F10EE8-6EEA-46F7-B2E3-76FDA3A53459}"/>
            </a:ext>
          </a:extLst>
        </xdr:cNvPr>
        <xdr:cNvSpPr/>
      </xdr:nvSpPr>
      <xdr:spPr>
        <a:xfrm rot="10800000">
          <a:off x="113309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208</xdr:row>
      <xdr:rowOff>0</xdr:rowOff>
    </xdr:from>
    <xdr:to>
      <xdr:col>60</xdr:col>
      <xdr:colOff>83820</xdr:colOff>
      <xdr:row>208</xdr:row>
      <xdr:rowOff>114300</xdr:rowOff>
    </xdr:to>
    <xdr:sp macro="" textlink="">
      <xdr:nvSpPr>
        <xdr:cNvPr id="1569" name="Arrow: Down 1568">
          <a:extLst>
            <a:ext uri="{FF2B5EF4-FFF2-40B4-BE49-F238E27FC236}">
              <a16:creationId xmlns:a16="http://schemas.microsoft.com/office/drawing/2014/main" id="{752643D6-05FD-4DFA-B2C2-635110A027B4}"/>
            </a:ext>
          </a:extLst>
        </xdr:cNvPr>
        <xdr:cNvSpPr/>
      </xdr:nvSpPr>
      <xdr:spPr>
        <a:xfrm>
          <a:off x="1613916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208</xdr:row>
      <xdr:rowOff>0</xdr:rowOff>
    </xdr:from>
    <xdr:to>
      <xdr:col>24</xdr:col>
      <xdr:colOff>83820</xdr:colOff>
      <xdr:row>208</xdr:row>
      <xdr:rowOff>114300</xdr:rowOff>
    </xdr:to>
    <xdr:sp macro="" textlink="">
      <xdr:nvSpPr>
        <xdr:cNvPr id="1572" name="Arrow: Down 1571">
          <a:extLst>
            <a:ext uri="{FF2B5EF4-FFF2-40B4-BE49-F238E27FC236}">
              <a16:creationId xmlns:a16="http://schemas.microsoft.com/office/drawing/2014/main" id="{357A49E1-B412-4E81-B909-B2753379CA93}"/>
            </a:ext>
          </a:extLst>
        </xdr:cNvPr>
        <xdr:cNvSpPr/>
      </xdr:nvSpPr>
      <xdr:spPr>
        <a:xfrm rot="10800000">
          <a:off x="63627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208</xdr:row>
      <xdr:rowOff>0</xdr:rowOff>
    </xdr:from>
    <xdr:to>
      <xdr:col>5</xdr:col>
      <xdr:colOff>83820</xdr:colOff>
      <xdr:row>208</xdr:row>
      <xdr:rowOff>114300</xdr:rowOff>
    </xdr:to>
    <xdr:sp macro="" textlink="">
      <xdr:nvSpPr>
        <xdr:cNvPr id="1582" name="Arrow: Down 1581">
          <a:extLst>
            <a:ext uri="{FF2B5EF4-FFF2-40B4-BE49-F238E27FC236}">
              <a16:creationId xmlns:a16="http://schemas.microsoft.com/office/drawing/2014/main" id="{2C46E994-21A8-4716-B11D-48B16C76720C}"/>
            </a:ext>
          </a:extLst>
        </xdr:cNvPr>
        <xdr:cNvSpPr/>
      </xdr:nvSpPr>
      <xdr:spPr>
        <a:xfrm rot="10800000">
          <a:off x="192786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208</xdr:row>
      <xdr:rowOff>0</xdr:rowOff>
    </xdr:from>
    <xdr:to>
      <xdr:col>11</xdr:col>
      <xdr:colOff>83820</xdr:colOff>
      <xdr:row>208</xdr:row>
      <xdr:rowOff>114300</xdr:rowOff>
    </xdr:to>
    <xdr:sp macro="" textlink="">
      <xdr:nvSpPr>
        <xdr:cNvPr id="1583" name="Arrow: Down 1582">
          <a:extLst>
            <a:ext uri="{FF2B5EF4-FFF2-40B4-BE49-F238E27FC236}">
              <a16:creationId xmlns:a16="http://schemas.microsoft.com/office/drawing/2014/main" id="{5D0FC389-6051-40CF-AC34-9FE6DAC9A187}"/>
            </a:ext>
          </a:extLst>
        </xdr:cNvPr>
        <xdr:cNvSpPr/>
      </xdr:nvSpPr>
      <xdr:spPr>
        <a:xfrm rot="10800000">
          <a:off x="36195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208</xdr:row>
      <xdr:rowOff>0</xdr:rowOff>
    </xdr:from>
    <xdr:to>
      <xdr:col>39</xdr:col>
      <xdr:colOff>83820</xdr:colOff>
      <xdr:row>208</xdr:row>
      <xdr:rowOff>114300</xdr:rowOff>
    </xdr:to>
    <xdr:sp macro="" textlink="">
      <xdr:nvSpPr>
        <xdr:cNvPr id="1585" name="Arrow: Down 1584">
          <a:extLst>
            <a:ext uri="{FF2B5EF4-FFF2-40B4-BE49-F238E27FC236}">
              <a16:creationId xmlns:a16="http://schemas.microsoft.com/office/drawing/2014/main" id="{319DEC7D-7111-41A3-8898-267D689A383E}"/>
            </a:ext>
          </a:extLst>
        </xdr:cNvPr>
        <xdr:cNvSpPr/>
      </xdr:nvSpPr>
      <xdr:spPr>
        <a:xfrm rot="10800000">
          <a:off x="952500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209</xdr:row>
      <xdr:rowOff>0</xdr:rowOff>
    </xdr:from>
    <xdr:to>
      <xdr:col>71</xdr:col>
      <xdr:colOff>83820</xdr:colOff>
      <xdr:row>209</xdr:row>
      <xdr:rowOff>114300</xdr:rowOff>
    </xdr:to>
    <xdr:sp macro="" textlink="">
      <xdr:nvSpPr>
        <xdr:cNvPr id="1456" name="Arrow: Down 1455">
          <a:extLst>
            <a:ext uri="{FF2B5EF4-FFF2-40B4-BE49-F238E27FC236}">
              <a16:creationId xmlns:a16="http://schemas.microsoft.com/office/drawing/2014/main" id="{03308E95-B8D4-45E4-9ABE-4AC11DFFEC5C}"/>
            </a:ext>
          </a:extLst>
        </xdr:cNvPr>
        <xdr:cNvSpPr/>
      </xdr:nvSpPr>
      <xdr:spPr>
        <a:xfrm>
          <a:off x="2012442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209</xdr:row>
      <xdr:rowOff>0</xdr:rowOff>
    </xdr:from>
    <xdr:to>
      <xdr:col>45</xdr:col>
      <xdr:colOff>83820</xdr:colOff>
      <xdr:row>209</xdr:row>
      <xdr:rowOff>114300</xdr:rowOff>
    </xdr:to>
    <xdr:sp macro="" textlink="">
      <xdr:nvSpPr>
        <xdr:cNvPr id="1479" name="Arrow: Down 1478">
          <a:extLst>
            <a:ext uri="{FF2B5EF4-FFF2-40B4-BE49-F238E27FC236}">
              <a16:creationId xmlns:a16="http://schemas.microsoft.com/office/drawing/2014/main" id="{8C8323CE-BB2A-4A27-AFED-1BF78EA26350}"/>
            </a:ext>
          </a:extLst>
        </xdr:cNvPr>
        <xdr:cNvSpPr/>
      </xdr:nvSpPr>
      <xdr:spPr>
        <a:xfrm rot="10800000">
          <a:off x="1133094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209</xdr:row>
      <xdr:rowOff>0</xdr:rowOff>
    </xdr:from>
    <xdr:to>
      <xdr:col>71</xdr:col>
      <xdr:colOff>83820</xdr:colOff>
      <xdr:row>209</xdr:row>
      <xdr:rowOff>114300</xdr:rowOff>
    </xdr:to>
    <xdr:sp macro="" textlink="">
      <xdr:nvSpPr>
        <xdr:cNvPr id="1510" name="Arrow: Down 1509">
          <a:extLst>
            <a:ext uri="{FF2B5EF4-FFF2-40B4-BE49-F238E27FC236}">
              <a16:creationId xmlns:a16="http://schemas.microsoft.com/office/drawing/2014/main" id="{8A0B627F-183D-44B8-9282-F80BAD475DB2}"/>
            </a:ext>
          </a:extLst>
        </xdr:cNvPr>
        <xdr:cNvSpPr/>
      </xdr:nvSpPr>
      <xdr:spPr>
        <a:xfrm>
          <a:off x="2012442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209</xdr:row>
      <xdr:rowOff>0</xdr:rowOff>
    </xdr:from>
    <xdr:to>
      <xdr:col>45</xdr:col>
      <xdr:colOff>83820</xdr:colOff>
      <xdr:row>209</xdr:row>
      <xdr:rowOff>114300</xdr:rowOff>
    </xdr:to>
    <xdr:sp macro="" textlink="">
      <xdr:nvSpPr>
        <xdr:cNvPr id="1513" name="Arrow: Down 1512">
          <a:extLst>
            <a:ext uri="{FF2B5EF4-FFF2-40B4-BE49-F238E27FC236}">
              <a16:creationId xmlns:a16="http://schemas.microsoft.com/office/drawing/2014/main" id="{1DC5190F-CE41-49AB-A62F-FED742F2F105}"/>
            </a:ext>
          </a:extLst>
        </xdr:cNvPr>
        <xdr:cNvSpPr/>
      </xdr:nvSpPr>
      <xdr:spPr>
        <a:xfrm rot="10800000">
          <a:off x="1133094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209</xdr:row>
      <xdr:rowOff>0</xdr:rowOff>
    </xdr:from>
    <xdr:to>
      <xdr:col>24</xdr:col>
      <xdr:colOff>83820</xdr:colOff>
      <xdr:row>209</xdr:row>
      <xdr:rowOff>114300</xdr:rowOff>
    </xdr:to>
    <xdr:sp macro="" textlink="">
      <xdr:nvSpPr>
        <xdr:cNvPr id="1548" name="Arrow: Down 1547">
          <a:extLst>
            <a:ext uri="{FF2B5EF4-FFF2-40B4-BE49-F238E27FC236}">
              <a16:creationId xmlns:a16="http://schemas.microsoft.com/office/drawing/2014/main" id="{610DAC6A-BF61-48E5-A2F4-5FBB3F736C4B}"/>
            </a:ext>
          </a:extLst>
        </xdr:cNvPr>
        <xdr:cNvSpPr/>
      </xdr:nvSpPr>
      <xdr:spPr>
        <a:xfrm rot="10800000">
          <a:off x="63627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209</xdr:row>
      <xdr:rowOff>0</xdr:rowOff>
    </xdr:from>
    <xdr:to>
      <xdr:col>5</xdr:col>
      <xdr:colOff>83820</xdr:colOff>
      <xdr:row>209</xdr:row>
      <xdr:rowOff>114300</xdr:rowOff>
    </xdr:to>
    <xdr:sp macro="" textlink="">
      <xdr:nvSpPr>
        <xdr:cNvPr id="1561" name="Arrow: Down 1560">
          <a:extLst>
            <a:ext uri="{FF2B5EF4-FFF2-40B4-BE49-F238E27FC236}">
              <a16:creationId xmlns:a16="http://schemas.microsoft.com/office/drawing/2014/main" id="{7337E330-E215-4BE5-A50C-5FB2EEA39929}"/>
            </a:ext>
          </a:extLst>
        </xdr:cNvPr>
        <xdr:cNvSpPr/>
      </xdr:nvSpPr>
      <xdr:spPr>
        <a:xfrm rot="10800000">
          <a:off x="192786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209</xdr:row>
      <xdr:rowOff>0</xdr:rowOff>
    </xdr:from>
    <xdr:to>
      <xdr:col>11</xdr:col>
      <xdr:colOff>83820</xdr:colOff>
      <xdr:row>209</xdr:row>
      <xdr:rowOff>114300</xdr:rowOff>
    </xdr:to>
    <xdr:sp macro="" textlink="">
      <xdr:nvSpPr>
        <xdr:cNvPr id="1562" name="Arrow: Down 1561">
          <a:extLst>
            <a:ext uri="{FF2B5EF4-FFF2-40B4-BE49-F238E27FC236}">
              <a16:creationId xmlns:a16="http://schemas.microsoft.com/office/drawing/2014/main" id="{1A372C3B-EE02-4F99-8404-9ED0671F3388}"/>
            </a:ext>
          </a:extLst>
        </xdr:cNvPr>
        <xdr:cNvSpPr/>
      </xdr:nvSpPr>
      <xdr:spPr>
        <a:xfrm rot="10800000">
          <a:off x="36195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209</xdr:row>
      <xdr:rowOff>0</xdr:rowOff>
    </xdr:from>
    <xdr:to>
      <xdr:col>39</xdr:col>
      <xdr:colOff>83820</xdr:colOff>
      <xdr:row>209</xdr:row>
      <xdr:rowOff>114300</xdr:rowOff>
    </xdr:to>
    <xdr:sp macro="" textlink="">
      <xdr:nvSpPr>
        <xdr:cNvPr id="1563" name="Arrow: Down 1562">
          <a:extLst>
            <a:ext uri="{FF2B5EF4-FFF2-40B4-BE49-F238E27FC236}">
              <a16:creationId xmlns:a16="http://schemas.microsoft.com/office/drawing/2014/main" id="{794A9FAF-18F0-42D4-9D75-C84ED215C59F}"/>
            </a:ext>
          </a:extLst>
        </xdr:cNvPr>
        <xdr:cNvSpPr/>
      </xdr:nvSpPr>
      <xdr:spPr>
        <a:xfrm rot="10800000">
          <a:off x="952500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209</xdr:row>
      <xdr:rowOff>0</xdr:rowOff>
    </xdr:from>
    <xdr:to>
      <xdr:col>60</xdr:col>
      <xdr:colOff>83820</xdr:colOff>
      <xdr:row>209</xdr:row>
      <xdr:rowOff>114300</xdr:rowOff>
    </xdr:to>
    <xdr:sp macro="" textlink="">
      <xdr:nvSpPr>
        <xdr:cNvPr id="1570" name="Arrow: Down 1569">
          <a:extLst>
            <a:ext uri="{FF2B5EF4-FFF2-40B4-BE49-F238E27FC236}">
              <a16:creationId xmlns:a16="http://schemas.microsoft.com/office/drawing/2014/main" id="{138D37A6-1BC3-4162-A538-1B313F7906D4}"/>
            </a:ext>
          </a:extLst>
        </xdr:cNvPr>
        <xdr:cNvSpPr/>
      </xdr:nvSpPr>
      <xdr:spPr>
        <a:xfrm rot="10800000">
          <a:off x="161391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210</xdr:row>
      <xdr:rowOff>0</xdr:rowOff>
    </xdr:from>
    <xdr:to>
      <xdr:col>71</xdr:col>
      <xdr:colOff>83820</xdr:colOff>
      <xdr:row>210</xdr:row>
      <xdr:rowOff>114300</xdr:rowOff>
    </xdr:to>
    <xdr:sp macro="" textlink="">
      <xdr:nvSpPr>
        <xdr:cNvPr id="1571" name="Arrow: Down 1570">
          <a:extLst>
            <a:ext uri="{FF2B5EF4-FFF2-40B4-BE49-F238E27FC236}">
              <a16:creationId xmlns:a16="http://schemas.microsoft.com/office/drawing/2014/main" id="{C20FD012-F8B2-4556-BF8E-8F8FE9C60846}"/>
            </a:ext>
          </a:extLst>
        </xdr:cNvPr>
        <xdr:cNvSpPr/>
      </xdr:nvSpPr>
      <xdr:spPr>
        <a:xfrm>
          <a:off x="184556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210</xdr:row>
      <xdr:rowOff>0</xdr:rowOff>
    </xdr:from>
    <xdr:to>
      <xdr:col>45</xdr:col>
      <xdr:colOff>83820</xdr:colOff>
      <xdr:row>210</xdr:row>
      <xdr:rowOff>114300</xdr:rowOff>
    </xdr:to>
    <xdr:sp macro="" textlink="">
      <xdr:nvSpPr>
        <xdr:cNvPr id="1573" name="Arrow: Down 1572">
          <a:extLst>
            <a:ext uri="{FF2B5EF4-FFF2-40B4-BE49-F238E27FC236}">
              <a16:creationId xmlns:a16="http://schemas.microsoft.com/office/drawing/2014/main" id="{3521FE54-86D1-4952-A66A-D89A9EA3F6CF}"/>
            </a:ext>
          </a:extLst>
        </xdr:cNvPr>
        <xdr:cNvSpPr/>
      </xdr:nvSpPr>
      <xdr:spPr>
        <a:xfrm rot="10800000">
          <a:off x="113309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210</xdr:row>
      <xdr:rowOff>0</xdr:rowOff>
    </xdr:from>
    <xdr:to>
      <xdr:col>71</xdr:col>
      <xdr:colOff>83820</xdr:colOff>
      <xdr:row>210</xdr:row>
      <xdr:rowOff>114300</xdr:rowOff>
    </xdr:to>
    <xdr:sp macro="" textlink="">
      <xdr:nvSpPr>
        <xdr:cNvPr id="1578" name="Arrow: Down 1577">
          <a:extLst>
            <a:ext uri="{FF2B5EF4-FFF2-40B4-BE49-F238E27FC236}">
              <a16:creationId xmlns:a16="http://schemas.microsoft.com/office/drawing/2014/main" id="{BCAF6AC7-B5D8-45F6-B3BD-A4B909DAEA94}"/>
            </a:ext>
          </a:extLst>
        </xdr:cNvPr>
        <xdr:cNvSpPr/>
      </xdr:nvSpPr>
      <xdr:spPr>
        <a:xfrm>
          <a:off x="184556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210</xdr:row>
      <xdr:rowOff>0</xdr:rowOff>
    </xdr:from>
    <xdr:to>
      <xdr:col>45</xdr:col>
      <xdr:colOff>83820</xdr:colOff>
      <xdr:row>210</xdr:row>
      <xdr:rowOff>114300</xdr:rowOff>
    </xdr:to>
    <xdr:sp macro="" textlink="">
      <xdr:nvSpPr>
        <xdr:cNvPr id="1579" name="Arrow: Down 1578">
          <a:extLst>
            <a:ext uri="{FF2B5EF4-FFF2-40B4-BE49-F238E27FC236}">
              <a16:creationId xmlns:a16="http://schemas.microsoft.com/office/drawing/2014/main" id="{477FC467-A576-4C4A-BF4C-FC07453315C1}"/>
            </a:ext>
          </a:extLst>
        </xdr:cNvPr>
        <xdr:cNvSpPr/>
      </xdr:nvSpPr>
      <xdr:spPr>
        <a:xfrm rot="10800000">
          <a:off x="113309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210</xdr:row>
      <xdr:rowOff>0</xdr:rowOff>
    </xdr:from>
    <xdr:to>
      <xdr:col>24</xdr:col>
      <xdr:colOff>83820</xdr:colOff>
      <xdr:row>210</xdr:row>
      <xdr:rowOff>114300</xdr:rowOff>
    </xdr:to>
    <xdr:sp macro="" textlink="">
      <xdr:nvSpPr>
        <xdr:cNvPr id="1580" name="Arrow: Down 1579">
          <a:extLst>
            <a:ext uri="{FF2B5EF4-FFF2-40B4-BE49-F238E27FC236}">
              <a16:creationId xmlns:a16="http://schemas.microsoft.com/office/drawing/2014/main" id="{2B9450B7-9BB8-46C4-B51B-33C07A58513D}"/>
            </a:ext>
          </a:extLst>
        </xdr:cNvPr>
        <xdr:cNvSpPr/>
      </xdr:nvSpPr>
      <xdr:spPr>
        <a:xfrm rot="10800000">
          <a:off x="636270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210</xdr:row>
      <xdr:rowOff>0</xdr:rowOff>
    </xdr:from>
    <xdr:to>
      <xdr:col>5</xdr:col>
      <xdr:colOff>83820</xdr:colOff>
      <xdr:row>210</xdr:row>
      <xdr:rowOff>114300</xdr:rowOff>
    </xdr:to>
    <xdr:sp macro="" textlink="">
      <xdr:nvSpPr>
        <xdr:cNvPr id="1581" name="Arrow: Down 1580">
          <a:extLst>
            <a:ext uri="{FF2B5EF4-FFF2-40B4-BE49-F238E27FC236}">
              <a16:creationId xmlns:a16="http://schemas.microsoft.com/office/drawing/2014/main" id="{2A1306E7-714F-4784-82CD-E513CEB26E57}"/>
            </a:ext>
          </a:extLst>
        </xdr:cNvPr>
        <xdr:cNvSpPr/>
      </xdr:nvSpPr>
      <xdr:spPr>
        <a:xfrm rot="10800000">
          <a:off x="19278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210</xdr:row>
      <xdr:rowOff>0</xdr:rowOff>
    </xdr:from>
    <xdr:to>
      <xdr:col>11</xdr:col>
      <xdr:colOff>83820</xdr:colOff>
      <xdr:row>210</xdr:row>
      <xdr:rowOff>114300</xdr:rowOff>
    </xdr:to>
    <xdr:sp macro="" textlink="">
      <xdr:nvSpPr>
        <xdr:cNvPr id="1584" name="Arrow: Down 1583">
          <a:extLst>
            <a:ext uri="{FF2B5EF4-FFF2-40B4-BE49-F238E27FC236}">
              <a16:creationId xmlns:a16="http://schemas.microsoft.com/office/drawing/2014/main" id="{2F8C34D7-AF2B-4C48-8FEB-4168CD83B1FE}"/>
            </a:ext>
          </a:extLst>
        </xdr:cNvPr>
        <xdr:cNvSpPr/>
      </xdr:nvSpPr>
      <xdr:spPr>
        <a:xfrm rot="10800000">
          <a:off x="361950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210</xdr:row>
      <xdr:rowOff>0</xdr:rowOff>
    </xdr:from>
    <xdr:to>
      <xdr:col>39</xdr:col>
      <xdr:colOff>83820</xdr:colOff>
      <xdr:row>210</xdr:row>
      <xdr:rowOff>114300</xdr:rowOff>
    </xdr:to>
    <xdr:sp macro="" textlink="">
      <xdr:nvSpPr>
        <xdr:cNvPr id="1586" name="Arrow: Down 1585">
          <a:extLst>
            <a:ext uri="{FF2B5EF4-FFF2-40B4-BE49-F238E27FC236}">
              <a16:creationId xmlns:a16="http://schemas.microsoft.com/office/drawing/2014/main" id="{A1777B41-C8F3-4194-879B-750CCA492373}"/>
            </a:ext>
          </a:extLst>
        </xdr:cNvPr>
        <xdr:cNvSpPr/>
      </xdr:nvSpPr>
      <xdr:spPr>
        <a:xfrm rot="10800000">
          <a:off x="952500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210</xdr:row>
      <xdr:rowOff>0</xdr:rowOff>
    </xdr:from>
    <xdr:to>
      <xdr:col>60</xdr:col>
      <xdr:colOff>83820</xdr:colOff>
      <xdr:row>210</xdr:row>
      <xdr:rowOff>114300</xdr:rowOff>
    </xdr:to>
    <xdr:sp macro="" textlink="">
      <xdr:nvSpPr>
        <xdr:cNvPr id="1587" name="Arrow: Down 1586">
          <a:extLst>
            <a:ext uri="{FF2B5EF4-FFF2-40B4-BE49-F238E27FC236}">
              <a16:creationId xmlns:a16="http://schemas.microsoft.com/office/drawing/2014/main" id="{FB8518C1-9E8D-46B8-A348-4E38376F4D5C}"/>
            </a:ext>
          </a:extLst>
        </xdr:cNvPr>
        <xdr:cNvSpPr/>
      </xdr:nvSpPr>
      <xdr:spPr>
        <a:xfrm rot="10800000">
          <a:off x="161391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211</xdr:row>
      <xdr:rowOff>0</xdr:rowOff>
    </xdr:from>
    <xdr:to>
      <xdr:col>71</xdr:col>
      <xdr:colOff>83820</xdr:colOff>
      <xdr:row>211</xdr:row>
      <xdr:rowOff>114300</xdr:rowOff>
    </xdr:to>
    <xdr:sp macro="" textlink="">
      <xdr:nvSpPr>
        <xdr:cNvPr id="1588" name="Arrow: Down 1587">
          <a:extLst>
            <a:ext uri="{FF2B5EF4-FFF2-40B4-BE49-F238E27FC236}">
              <a16:creationId xmlns:a16="http://schemas.microsoft.com/office/drawing/2014/main" id="{F94EB5A7-DD1C-43E8-931E-E4AF74091E08}"/>
            </a:ext>
          </a:extLst>
        </xdr:cNvPr>
        <xdr:cNvSpPr/>
      </xdr:nvSpPr>
      <xdr:spPr>
        <a:xfrm>
          <a:off x="184556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211</xdr:row>
      <xdr:rowOff>0</xdr:rowOff>
    </xdr:from>
    <xdr:to>
      <xdr:col>45</xdr:col>
      <xdr:colOff>83820</xdr:colOff>
      <xdr:row>211</xdr:row>
      <xdr:rowOff>114300</xdr:rowOff>
    </xdr:to>
    <xdr:sp macro="" textlink="">
      <xdr:nvSpPr>
        <xdr:cNvPr id="1589" name="Arrow: Down 1588">
          <a:extLst>
            <a:ext uri="{FF2B5EF4-FFF2-40B4-BE49-F238E27FC236}">
              <a16:creationId xmlns:a16="http://schemas.microsoft.com/office/drawing/2014/main" id="{1D09D61D-F5DC-4762-B677-31C267F1175C}"/>
            </a:ext>
          </a:extLst>
        </xdr:cNvPr>
        <xdr:cNvSpPr/>
      </xdr:nvSpPr>
      <xdr:spPr>
        <a:xfrm rot="10800000">
          <a:off x="113309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211</xdr:row>
      <xdr:rowOff>0</xdr:rowOff>
    </xdr:from>
    <xdr:to>
      <xdr:col>71</xdr:col>
      <xdr:colOff>83820</xdr:colOff>
      <xdr:row>211</xdr:row>
      <xdr:rowOff>114300</xdr:rowOff>
    </xdr:to>
    <xdr:sp macro="" textlink="">
      <xdr:nvSpPr>
        <xdr:cNvPr id="1590" name="Arrow: Down 1589">
          <a:extLst>
            <a:ext uri="{FF2B5EF4-FFF2-40B4-BE49-F238E27FC236}">
              <a16:creationId xmlns:a16="http://schemas.microsoft.com/office/drawing/2014/main" id="{C8A8A951-4854-47AE-8854-33B836A07E29}"/>
            </a:ext>
          </a:extLst>
        </xdr:cNvPr>
        <xdr:cNvSpPr/>
      </xdr:nvSpPr>
      <xdr:spPr>
        <a:xfrm>
          <a:off x="184556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211</xdr:row>
      <xdr:rowOff>0</xdr:rowOff>
    </xdr:from>
    <xdr:to>
      <xdr:col>45</xdr:col>
      <xdr:colOff>83820</xdr:colOff>
      <xdr:row>211</xdr:row>
      <xdr:rowOff>114300</xdr:rowOff>
    </xdr:to>
    <xdr:sp macro="" textlink="">
      <xdr:nvSpPr>
        <xdr:cNvPr id="1591" name="Arrow: Down 1590">
          <a:extLst>
            <a:ext uri="{FF2B5EF4-FFF2-40B4-BE49-F238E27FC236}">
              <a16:creationId xmlns:a16="http://schemas.microsoft.com/office/drawing/2014/main" id="{23D23EE5-3972-4AD7-9BC5-0100EE297340}"/>
            </a:ext>
          </a:extLst>
        </xdr:cNvPr>
        <xdr:cNvSpPr/>
      </xdr:nvSpPr>
      <xdr:spPr>
        <a:xfrm rot="10800000">
          <a:off x="113309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211</xdr:row>
      <xdr:rowOff>0</xdr:rowOff>
    </xdr:from>
    <xdr:to>
      <xdr:col>24</xdr:col>
      <xdr:colOff>83820</xdr:colOff>
      <xdr:row>211</xdr:row>
      <xdr:rowOff>114300</xdr:rowOff>
    </xdr:to>
    <xdr:sp macro="" textlink="">
      <xdr:nvSpPr>
        <xdr:cNvPr id="1592" name="Arrow: Down 1591">
          <a:extLst>
            <a:ext uri="{FF2B5EF4-FFF2-40B4-BE49-F238E27FC236}">
              <a16:creationId xmlns:a16="http://schemas.microsoft.com/office/drawing/2014/main" id="{26B2BF7B-CD99-4A9C-9EA2-444B9AE0726B}"/>
            </a:ext>
          </a:extLst>
        </xdr:cNvPr>
        <xdr:cNvSpPr/>
      </xdr:nvSpPr>
      <xdr:spPr>
        <a:xfrm rot="10800000">
          <a:off x="636270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211</xdr:row>
      <xdr:rowOff>0</xdr:rowOff>
    </xdr:from>
    <xdr:to>
      <xdr:col>5</xdr:col>
      <xdr:colOff>83820</xdr:colOff>
      <xdr:row>211</xdr:row>
      <xdr:rowOff>114300</xdr:rowOff>
    </xdr:to>
    <xdr:sp macro="" textlink="">
      <xdr:nvSpPr>
        <xdr:cNvPr id="1593" name="Arrow: Down 1592">
          <a:extLst>
            <a:ext uri="{FF2B5EF4-FFF2-40B4-BE49-F238E27FC236}">
              <a16:creationId xmlns:a16="http://schemas.microsoft.com/office/drawing/2014/main" id="{47E4880F-501E-4B32-B8F2-775F8D1D8E91}"/>
            </a:ext>
          </a:extLst>
        </xdr:cNvPr>
        <xdr:cNvSpPr/>
      </xdr:nvSpPr>
      <xdr:spPr>
        <a:xfrm rot="10800000">
          <a:off x="192786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211</xdr:row>
      <xdr:rowOff>0</xdr:rowOff>
    </xdr:from>
    <xdr:to>
      <xdr:col>11</xdr:col>
      <xdr:colOff>83820</xdr:colOff>
      <xdr:row>211</xdr:row>
      <xdr:rowOff>114300</xdr:rowOff>
    </xdr:to>
    <xdr:sp macro="" textlink="">
      <xdr:nvSpPr>
        <xdr:cNvPr id="1594" name="Arrow: Down 1593">
          <a:extLst>
            <a:ext uri="{FF2B5EF4-FFF2-40B4-BE49-F238E27FC236}">
              <a16:creationId xmlns:a16="http://schemas.microsoft.com/office/drawing/2014/main" id="{2BE218AA-AD73-455C-B86D-896BC02F38D3}"/>
            </a:ext>
          </a:extLst>
        </xdr:cNvPr>
        <xdr:cNvSpPr/>
      </xdr:nvSpPr>
      <xdr:spPr>
        <a:xfrm rot="10800000">
          <a:off x="361950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211</xdr:row>
      <xdr:rowOff>0</xdr:rowOff>
    </xdr:from>
    <xdr:to>
      <xdr:col>39</xdr:col>
      <xdr:colOff>83820</xdr:colOff>
      <xdr:row>211</xdr:row>
      <xdr:rowOff>114300</xdr:rowOff>
    </xdr:to>
    <xdr:sp macro="" textlink="">
      <xdr:nvSpPr>
        <xdr:cNvPr id="1547" name="Arrow: Down 1546">
          <a:extLst>
            <a:ext uri="{FF2B5EF4-FFF2-40B4-BE49-F238E27FC236}">
              <a16:creationId xmlns:a16="http://schemas.microsoft.com/office/drawing/2014/main" id="{4D43725C-65E0-4688-B1B8-EC704B9E723A}"/>
            </a:ext>
          </a:extLst>
        </xdr:cNvPr>
        <xdr:cNvSpPr/>
      </xdr:nvSpPr>
      <xdr:spPr>
        <a:xfrm>
          <a:off x="95250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211</xdr:row>
      <xdr:rowOff>0</xdr:rowOff>
    </xdr:from>
    <xdr:to>
      <xdr:col>60</xdr:col>
      <xdr:colOff>83820</xdr:colOff>
      <xdr:row>211</xdr:row>
      <xdr:rowOff>114300</xdr:rowOff>
    </xdr:to>
    <xdr:sp macro="" textlink="">
      <xdr:nvSpPr>
        <xdr:cNvPr id="1598" name="Arrow: Down 1597">
          <a:extLst>
            <a:ext uri="{FF2B5EF4-FFF2-40B4-BE49-F238E27FC236}">
              <a16:creationId xmlns:a16="http://schemas.microsoft.com/office/drawing/2014/main" id="{F4021127-0932-4A0A-9705-26E4B9205B2D}"/>
            </a:ext>
          </a:extLst>
        </xdr:cNvPr>
        <xdr:cNvSpPr/>
      </xdr:nvSpPr>
      <xdr:spPr>
        <a:xfrm>
          <a:off x="1613916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212</xdr:row>
      <xdr:rowOff>0</xdr:rowOff>
    </xdr:from>
    <xdr:to>
      <xdr:col>71</xdr:col>
      <xdr:colOff>83820</xdr:colOff>
      <xdr:row>212</xdr:row>
      <xdr:rowOff>114300</xdr:rowOff>
    </xdr:to>
    <xdr:sp macro="" textlink="">
      <xdr:nvSpPr>
        <xdr:cNvPr id="1599" name="Arrow: Down 1598">
          <a:extLst>
            <a:ext uri="{FF2B5EF4-FFF2-40B4-BE49-F238E27FC236}">
              <a16:creationId xmlns:a16="http://schemas.microsoft.com/office/drawing/2014/main" id="{405FA598-497F-4290-89D9-53168029C32C}"/>
            </a:ext>
          </a:extLst>
        </xdr:cNvPr>
        <xdr:cNvSpPr/>
      </xdr:nvSpPr>
      <xdr:spPr>
        <a:xfrm>
          <a:off x="184556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212</xdr:row>
      <xdr:rowOff>0</xdr:rowOff>
    </xdr:from>
    <xdr:to>
      <xdr:col>45</xdr:col>
      <xdr:colOff>83820</xdr:colOff>
      <xdr:row>212</xdr:row>
      <xdr:rowOff>114300</xdr:rowOff>
    </xdr:to>
    <xdr:sp macro="" textlink="">
      <xdr:nvSpPr>
        <xdr:cNvPr id="1600" name="Arrow: Down 1599">
          <a:extLst>
            <a:ext uri="{FF2B5EF4-FFF2-40B4-BE49-F238E27FC236}">
              <a16:creationId xmlns:a16="http://schemas.microsoft.com/office/drawing/2014/main" id="{75C72E09-255D-4C52-B6B6-C8C802A6B851}"/>
            </a:ext>
          </a:extLst>
        </xdr:cNvPr>
        <xdr:cNvSpPr/>
      </xdr:nvSpPr>
      <xdr:spPr>
        <a:xfrm rot="10800000">
          <a:off x="113309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212</xdr:row>
      <xdr:rowOff>0</xdr:rowOff>
    </xdr:from>
    <xdr:to>
      <xdr:col>71</xdr:col>
      <xdr:colOff>83820</xdr:colOff>
      <xdr:row>212</xdr:row>
      <xdr:rowOff>114300</xdr:rowOff>
    </xdr:to>
    <xdr:sp macro="" textlink="">
      <xdr:nvSpPr>
        <xdr:cNvPr id="1601" name="Arrow: Down 1600">
          <a:extLst>
            <a:ext uri="{FF2B5EF4-FFF2-40B4-BE49-F238E27FC236}">
              <a16:creationId xmlns:a16="http://schemas.microsoft.com/office/drawing/2014/main" id="{7EC27ED6-C88D-4502-82CA-8DE9AC496CED}"/>
            </a:ext>
          </a:extLst>
        </xdr:cNvPr>
        <xdr:cNvSpPr/>
      </xdr:nvSpPr>
      <xdr:spPr>
        <a:xfrm>
          <a:off x="184556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212</xdr:row>
      <xdr:rowOff>0</xdr:rowOff>
    </xdr:from>
    <xdr:to>
      <xdr:col>45</xdr:col>
      <xdr:colOff>83820</xdr:colOff>
      <xdr:row>212</xdr:row>
      <xdr:rowOff>114300</xdr:rowOff>
    </xdr:to>
    <xdr:sp macro="" textlink="">
      <xdr:nvSpPr>
        <xdr:cNvPr id="1602" name="Arrow: Down 1601">
          <a:extLst>
            <a:ext uri="{FF2B5EF4-FFF2-40B4-BE49-F238E27FC236}">
              <a16:creationId xmlns:a16="http://schemas.microsoft.com/office/drawing/2014/main" id="{9B8FF465-994E-4ABB-A4DE-2D169972FAB5}"/>
            </a:ext>
          </a:extLst>
        </xdr:cNvPr>
        <xdr:cNvSpPr/>
      </xdr:nvSpPr>
      <xdr:spPr>
        <a:xfrm rot="10800000">
          <a:off x="113309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212</xdr:row>
      <xdr:rowOff>0</xdr:rowOff>
    </xdr:from>
    <xdr:to>
      <xdr:col>24</xdr:col>
      <xdr:colOff>83820</xdr:colOff>
      <xdr:row>212</xdr:row>
      <xdr:rowOff>114300</xdr:rowOff>
    </xdr:to>
    <xdr:sp macro="" textlink="">
      <xdr:nvSpPr>
        <xdr:cNvPr id="1603" name="Arrow: Down 1602">
          <a:extLst>
            <a:ext uri="{FF2B5EF4-FFF2-40B4-BE49-F238E27FC236}">
              <a16:creationId xmlns:a16="http://schemas.microsoft.com/office/drawing/2014/main" id="{8C80A46D-C374-4006-9B84-DDC6F28D548B}"/>
            </a:ext>
          </a:extLst>
        </xdr:cNvPr>
        <xdr:cNvSpPr/>
      </xdr:nvSpPr>
      <xdr:spPr>
        <a:xfrm rot="10800000">
          <a:off x="63627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212</xdr:row>
      <xdr:rowOff>0</xdr:rowOff>
    </xdr:from>
    <xdr:to>
      <xdr:col>5</xdr:col>
      <xdr:colOff>83820</xdr:colOff>
      <xdr:row>212</xdr:row>
      <xdr:rowOff>114300</xdr:rowOff>
    </xdr:to>
    <xdr:sp macro="" textlink="">
      <xdr:nvSpPr>
        <xdr:cNvPr id="1604" name="Arrow: Down 1603">
          <a:extLst>
            <a:ext uri="{FF2B5EF4-FFF2-40B4-BE49-F238E27FC236}">
              <a16:creationId xmlns:a16="http://schemas.microsoft.com/office/drawing/2014/main" id="{69D120EE-5ABA-4BF2-909A-0829444150E8}"/>
            </a:ext>
          </a:extLst>
        </xdr:cNvPr>
        <xdr:cNvSpPr/>
      </xdr:nvSpPr>
      <xdr:spPr>
        <a:xfrm rot="10800000">
          <a:off x="192786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212</xdr:row>
      <xdr:rowOff>0</xdr:rowOff>
    </xdr:from>
    <xdr:to>
      <xdr:col>11</xdr:col>
      <xdr:colOff>83820</xdr:colOff>
      <xdr:row>212</xdr:row>
      <xdr:rowOff>114300</xdr:rowOff>
    </xdr:to>
    <xdr:sp macro="" textlink="">
      <xdr:nvSpPr>
        <xdr:cNvPr id="1605" name="Arrow: Down 1604">
          <a:extLst>
            <a:ext uri="{FF2B5EF4-FFF2-40B4-BE49-F238E27FC236}">
              <a16:creationId xmlns:a16="http://schemas.microsoft.com/office/drawing/2014/main" id="{676CD082-CB39-4C38-89B9-6E9C60FACBC0}"/>
            </a:ext>
          </a:extLst>
        </xdr:cNvPr>
        <xdr:cNvSpPr/>
      </xdr:nvSpPr>
      <xdr:spPr>
        <a:xfrm rot="10800000">
          <a:off x="36195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212</xdr:row>
      <xdr:rowOff>0</xdr:rowOff>
    </xdr:from>
    <xdr:to>
      <xdr:col>39</xdr:col>
      <xdr:colOff>83820</xdr:colOff>
      <xdr:row>212</xdr:row>
      <xdr:rowOff>114300</xdr:rowOff>
    </xdr:to>
    <xdr:sp macro="" textlink="">
      <xdr:nvSpPr>
        <xdr:cNvPr id="1606" name="Arrow: Down 1605">
          <a:extLst>
            <a:ext uri="{FF2B5EF4-FFF2-40B4-BE49-F238E27FC236}">
              <a16:creationId xmlns:a16="http://schemas.microsoft.com/office/drawing/2014/main" id="{79523E88-BBF6-4FEF-BDC2-776378B99657}"/>
            </a:ext>
          </a:extLst>
        </xdr:cNvPr>
        <xdr:cNvSpPr/>
      </xdr:nvSpPr>
      <xdr:spPr>
        <a:xfrm>
          <a:off x="95250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212</xdr:row>
      <xdr:rowOff>0</xdr:rowOff>
    </xdr:from>
    <xdr:to>
      <xdr:col>60</xdr:col>
      <xdr:colOff>83820</xdr:colOff>
      <xdr:row>212</xdr:row>
      <xdr:rowOff>114300</xdr:rowOff>
    </xdr:to>
    <xdr:sp macro="" textlink="">
      <xdr:nvSpPr>
        <xdr:cNvPr id="1608" name="Arrow: Down 1607">
          <a:extLst>
            <a:ext uri="{FF2B5EF4-FFF2-40B4-BE49-F238E27FC236}">
              <a16:creationId xmlns:a16="http://schemas.microsoft.com/office/drawing/2014/main" id="{64DAF5D9-BC8E-44D3-90B5-90A0806AAE6C}"/>
            </a:ext>
          </a:extLst>
        </xdr:cNvPr>
        <xdr:cNvSpPr/>
      </xdr:nvSpPr>
      <xdr:spPr>
        <a:xfrm rot="10800000">
          <a:off x="16139160" y="3886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213</xdr:row>
      <xdr:rowOff>0</xdr:rowOff>
    </xdr:from>
    <xdr:to>
      <xdr:col>71</xdr:col>
      <xdr:colOff>83820</xdr:colOff>
      <xdr:row>213</xdr:row>
      <xdr:rowOff>114300</xdr:rowOff>
    </xdr:to>
    <xdr:sp macro="" textlink="">
      <xdr:nvSpPr>
        <xdr:cNvPr id="1618" name="Arrow: Down 1617">
          <a:extLst>
            <a:ext uri="{FF2B5EF4-FFF2-40B4-BE49-F238E27FC236}">
              <a16:creationId xmlns:a16="http://schemas.microsoft.com/office/drawing/2014/main" id="{A881ED72-D5C3-4638-83BC-0FEF594FD5FD}"/>
            </a:ext>
          </a:extLst>
        </xdr:cNvPr>
        <xdr:cNvSpPr/>
      </xdr:nvSpPr>
      <xdr:spPr>
        <a:xfrm>
          <a:off x="184556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213</xdr:row>
      <xdr:rowOff>0</xdr:rowOff>
    </xdr:from>
    <xdr:to>
      <xdr:col>45</xdr:col>
      <xdr:colOff>83820</xdr:colOff>
      <xdr:row>213</xdr:row>
      <xdr:rowOff>114300</xdr:rowOff>
    </xdr:to>
    <xdr:sp macro="" textlink="">
      <xdr:nvSpPr>
        <xdr:cNvPr id="1619" name="Arrow: Down 1618">
          <a:extLst>
            <a:ext uri="{FF2B5EF4-FFF2-40B4-BE49-F238E27FC236}">
              <a16:creationId xmlns:a16="http://schemas.microsoft.com/office/drawing/2014/main" id="{C5B89BDC-FA6D-42EF-9CB8-DD56AC2978AA}"/>
            </a:ext>
          </a:extLst>
        </xdr:cNvPr>
        <xdr:cNvSpPr/>
      </xdr:nvSpPr>
      <xdr:spPr>
        <a:xfrm rot="10800000">
          <a:off x="113309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213</xdr:row>
      <xdr:rowOff>0</xdr:rowOff>
    </xdr:from>
    <xdr:to>
      <xdr:col>71</xdr:col>
      <xdr:colOff>83820</xdr:colOff>
      <xdr:row>213</xdr:row>
      <xdr:rowOff>114300</xdr:rowOff>
    </xdr:to>
    <xdr:sp macro="" textlink="">
      <xdr:nvSpPr>
        <xdr:cNvPr id="1620" name="Arrow: Down 1619">
          <a:extLst>
            <a:ext uri="{FF2B5EF4-FFF2-40B4-BE49-F238E27FC236}">
              <a16:creationId xmlns:a16="http://schemas.microsoft.com/office/drawing/2014/main" id="{F451E384-F374-474D-B303-D73E1A64F2EC}"/>
            </a:ext>
          </a:extLst>
        </xdr:cNvPr>
        <xdr:cNvSpPr/>
      </xdr:nvSpPr>
      <xdr:spPr>
        <a:xfrm>
          <a:off x="184556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213</xdr:row>
      <xdr:rowOff>0</xdr:rowOff>
    </xdr:from>
    <xdr:to>
      <xdr:col>45</xdr:col>
      <xdr:colOff>83820</xdr:colOff>
      <xdr:row>213</xdr:row>
      <xdr:rowOff>114300</xdr:rowOff>
    </xdr:to>
    <xdr:sp macro="" textlink="">
      <xdr:nvSpPr>
        <xdr:cNvPr id="1621" name="Arrow: Down 1620">
          <a:extLst>
            <a:ext uri="{FF2B5EF4-FFF2-40B4-BE49-F238E27FC236}">
              <a16:creationId xmlns:a16="http://schemas.microsoft.com/office/drawing/2014/main" id="{2307EF3E-DBFB-481C-8806-0AF0766A02D0}"/>
            </a:ext>
          </a:extLst>
        </xdr:cNvPr>
        <xdr:cNvSpPr/>
      </xdr:nvSpPr>
      <xdr:spPr>
        <a:xfrm rot="10800000">
          <a:off x="113309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213</xdr:row>
      <xdr:rowOff>0</xdr:rowOff>
    </xdr:from>
    <xdr:to>
      <xdr:col>39</xdr:col>
      <xdr:colOff>83820</xdr:colOff>
      <xdr:row>213</xdr:row>
      <xdr:rowOff>114300</xdr:rowOff>
    </xdr:to>
    <xdr:sp macro="" textlink="">
      <xdr:nvSpPr>
        <xdr:cNvPr id="1625" name="Arrow: Down 1624">
          <a:extLst>
            <a:ext uri="{FF2B5EF4-FFF2-40B4-BE49-F238E27FC236}">
              <a16:creationId xmlns:a16="http://schemas.microsoft.com/office/drawing/2014/main" id="{9566A823-FF13-4DB5-9C50-90014452E5EC}"/>
            </a:ext>
          </a:extLst>
        </xdr:cNvPr>
        <xdr:cNvSpPr/>
      </xdr:nvSpPr>
      <xdr:spPr>
        <a:xfrm>
          <a:off x="9525000" y="3886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213</xdr:row>
      <xdr:rowOff>0</xdr:rowOff>
    </xdr:from>
    <xdr:to>
      <xdr:col>5</xdr:col>
      <xdr:colOff>83820</xdr:colOff>
      <xdr:row>213</xdr:row>
      <xdr:rowOff>114300</xdr:rowOff>
    </xdr:to>
    <xdr:sp macro="" textlink="">
      <xdr:nvSpPr>
        <xdr:cNvPr id="1627" name="Arrow: Down 1626">
          <a:extLst>
            <a:ext uri="{FF2B5EF4-FFF2-40B4-BE49-F238E27FC236}">
              <a16:creationId xmlns:a16="http://schemas.microsoft.com/office/drawing/2014/main" id="{8C676FE3-99AE-42C4-B782-6D1B5A03E642}"/>
            </a:ext>
          </a:extLst>
        </xdr:cNvPr>
        <xdr:cNvSpPr/>
      </xdr:nvSpPr>
      <xdr:spPr>
        <a:xfrm>
          <a:off x="19278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213</xdr:row>
      <xdr:rowOff>0</xdr:rowOff>
    </xdr:from>
    <xdr:to>
      <xdr:col>11</xdr:col>
      <xdr:colOff>83820</xdr:colOff>
      <xdr:row>213</xdr:row>
      <xdr:rowOff>114300</xdr:rowOff>
    </xdr:to>
    <xdr:sp macro="" textlink="">
      <xdr:nvSpPr>
        <xdr:cNvPr id="1628" name="Arrow: Down 1627">
          <a:extLst>
            <a:ext uri="{FF2B5EF4-FFF2-40B4-BE49-F238E27FC236}">
              <a16:creationId xmlns:a16="http://schemas.microsoft.com/office/drawing/2014/main" id="{E1E6DCFA-E99C-4D53-AC87-DB5677769592}"/>
            </a:ext>
          </a:extLst>
        </xdr:cNvPr>
        <xdr:cNvSpPr/>
      </xdr:nvSpPr>
      <xdr:spPr>
        <a:xfrm>
          <a:off x="36195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213</xdr:row>
      <xdr:rowOff>0</xdr:rowOff>
    </xdr:from>
    <xdr:to>
      <xdr:col>24</xdr:col>
      <xdr:colOff>83820</xdr:colOff>
      <xdr:row>213</xdr:row>
      <xdr:rowOff>114300</xdr:rowOff>
    </xdr:to>
    <xdr:sp macro="" textlink="">
      <xdr:nvSpPr>
        <xdr:cNvPr id="1630" name="Arrow: Down 1629">
          <a:extLst>
            <a:ext uri="{FF2B5EF4-FFF2-40B4-BE49-F238E27FC236}">
              <a16:creationId xmlns:a16="http://schemas.microsoft.com/office/drawing/2014/main" id="{3716B35E-C675-4FA9-BC62-6A39429B0ECC}"/>
            </a:ext>
          </a:extLst>
        </xdr:cNvPr>
        <xdr:cNvSpPr/>
      </xdr:nvSpPr>
      <xdr:spPr>
        <a:xfrm>
          <a:off x="63627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213</xdr:row>
      <xdr:rowOff>0</xdr:rowOff>
    </xdr:from>
    <xdr:to>
      <xdr:col>60</xdr:col>
      <xdr:colOff>83820</xdr:colOff>
      <xdr:row>213</xdr:row>
      <xdr:rowOff>114300</xdr:rowOff>
    </xdr:to>
    <xdr:sp macro="" textlink="">
      <xdr:nvSpPr>
        <xdr:cNvPr id="1632" name="Arrow: Down 1631">
          <a:extLst>
            <a:ext uri="{FF2B5EF4-FFF2-40B4-BE49-F238E27FC236}">
              <a16:creationId xmlns:a16="http://schemas.microsoft.com/office/drawing/2014/main" id="{0602E895-52CB-4B1B-BD71-6D963C686C8A}"/>
            </a:ext>
          </a:extLst>
        </xdr:cNvPr>
        <xdr:cNvSpPr/>
      </xdr:nvSpPr>
      <xdr:spPr>
        <a:xfrm>
          <a:off x="161391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214</xdr:row>
      <xdr:rowOff>0</xdr:rowOff>
    </xdr:from>
    <xdr:to>
      <xdr:col>71</xdr:col>
      <xdr:colOff>83820</xdr:colOff>
      <xdr:row>214</xdr:row>
      <xdr:rowOff>114300</xdr:rowOff>
    </xdr:to>
    <xdr:sp macro="" textlink="">
      <xdr:nvSpPr>
        <xdr:cNvPr id="1633" name="Arrow: Down 1632">
          <a:extLst>
            <a:ext uri="{FF2B5EF4-FFF2-40B4-BE49-F238E27FC236}">
              <a16:creationId xmlns:a16="http://schemas.microsoft.com/office/drawing/2014/main" id="{3639EDFD-3CA5-45F3-A23D-70E46F4A4669}"/>
            </a:ext>
          </a:extLst>
        </xdr:cNvPr>
        <xdr:cNvSpPr/>
      </xdr:nvSpPr>
      <xdr:spPr>
        <a:xfrm>
          <a:off x="2244852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214</xdr:row>
      <xdr:rowOff>0</xdr:rowOff>
    </xdr:from>
    <xdr:to>
      <xdr:col>45</xdr:col>
      <xdr:colOff>83820</xdr:colOff>
      <xdr:row>214</xdr:row>
      <xdr:rowOff>114300</xdr:rowOff>
    </xdr:to>
    <xdr:sp macro="" textlink="">
      <xdr:nvSpPr>
        <xdr:cNvPr id="1634" name="Arrow: Down 1633">
          <a:extLst>
            <a:ext uri="{FF2B5EF4-FFF2-40B4-BE49-F238E27FC236}">
              <a16:creationId xmlns:a16="http://schemas.microsoft.com/office/drawing/2014/main" id="{4346E9DF-5556-4E92-9FE4-7E44C98FA192}"/>
            </a:ext>
          </a:extLst>
        </xdr:cNvPr>
        <xdr:cNvSpPr/>
      </xdr:nvSpPr>
      <xdr:spPr>
        <a:xfrm rot="10800000">
          <a:off x="1365504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214</xdr:row>
      <xdr:rowOff>0</xdr:rowOff>
    </xdr:from>
    <xdr:to>
      <xdr:col>71</xdr:col>
      <xdr:colOff>83820</xdr:colOff>
      <xdr:row>214</xdr:row>
      <xdr:rowOff>114300</xdr:rowOff>
    </xdr:to>
    <xdr:sp macro="" textlink="">
      <xdr:nvSpPr>
        <xdr:cNvPr id="1635" name="Arrow: Down 1634">
          <a:extLst>
            <a:ext uri="{FF2B5EF4-FFF2-40B4-BE49-F238E27FC236}">
              <a16:creationId xmlns:a16="http://schemas.microsoft.com/office/drawing/2014/main" id="{A514A329-C6BB-4E47-AC3D-26ECB6A40FE1}"/>
            </a:ext>
          </a:extLst>
        </xdr:cNvPr>
        <xdr:cNvSpPr/>
      </xdr:nvSpPr>
      <xdr:spPr>
        <a:xfrm>
          <a:off x="2244852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214</xdr:row>
      <xdr:rowOff>0</xdr:rowOff>
    </xdr:from>
    <xdr:to>
      <xdr:col>45</xdr:col>
      <xdr:colOff>83820</xdr:colOff>
      <xdr:row>214</xdr:row>
      <xdr:rowOff>114300</xdr:rowOff>
    </xdr:to>
    <xdr:sp macro="" textlink="">
      <xdr:nvSpPr>
        <xdr:cNvPr id="1636" name="Arrow: Down 1635">
          <a:extLst>
            <a:ext uri="{FF2B5EF4-FFF2-40B4-BE49-F238E27FC236}">
              <a16:creationId xmlns:a16="http://schemas.microsoft.com/office/drawing/2014/main" id="{6E228DE0-925E-4FB3-9C1C-CD4C7E49841B}"/>
            </a:ext>
          </a:extLst>
        </xdr:cNvPr>
        <xdr:cNvSpPr/>
      </xdr:nvSpPr>
      <xdr:spPr>
        <a:xfrm rot="10800000">
          <a:off x="1365504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214</xdr:row>
      <xdr:rowOff>0</xdr:rowOff>
    </xdr:from>
    <xdr:to>
      <xdr:col>5</xdr:col>
      <xdr:colOff>83820</xdr:colOff>
      <xdr:row>214</xdr:row>
      <xdr:rowOff>114300</xdr:rowOff>
    </xdr:to>
    <xdr:sp macro="" textlink="">
      <xdr:nvSpPr>
        <xdr:cNvPr id="1638" name="Arrow: Down 1637">
          <a:extLst>
            <a:ext uri="{FF2B5EF4-FFF2-40B4-BE49-F238E27FC236}">
              <a16:creationId xmlns:a16="http://schemas.microsoft.com/office/drawing/2014/main" id="{74448102-A034-407B-90AC-1CE9301F12B4}"/>
            </a:ext>
          </a:extLst>
        </xdr:cNvPr>
        <xdr:cNvSpPr/>
      </xdr:nvSpPr>
      <xdr:spPr>
        <a:xfrm>
          <a:off x="19278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214</xdr:row>
      <xdr:rowOff>0</xdr:rowOff>
    </xdr:from>
    <xdr:to>
      <xdr:col>11</xdr:col>
      <xdr:colOff>83820</xdr:colOff>
      <xdr:row>214</xdr:row>
      <xdr:rowOff>114300</xdr:rowOff>
    </xdr:to>
    <xdr:sp macro="" textlink="">
      <xdr:nvSpPr>
        <xdr:cNvPr id="1639" name="Arrow: Down 1638">
          <a:extLst>
            <a:ext uri="{FF2B5EF4-FFF2-40B4-BE49-F238E27FC236}">
              <a16:creationId xmlns:a16="http://schemas.microsoft.com/office/drawing/2014/main" id="{5FA8E31A-E0E1-4BD8-A8D0-AFB1ABB99C84}"/>
            </a:ext>
          </a:extLst>
        </xdr:cNvPr>
        <xdr:cNvSpPr/>
      </xdr:nvSpPr>
      <xdr:spPr>
        <a:xfrm>
          <a:off x="36195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214</xdr:row>
      <xdr:rowOff>0</xdr:rowOff>
    </xdr:from>
    <xdr:to>
      <xdr:col>24</xdr:col>
      <xdr:colOff>83820</xdr:colOff>
      <xdr:row>214</xdr:row>
      <xdr:rowOff>114300</xdr:rowOff>
    </xdr:to>
    <xdr:sp macro="" textlink="">
      <xdr:nvSpPr>
        <xdr:cNvPr id="1640" name="Arrow: Down 1639">
          <a:extLst>
            <a:ext uri="{FF2B5EF4-FFF2-40B4-BE49-F238E27FC236}">
              <a16:creationId xmlns:a16="http://schemas.microsoft.com/office/drawing/2014/main" id="{6A15328A-AD9B-4D2D-BBDC-81669C0DF96E}"/>
            </a:ext>
          </a:extLst>
        </xdr:cNvPr>
        <xdr:cNvSpPr/>
      </xdr:nvSpPr>
      <xdr:spPr>
        <a:xfrm>
          <a:off x="63627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214</xdr:row>
      <xdr:rowOff>0</xdr:rowOff>
    </xdr:from>
    <xdr:to>
      <xdr:col>39</xdr:col>
      <xdr:colOff>83820</xdr:colOff>
      <xdr:row>214</xdr:row>
      <xdr:rowOff>114300</xdr:rowOff>
    </xdr:to>
    <xdr:sp macro="" textlink="">
      <xdr:nvSpPr>
        <xdr:cNvPr id="1642" name="Arrow: Down 1641">
          <a:extLst>
            <a:ext uri="{FF2B5EF4-FFF2-40B4-BE49-F238E27FC236}">
              <a16:creationId xmlns:a16="http://schemas.microsoft.com/office/drawing/2014/main" id="{D461EF47-2315-45EB-ADF6-F04F3F82EFB2}"/>
            </a:ext>
          </a:extLst>
        </xdr:cNvPr>
        <xdr:cNvSpPr/>
      </xdr:nvSpPr>
      <xdr:spPr>
        <a:xfrm rot="10800000">
          <a:off x="118491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214</xdr:row>
      <xdr:rowOff>0</xdr:rowOff>
    </xdr:from>
    <xdr:to>
      <xdr:col>60</xdr:col>
      <xdr:colOff>83820</xdr:colOff>
      <xdr:row>214</xdr:row>
      <xdr:rowOff>114300</xdr:rowOff>
    </xdr:to>
    <xdr:sp macro="" textlink="">
      <xdr:nvSpPr>
        <xdr:cNvPr id="1644" name="Arrow: Down 1643">
          <a:extLst>
            <a:ext uri="{FF2B5EF4-FFF2-40B4-BE49-F238E27FC236}">
              <a16:creationId xmlns:a16="http://schemas.microsoft.com/office/drawing/2014/main" id="{C412BA3B-2114-4438-AF78-00E0CC36EFC8}"/>
            </a:ext>
          </a:extLst>
        </xdr:cNvPr>
        <xdr:cNvSpPr/>
      </xdr:nvSpPr>
      <xdr:spPr>
        <a:xfrm rot="10800000">
          <a:off x="18463260" y="3923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215</xdr:row>
      <xdr:rowOff>0</xdr:rowOff>
    </xdr:from>
    <xdr:to>
      <xdr:col>71</xdr:col>
      <xdr:colOff>83820</xdr:colOff>
      <xdr:row>215</xdr:row>
      <xdr:rowOff>114300</xdr:rowOff>
    </xdr:to>
    <xdr:sp macro="" textlink="">
      <xdr:nvSpPr>
        <xdr:cNvPr id="1654" name="Arrow: Down 1653">
          <a:extLst>
            <a:ext uri="{FF2B5EF4-FFF2-40B4-BE49-F238E27FC236}">
              <a16:creationId xmlns:a16="http://schemas.microsoft.com/office/drawing/2014/main" id="{AA173FFA-E0E4-4E26-8C57-7D930595355D}"/>
            </a:ext>
          </a:extLst>
        </xdr:cNvPr>
        <xdr:cNvSpPr/>
      </xdr:nvSpPr>
      <xdr:spPr>
        <a:xfrm>
          <a:off x="184556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215</xdr:row>
      <xdr:rowOff>0</xdr:rowOff>
    </xdr:from>
    <xdr:to>
      <xdr:col>45</xdr:col>
      <xdr:colOff>83820</xdr:colOff>
      <xdr:row>215</xdr:row>
      <xdr:rowOff>114300</xdr:rowOff>
    </xdr:to>
    <xdr:sp macro="" textlink="">
      <xdr:nvSpPr>
        <xdr:cNvPr id="1655" name="Arrow: Down 1654">
          <a:extLst>
            <a:ext uri="{FF2B5EF4-FFF2-40B4-BE49-F238E27FC236}">
              <a16:creationId xmlns:a16="http://schemas.microsoft.com/office/drawing/2014/main" id="{1B721552-F62D-47AF-8A05-68297CA0A922}"/>
            </a:ext>
          </a:extLst>
        </xdr:cNvPr>
        <xdr:cNvSpPr/>
      </xdr:nvSpPr>
      <xdr:spPr>
        <a:xfrm rot="10800000">
          <a:off x="113309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215</xdr:row>
      <xdr:rowOff>0</xdr:rowOff>
    </xdr:from>
    <xdr:to>
      <xdr:col>71</xdr:col>
      <xdr:colOff>83820</xdr:colOff>
      <xdr:row>215</xdr:row>
      <xdr:rowOff>114300</xdr:rowOff>
    </xdr:to>
    <xdr:sp macro="" textlink="">
      <xdr:nvSpPr>
        <xdr:cNvPr id="1656" name="Arrow: Down 1655">
          <a:extLst>
            <a:ext uri="{FF2B5EF4-FFF2-40B4-BE49-F238E27FC236}">
              <a16:creationId xmlns:a16="http://schemas.microsoft.com/office/drawing/2014/main" id="{12684ECE-631F-4D4F-9E8A-E7515C85FC4C}"/>
            </a:ext>
          </a:extLst>
        </xdr:cNvPr>
        <xdr:cNvSpPr/>
      </xdr:nvSpPr>
      <xdr:spPr>
        <a:xfrm>
          <a:off x="184556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215</xdr:row>
      <xdr:rowOff>0</xdr:rowOff>
    </xdr:from>
    <xdr:to>
      <xdr:col>45</xdr:col>
      <xdr:colOff>83820</xdr:colOff>
      <xdr:row>215</xdr:row>
      <xdr:rowOff>114300</xdr:rowOff>
    </xdr:to>
    <xdr:sp macro="" textlink="">
      <xdr:nvSpPr>
        <xdr:cNvPr id="1657" name="Arrow: Down 1656">
          <a:extLst>
            <a:ext uri="{FF2B5EF4-FFF2-40B4-BE49-F238E27FC236}">
              <a16:creationId xmlns:a16="http://schemas.microsoft.com/office/drawing/2014/main" id="{7E362C21-0D77-400E-BAA9-8FE64F416D6A}"/>
            </a:ext>
          </a:extLst>
        </xdr:cNvPr>
        <xdr:cNvSpPr/>
      </xdr:nvSpPr>
      <xdr:spPr>
        <a:xfrm rot="10800000">
          <a:off x="113309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215</xdr:row>
      <xdr:rowOff>0</xdr:rowOff>
    </xdr:from>
    <xdr:to>
      <xdr:col>5</xdr:col>
      <xdr:colOff>83820</xdr:colOff>
      <xdr:row>215</xdr:row>
      <xdr:rowOff>114300</xdr:rowOff>
    </xdr:to>
    <xdr:sp macro="" textlink="">
      <xdr:nvSpPr>
        <xdr:cNvPr id="1658" name="Arrow: Down 1657">
          <a:extLst>
            <a:ext uri="{FF2B5EF4-FFF2-40B4-BE49-F238E27FC236}">
              <a16:creationId xmlns:a16="http://schemas.microsoft.com/office/drawing/2014/main" id="{F80B3F31-F174-4F55-9BED-87F63C9B7C82}"/>
            </a:ext>
          </a:extLst>
        </xdr:cNvPr>
        <xdr:cNvSpPr/>
      </xdr:nvSpPr>
      <xdr:spPr>
        <a:xfrm>
          <a:off x="192786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215</xdr:row>
      <xdr:rowOff>0</xdr:rowOff>
    </xdr:from>
    <xdr:to>
      <xdr:col>11</xdr:col>
      <xdr:colOff>83820</xdr:colOff>
      <xdr:row>215</xdr:row>
      <xdr:rowOff>114300</xdr:rowOff>
    </xdr:to>
    <xdr:sp macro="" textlink="">
      <xdr:nvSpPr>
        <xdr:cNvPr id="1659" name="Arrow: Down 1658">
          <a:extLst>
            <a:ext uri="{FF2B5EF4-FFF2-40B4-BE49-F238E27FC236}">
              <a16:creationId xmlns:a16="http://schemas.microsoft.com/office/drawing/2014/main" id="{2F667711-0C5F-49F2-BA68-B25AFF48381E}"/>
            </a:ext>
          </a:extLst>
        </xdr:cNvPr>
        <xdr:cNvSpPr/>
      </xdr:nvSpPr>
      <xdr:spPr>
        <a:xfrm>
          <a:off x="36195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215</xdr:row>
      <xdr:rowOff>0</xdr:rowOff>
    </xdr:from>
    <xdr:to>
      <xdr:col>24</xdr:col>
      <xdr:colOff>83820</xdr:colOff>
      <xdr:row>215</xdr:row>
      <xdr:rowOff>114300</xdr:rowOff>
    </xdr:to>
    <xdr:sp macro="" textlink="">
      <xdr:nvSpPr>
        <xdr:cNvPr id="1660" name="Arrow: Down 1659">
          <a:extLst>
            <a:ext uri="{FF2B5EF4-FFF2-40B4-BE49-F238E27FC236}">
              <a16:creationId xmlns:a16="http://schemas.microsoft.com/office/drawing/2014/main" id="{A9F3ABA9-9D49-4E78-94A4-501FD6E34672}"/>
            </a:ext>
          </a:extLst>
        </xdr:cNvPr>
        <xdr:cNvSpPr/>
      </xdr:nvSpPr>
      <xdr:spPr>
        <a:xfrm>
          <a:off x="63627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215</xdr:row>
      <xdr:rowOff>0</xdr:rowOff>
    </xdr:from>
    <xdr:to>
      <xdr:col>39</xdr:col>
      <xdr:colOff>83820</xdr:colOff>
      <xdr:row>215</xdr:row>
      <xdr:rowOff>114300</xdr:rowOff>
    </xdr:to>
    <xdr:sp macro="" textlink="">
      <xdr:nvSpPr>
        <xdr:cNvPr id="1661" name="Arrow: Down 1660">
          <a:extLst>
            <a:ext uri="{FF2B5EF4-FFF2-40B4-BE49-F238E27FC236}">
              <a16:creationId xmlns:a16="http://schemas.microsoft.com/office/drawing/2014/main" id="{2CDEFF6A-C1C5-4ED3-AACA-27C956EE4145}"/>
            </a:ext>
          </a:extLst>
        </xdr:cNvPr>
        <xdr:cNvSpPr/>
      </xdr:nvSpPr>
      <xdr:spPr>
        <a:xfrm rot="10800000">
          <a:off x="95250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215</xdr:row>
      <xdr:rowOff>0</xdr:rowOff>
    </xdr:from>
    <xdr:to>
      <xdr:col>60</xdr:col>
      <xdr:colOff>83820</xdr:colOff>
      <xdr:row>215</xdr:row>
      <xdr:rowOff>114300</xdr:rowOff>
    </xdr:to>
    <xdr:sp macro="" textlink="">
      <xdr:nvSpPr>
        <xdr:cNvPr id="1664" name="Arrow: Down 1663">
          <a:extLst>
            <a:ext uri="{FF2B5EF4-FFF2-40B4-BE49-F238E27FC236}">
              <a16:creationId xmlns:a16="http://schemas.microsoft.com/office/drawing/2014/main" id="{36740F99-6F3D-490B-A7BF-42831E080171}"/>
            </a:ext>
          </a:extLst>
        </xdr:cNvPr>
        <xdr:cNvSpPr/>
      </xdr:nvSpPr>
      <xdr:spPr>
        <a:xfrm>
          <a:off x="1676400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216</xdr:row>
      <xdr:rowOff>0</xdr:rowOff>
    </xdr:from>
    <xdr:to>
      <xdr:col>71</xdr:col>
      <xdr:colOff>83820</xdr:colOff>
      <xdr:row>216</xdr:row>
      <xdr:rowOff>114300</xdr:rowOff>
    </xdr:to>
    <xdr:sp macro="" textlink="">
      <xdr:nvSpPr>
        <xdr:cNvPr id="1595" name="Arrow: Down 1594">
          <a:extLst>
            <a:ext uri="{FF2B5EF4-FFF2-40B4-BE49-F238E27FC236}">
              <a16:creationId xmlns:a16="http://schemas.microsoft.com/office/drawing/2014/main" id="{D1F695C8-108A-499A-9CE3-DCDEF8C27DF0}"/>
            </a:ext>
          </a:extLst>
        </xdr:cNvPr>
        <xdr:cNvSpPr/>
      </xdr:nvSpPr>
      <xdr:spPr>
        <a:xfrm>
          <a:off x="1908048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216</xdr:row>
      <xdr:rowOff>0</xdr:rowOff>
    </xdr:from>
    <xdr:to>
      <xdr:col>45</xdr:col>
      <xdr:colOff>83820</xdr:colOff>
      <xdr:row>216</xdr:row>
      <xdr:rowOff>114300</xdr:rowOff>
    </xdr:to>
    <xdr:sp macro="" textlink="">
      <xdr:nvSpPr>
        <xdr:cNvPr id="1596" name="Arrow: Down 1595">
          <a:extLst>
            <a:ext uri="{FF2B5EF4-FFF2-40B4-BE49-F238E27FC236}">
              <a16:creationId xmlns:a16="http://schemas.microsoft.com/office/drawing/2014/main" id="{CAB9D78C-D6E8-4AF2-A3BA-F215676E555D}"/>
            </a:ext>
          </a:extLst>
        </xdr:cNvPr>
        <xdr:cNvSpPr/>
      </xdr:nvSpPr>
      <xdr:spPr>
        <a:xfrm rot="10800000">
          <a:off x="1144524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216</xdr:row>
      <xdr:rowOff>0</xdr:rowOff>
    </xdr:from>
    <xdr:to>
      <xdr:col>71</xdr:col>
      <xdr:colOff>83820</xdr:colOff>
      <xdr:row>216</xdr:row>
      <xdr:rowOff>114300</xdr:rowOff>
    </xdr:to>
    <xdr:sp macro="" textlink="">
      <xdr:nvSpPr>
        <xdr:cNvPr id="1597" name="Arrow: Down 1596">
          <a:extLst>
            <a:ext uri="{FF2B5EF4-FFF2-40B4-BE49-F238E27FC236}">
              <a16:creationId xmlns:a16="http://schemas.microsoft.com/office/drawing/2014/main" id="{1BFF3C02-0FA4-4394-A258-E4990E97BCD6}"/>
            </a:ext>
          </a:extLst>
        </xdr:cNvPr>
        <xdr:cNvSpPr/>
      </xdr:nvSpPr>
      <xdr:spPr>
        <a:xfrm>
          <a:off x="1908048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216</xdr:row>
      <xdr:rowOff>0</xdr:rowOff>
    </xdr:from>
    <xdr:to>
      <xdr:col>45</xdr:col>
      <xdr:colOff>83820</xdr:colOff>
      <xdr:row>216</xdr:row>
      <xdr:rowOff>114300</xdr:rowOff>
    </xdr:to>
    <xdr:sp macro="" textlink="">
      <xdr:nvSpPr>
        <xdr:cNvPr id="1607" name="Arrow: Down 1606">
          <a:extLst>
            <a:ext uri="{FF2B5EF4-FFF2-40B4-BE49-F238E27FC236}">
              <a16:creationId xmlns:a16="http://schemas.microsoft.com/office/drawing/2014/main" id="{EB4A6625-0408-4CD3-B922-716A26DA01DE}"/>
            </a:ext>
          </a:extLst>
        </xdr:cNvPr>
        <xdr:cNvSpPr/>
      </xdr:nvSpPr>
      <xdr:spPr>
        <a:xfrm rot="10800000">
          <a:off x="1144524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216</xdr:row>
      <xdr:rowOff>0</xdr:rowOff>
    </xdr:from>
    <xdr:to>
      <xdr:col>5</xdr:col>
      <xdr:colOff>83820</xdr:colOff>
      <xdr:row>216</xdr:row>
      <xdr:rowOff>114300</xdr:rowOff>
    </xdr:to>
    <xdr:sp macro="" textlink="">
      <xdr:nvSpPr>
        <xdr:cNvPr id="1614" name="Arrow: Down 1613">
          <a:extLst>
            <a:ext uri="{FF2B5EF4-FFF2-40B4-BE49-F238E27FC236}">
              <a16:creationId xmlns:a16="http://schemas.microsoft.com/office/drawing/2014/main" id="{4E7B9F0D-66CF-4895-9FC9-ACBE05D2EA08}"/>
            </a:ext>
          </a:extLst>
        </xdr:cNvPr>
        <xdr:cNvSpPr/>
      </xdr:nvSpPr>
      <xdr:spPr>
        <a:xfrm rot="10800000">
          <a:off x="192786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216</xdr:row>
      <xdr:rowOff>0</xdr:rowOff>
    </xdr:from>
    <xdr:to>
      <xdr:col>11</xdr:col>
      <xdr:colOff>83820</xdr:colOff>
      <xdr:row>216</xdr:row>
      <xdr:rowOff>114300</xdr:rowOff>
    </xdr:to>
    <xdr:sp macro="" textlink="">
      <xdr:nvSpPr>
        <xdr:cNvPr id="1615" name="Arrow: Down 1614">
          <a:extLst>
            <a:ext uri="{FF2B5EF4-FFF2-40B4-BE49-F238E27FC236}">
              <a16:creationId xmlns:a16="http://schemas.microsoft.com/office/drawing/2014/main" id="{A267EABA-0519-4AFA-A669-84DE59C32BFA}"/>
            </a:ext>
          </a:extLst>
        </xdr:cNvPr>
        <xdr:cNvSpPr/>
      </xdr:nvSpPr>
      <xdr:spPr>
        <a:xfrm rot="10800000">
          <a:off x="36195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216</xdr:row>
      <xdr:rowOff>0</xdr:rowOff>
    </xdr:from>
    <xdr:to>
      <xdr:col>24</xdr:col>
      <xdr:colOff>83820</xdr:colOff>
      <xdr:row>216</xdr:row>
      <xdr:rowOff>114300</xdr:rowOff>
    </xdr:to>
    <xdr:sp macro="" textlink="">
      <xdr:nvSpPr>
        <xdr:cNvPr id="1616" name="Arrow: Down 1615">
          <a:extLst>
            <a:ext uri="{FF2B5EF4-FFF2-40B4-BE49-F238E27FC236}">
              <a16:creationId xmlns:a16="http://schemas.microsoft.com/office/drawing/2014/main" id="{30B348B8-B3BB-4B9D-A5D8-83A83D3A595B}"/>
            </a:ext>
          </a:extLst>
        </xdr:cNvPr>
        <xdr:cNvSpPr/>
      </xdr:nvSpPr>
      <xdr:spPr>
        <a:xfrm rot="10800000">
          <a:off x="6477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216</xdr:row>
      <xdr:rowOff>0</xdr:rowOff>
    </xdr:from>
    <xdr:to>
      <xdr:col>39</xdr:col>
      <xdr:colOff>83820</xdr:colOff>
      <xdr:row>216</xdr:row>
      <xdr:rowOff>114300</xdr:rowOff>
    </xdr:to>
    <xdr:sp macro="" textlink="">
      <xdr:nvSpPr>
        <xdr:cNvPr id="1622" name="Arrow: Down 1621">
          <a:extLst>
            <a:ext uri="{FF2B5EF4-FFF2-40B4-BE49-F238E27FC236}">
              <a16:creationId xmlns:a16="http://schemas.microsoft.com/office/drawing/2014/main" id="{DDFBB48F-3C4C-4871-A436-B2980FE1153B}"/>
            </a:ext>
          </a:extLst>
        </xdr:cNvPr>
        <xdr:cNvSpPr/>
      </xdr:nvSpPr>
      <xdr:spPr>
        <a:xfrm rot="10800000">
          <a:off x="96393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216</xdr:row>
      <xdr:rowOff>0</xdr:rowOff>
    </xdr:from>
    <xdr:to>
      <xdr:col>60</xdr:col>
      <xdr:colOff>83820</xdr:colOff>
      <xdr:row>216</xdr:row>
      <xdr:rowOff>114300</xdr:rowOff>
    </xdr:to>
    <xdr:sp macro="" textlink="">
      <xdr:nvSpPr>
        <xdr:cNvPr id="1623" name="Arrow: Down 1622">
          <a:extLst>
            <a:ext uri="{FF2B5EF4-FFF2-40B4-BE49-F238E27FC236}">
              <a16:creationId xmlns:a16="http://schemas.microsoft.com/office/drawing/2014/main" id="{FBCE2B96-F5A9-4CF4-A7A7-2B599EC0F4AD}"/>
            </a:ext>
          </a:extLst>
        </xdr:cNvPr>
        <xdr:cNvSpPr/>
      </xdr:nvSpPr>
      <xdr:spPr>
        <a:xfrm rot="10800000">
          <a:off x="16764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217</xdr:row>
      <xdr:rowOff>0</xdr:rowOff>
    </xdr:from>
    <xdr:to>
      <xdr:col>71</xdr:col>
      <xdr:colOff>83820</xdr:colOff>
      <xdr:row>217</xdr:row>
      <xdr:rowOff>114300</xdr:rowOff>
    </xdr:to>
    <xdr:sp macro="" textlink="">
      <xdr:nvSpPr>
        <xdr:cNvPr id="1631" name="Arrow: Down 1630">
          <a:extLst>
            <a:ext uri="{FF2B5EF4-FFF2-40B4-BE49-F238E27FC236}">
              <a16:creationId xmlns:a16="http://schemas.microsoft.com/office/drawing/2014/main" id="{DD27F922-739E-4B32-ABAC-0B6D89FCCD8C}"/>
            </a:ext>
          </a:extLst>
        </xdr:cNvPr>
        <xdr:cNvSpPr/>
      </xdr:nvSpPr>
      <xdr:spPr>
        <a:xfrm>
          <a:off x="1908048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217</xdr:row>
      <xdr:rowOff>0</xdr:rowOff>
    </xdr:from>
    <xdr:to>
      <xdr:col>45</xdr:col>
      <xdr:colOff>83820</xdr:colOff>
      <xdr:row>217</xdr:row>
      <xdr:rowOff>114300</xdr:rowOff>
    </xdr:to>
    <xdr:sp macro="" textlink="">
      <xdr:nvSpPr>
        <xdr:cNvPr id="1637" name="Arrow: Down 1636">
          <a:extLst>
            <a:ext uri="{FF2B5EF4-FFF2-40B4-BE49-F238E27FC236}">
              <a16:creationId xmlns:a16="http://schemas.microsoft.com/office/drawing/2014/main" id="{4FC9A48C-DA5F-44A4-A036-90A281CE2AE8}"/>
            </a:ext>
          </a:extLst>
        </xdr:cNvPr>
        <xdr:cNvSpPr/>
      </xdr:nvSpPr>
      <xdr:spPr>
        <a:xfrm rot="10800000">
          <a:off x="1144524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217</xdr:row>
      <xdr:rowOff>0</xdr:rowOff>
    </xdr:from>
    <xdr:to>
      <xdr:col>71</xdr:col>
      <xdr:colOff>83820</xdr:colOff>
      <xdr:row>217</xdr:row>
      <xdr:rowOff>114300</xdr:rowOff>
    </xdr:to>
    <xdr:sp macro="" textlink="">
      <xdr:nvSpPr>
        <xdr:cNvPr id="1641" name="Arrow: Down 1640">
          <a:extLst>
            <a:ext uri="{FF2B5EF4-FFF2-40B4-BE49-F238E27FC236}">
              <a16:creationId xmlns:a16="http://schemas.microsoft.com/office/drawing/2014/main" id="{792DFE96-CEE9-4D3B-BBFC-9E3190E9AB70}"/>
            </a:ext>
          </a:extLst>
        </xdr:cNvPr>
        <xdr:cNvSpPr/>
      </xdr:nvSpPr>
      <xdr:spPr>
        <a:xfrm>
          <a:off x="1908048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217</xdr:row>
      <xdr:rowOff>0</xdr:rowOff>
    </xdr:from>
    <xdr:to>
      <xdr:col>45</xdr:col>
      <xdr:colOff>83820</xdr:colOff>
      <xdr:row>217</xdr:row>
      <xdr:rowOff>114300</xdr:rowOff>
    </xdr:to>
    <xdr:sp macro="" textlink="">
      <xdr:nvSpPr>
        <xdr:cNvPr id="1643" name="Arrow: Down 1642">
          <a:extLst>
            <a:ext uri="{FF2B5EF4-FFF2-40B4-BE49-F238E27FC236}">
              <a16:creationId xmlns:a16="http://schemas.microsoft.com/office/drawing/2014/main" id="{754F1555-B4A5-4576-BF37-59C3D3C66448}"/>
            </a:ext>
          </a:extLst>
        </xdr:cNvPr>
        <xdr:cNvSpPr/>
      </xdr:nvSpPr>
      <xdr:spPr>
        <a:xfrm rot="10800000">
          <a:off x="1144524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217</xdr:row>
      <xdr:rowOff>0</xdr:rowOff>
    </xdr:from>
    <xdr:to>
      <xdr:col>5</xdr:col>
      <xdr:colOff>83820</xdr:colOff>
      <xdr:row>217</xdr:row>
      <xdr:rowOff>114300</xdr:rowOff>
    </xdr:to>
    <xdr:sp macro="" textlink="">
      <xdr:nvSpPr>
        <xdr:cNvPr id="1645" name="Arrow: Down 1644">
          <a:extLst>
            <a:ext uri="{FF2B5EF4-FFF2-40B4-BE49-F238E27FC236}">
              <a16:creationId xmlns:a16="http://schemas.microsoft.com/office/drawing/2014/main" id="{99240245-C35F-4B4A-9315-13051327050F}"/>
            </a:ext>
          </a:extLst>
        </xdr:cNvPr>
        <xdr:cNvSpPr/>
      </xdr:nvSpPr>
      <xdr:spPr>
        <a:xfrm rot="10800000">
          <a:off x="192786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217</xdr:row>
      <xdr:rowOff>0</xdr:rowOff>
    </xdr:from>
    <xdr:to>
      <xdr:col>11</xdr:col>
      <xdr:colOff>83820</xdr:colOff>
      <xdr:row>217</xdr:row>
      <xdr:rowOff>114300</xdr:rowOff>
    </xdr:to>
    <xdr:sp macro="" textlink="">
      <xdr:nvSpPr>
        <xdr:cNvPr id="1646" name="Arrow: Down 1645">
          <a:extLst>
            <a:ext uri="{FF2B5EF4-FFF2-40B4-BE49-F238E27FC236}">
              <a16:creationId xmlns:a16="http://schemas.microsoft.com/office/drawing/2014/main" id="{CC3D34DF-4CEF-4957-BA53-43126CA3652B}"/>
            </a:ext>
          </a:extLst>
        </xdr:cNvPr>
        <xdr:cNvSpPr/>
      </xdr:nvSpPr>
      <xdr:spPr>
        <a:xfrm rot="10800000">
          <a:off x="36195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217</xdr:row>
      <xdr:rowOff>0</xdr:rowOff>
    </xdr:from>
    <xdr:to>
      <xdr:col>24</xdr:col>
      <xdr:colOff>83820</xdr:colOff>
      <xdr:row>217</xdr:row>
      <xdr:rowOff>114300</xdr:rowOff>
    </xdr:to>
    <xdr:sp macro="" textlink="">
      <xdr:nvSpPr>
        <xdr:cNvPr id="1647" name="Arrow: Down 1646">
          <a:extLst>
            <a:ext uri="{FF2B5EF4-FFF2-40B4-BE49-F238E27FC236}">
              <a16:creationId xmlns:a16="http://schemas.microsoft.com/office/drawing/2014/main" id="{61187099-05F7-47B5-A7AB-9A03FE8095B6}"/>
            </a:ext>
          </a:extLst>
        </xdr:cNvPr>
        <xdr:cNvSpPr/>
      </xdr:nvSpPr>
      <xdr:spPr>
        <a:xfrm rot="10800000">
          <a:off x="6477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217</xdr:row>
      <xdr:rowOff>0</xdr:rowOff>
    </xdr:from>
    <xdr:to>
      <xdr:col>60</xdr:col>
      <xdr:colOff>83820</xdr:colOff>
      <xdr:row>217</xdr:row>
      <xdr:rowOff>114300</xdr:rowOff>
    </xdr:to>
    <xdr:sp macro="" textlink="">
      <xdr:nvSpPr>
        <xdr:cNvPr id="1649" name="Arrow: Down 1648">
          <a:extLst>
            <a:ext uri="{FF2B5EF4-FFF2-40B4-BE49-F238E27FC236}">
              <a16:creationId xmlns:a16="http://schemas.microsoft.com/office/drawing/2014/main" id="{C3DF03C8-21C5-40C4-A245-485B275A000F}"/>
            </a:ext>
          </a:extLst>
        </xdr:cNvPr>
        <xdr:cNvSpPr/>
      </xdr:nvSpPr>
      <xdr:spPr>
        <a:xfrm rot="10800000">
          <a:off x="16764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217</xdr:row>
      <xdr:rowOff>0</xdr:rowOff>
    </xdr:from>
    <xdr:to>
      <xdr:col>39</xdr:col>
      <xdr:colOff>83820</xdr:colOff>
      <xdr:row>217</xdr:row>
      <xdr:rowOff>114300</xdr:rowOff>
    </xdr:to>
    <xdr:sp macro="" textlink="">
      <xdr:nvSpPr>
        <xdr:cNvPr id="1650" name="Arrow: Down 1649">
          <a:extLst>
            <a:ext uri="{FF2B5EF4-FFF2-40B4-BE49-F238E27FC236}">
              <a16:creationId xmlns:a16="http://schemas.microsoft.com/office/drawing/2014/main" id="{76A368F5-F12A-410C-B0F6-80AABC3B3A60}"/>
            </a:ext>
          </a:extLst>
        </xdr:cNvPr>
        <xdr:cNvSpPr/>
      </xdr:nvSpPr>
      <xdr:spPr>
        <a:xfrm rot="10800000">
          <a:off x="963930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218</xdr:row>
      <xdr:rowOff>0</xdr:rowOff>
    </xdr:from>
    <xdr:to>
      <xdr:col>71</xdr:col>
      <xdr:colOff>83820</xdr:colOff>
      <xdr:row>218</xdr:row>
      <xdr:rowOff>114300</xdr:rowOff>
    </xdr:to>
    <xdr:sp macro="" textlink="">
      <xdr:nvSpPr>
        <xdr:cNvPr id="1651" name="Arrow: Down 1650">
          <a:extLst>
            <a:ext uri="{FF2B5EF4-FFF2-40B4-BE49-F238E27FC236}">
              <a16:creationId xmlns:a16="http://schemas.microsoft.com/office/drawing/2014/main" id="{256D8F80-FD39-4334-85A9-073807F79160}"/>
            </a:ext>
          </a:extLst>
        </xdr:cNvPr>
        <xdr:cNvSpPr/>
      </xdr:nvSpPr>
      <xdr:spPr>
        <a:xfrm>
          <a:off x="1908048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218</xdr:row>
      <xdr:rowOff>0</xdr:rowOff>
    </xdr:from>
    <xdr:to>
      <xdr:col>45</xdr:col>
      <xdr:colOff>83820</xdr:colOff>
      <xdr:row>218</xdr:row>
      <xdr:rowOff>114300</xdr:rowOff>
    </xdr:to>
    <xdr:sp macro="" textlink="">
      <xdr:nvSpPr>
        <xdr:cNvPr id="1652" name="Arrow: Down 1651">
          <a:extLst>
            <a:ext uri="{FF2B5EF4-FFF2-40B4-BE49-F238E27FC236}">
              <a16:creationId xmlns:a16="http://schemas.microsoft.com/office/drawing/2014/main" id="{B18B08E4-F5EC-43E3-915D-C525DEFD5E7B}"/>
            </a:ext>
          </a:extLst>
        </xdr:cNvPr>
        <xdr:cNvSpPr/>
      </xdr:nvSpPr>
      <xdr:spPr>
        <a:xfrm rot="10800000">
          <a:off x="1144524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218</xdr:row>
      <xdr:rowOff>0</xdr:rowOff>
    </xdr:from>
    <xdr:to>
      <xdr:col>71</xdr:col>
      <xdr:colOff>83820</xdr:colOff>
      <xdr:row>218</xdr:row>
      <xdr:rowOff>114300</xdr:rowOff>
    </xdr:to>
    <xdr:sp macro="" textlink="">
      <xdr:nvSpPr>
        <xdr:cNvPr id="1653" name="Arrow: Down 1652">
          <a:extLst>
            <a:ext uri="{FF2B5EF4-FFF2-40B4-BE49-F238E27FC236}">
              <a16:creationId xmlns:a16="http://schemas.microsoft.com/office/drawing/2014/main" id="{D5478CEC-CAC6-48AE-94E1-CA35CA1DE3E2}"/>
            </a:ext>
          </a:extLst>
        </xdr:cNvPr>
        <xdr:cNvSpPr/>
      </xdr:nvSpPr>
      <xdr:spPr>
        <a:xfrm>
          <a:off x="1908048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218</xdr:row>
      <xdr:rowOff>0</xdr:rowOff>
    </xdr:from>
    <xdr:to>
      <xdr:col>45</xdr:col>
      <xdr:colOff>83820</xdr:colOff>
      <xdr:row>218</xdr:row>
      <xdr:rowOff>114300</xdr:rowOff>
    </xdr:to>
    <xdr:sp macro="" textlink="">
      <xdr:nvSpPr>
        <xdr:cNvPr id="1662" name="Arrow: Down 1661">
          <a:extLst>
            <a:ext uri="{FF2B5EF4-FFF2-40B4-BE49-F238E27FC236}">
              <a16:creationId xmlns:a16="http://schemas.microsoft.com/office/drawing/2014/main" id="{28C950E8-0A2F-45F1-A2D9-A6DB46D8E0A1}"/>
            </a:ext>
          </a:extLst>
        </xdr:cNvPr>
        <xdr:cNvSpPr/>
      </xdr:nvSpPr>
      <xdr:spPr>
        <a:xfrm rot="10800000">
          <a:off x="1144524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218</xdr:row>
      <xdr:rowOff>0</xdr:rowOff>
    </xdr:from>
    <xdr:to>
      <xdr:col>60</xdr:col>
      <xdr:colOff>83820</xdr:colOff>
      <xdr:row>218</xdr:row>
      <xdr:rowOff>114300</xdr:rowOff>
    </xdr:to>
    <xdr:sp macro="" textlink="">
      <xdr:nvSpPr>
        <xdr:cNvPr id="1667" name="Arrow: Down 1666">
          <a:extLst>
            <a:ext uri="{FF2B5EF4-FFF2-40B4-BE49-F238E27FC236}">
              <a16:creationId xmlns:a16="http://schemas.microsoft.com/office/drawing/2014/main" id="{9AD5F57E-D576-4D59-90A6-B4C5FFA31F4B}"/>
            </a:ext>
          </a:extLst>
        </xdr:cNvPr>
        <xdr:cNvSpPr/>
      </xdr:nvSpPr>
      <xdr:spPr>
        <a:xfrm rot="10800000">
          <a:off x="16764000" y="3978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218</xdr:row>
      <xdr:rowOff>0</xdr:rowOff>
    </xdr:from>
    <xdr:to>
      <xdr:col>11</xdr:col>
      <xdr:colOff>83820</xdr:colOff>
      <xdr:row>218</xdr:row>
      <xdr:rowOff>114300</xdr:rowOff>
    </xdr:to>
    <xdr:sp macro="" textlink="">
      <xdr:nvSpPr>
        <xdr:cNvPr id="1670" name="Arrow: Down 1669">
          <a:extLst>
            <a:ext uri="{FF2B5EF4-FFF2-40B4-BE49-F238E27FC236}">
              <a16:creationId xmlns:a16="http://schemas.microsoft.com/office/drawing/2014/main" id="{6A8EDFE6-3ECC-4B51-9222-7CEB8EF45ECF}"/>
            </a:ext>
          </a:extLst>
        </xdr:cNvPr>
        <xdr:cNvSpPr/>
      </xdr:nvSpPr>
      <xdr:spPr>
        <a:xfrm rot="10800000">
          <a:off x="36195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218</xdr:row>
      <xdr:rowOff>0</xdr:rowOff>
    </xdr:from>
    <xdr:to>
      <xdr:col>5</xdr:col>
      <xdr:colOff>83820</xdr:colOff>
      <xdr:row>218</xdr:row>
      <xdr:rowOff>114300</xdr:rowOff>
    </xdr:to>
    <xdr:sp macro="" textlink="">
      <xdr:nvSpPr>
        <xdr:cNvPr id="1672" name="Arrow: Down 1671">
          <a:extLst>
            <a:ext uri="{FF2B5EF4-FFF2-40B4-BE49-F238E27FC236}">
              <a16:creationId xmlns:a16="http://schemas.microsoft.com/office/drawing/2014/main" id="{80E6EAED-7B61-4902-AC1E-7184C4208504}"/>
            </a:ext>
          </a:extLst>
        </xdr:cNvPr>
        <xdr:cNvSpPr/>
      </xdr:nvSpPr>
      <xdr:spPr>
        <a:xfrm rot="10800000">
          <a:off x="192786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218</xdr:row>
      <xdr:rowOff>0</xdr:rowOff>
    </xdr:from>
    <xdr:to>
      <xdr:col>39</xdr:col>
      <xdr:colOff>83820</xdr:colOff>
      <xdr:row>218</xdr:row>
      <xdr:rowOff>114300</xdr:rowOff>
    </xdr:to>
    <xdr:sp macro="" textlink="">
      <xdr:nvSpPr>
        <xdr:cNvPr id="1675" name="Arrow: Down 1674">
          <a:extLst>
            <a:ext uri="{FF2B5EF4-FFF2-40B4-BE49-F238E27FC236}">
              <a16:creationId xmlns:a16="http://schemas.microsoft.com/office/drawing/2014/main" id="{3564C663-297C-4040-84CA-CE714BEC677B}"/>
            </a:ext>
          </a:extLst>
        </xdr:cNvPr>
        <xdr:cNvSpPr/>
      </xdr:nvSpPr>
      <xdr:spPr>
        <a:xfrm rot="10800000">
          <a:off x="96393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218</xdr:row>
      <xdr:rowOff>0</xdr:rowOff>
    </xdr:from>
    <xdr:to>
      <xdr:col>24</xdr:col>
      <xdr:colOff>83820</xdr:colOff>
      <xdr:row>218</xdr:row>
      <xdr:rowOff>114300</xdr:rowOff>
    </xdr:to>
    <xdr:sp macro="" textlink="">
      <xdr:nvSpPr>
        <xdr:cNvPr id="1610" name="Arrow: Down 1609">
          <a:extLst>
            <a:ext uri="{FF2B5EF4-FFF2-40B4-BE49-F238E27FC236}">
              <a16:creationId xmlns:a16="http://schemas.microsoft.com/office/drawing/2014/main" id="{F3456836-6B44-42F5-BF7F-C28F0E233A40}"/>
            </a:ext>
          </a:extLst>
        </xdr:cNvPr>
        <xdr:cNvSpPr/>
      </xdr:nvSpPr>
      <xdr:spPr>
        <a:xfrm>
          <a:off x="647700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219</xdr:row>
      <xdr:rowOff>0</xdr:rowOff>
    </xdr:from>
    <xdr:to>
      <xdr:col>71</xdr:col>
      <xdr:colOff>83820</xdr:colOff>
      <xdr:row>219</xdr:row>
      <xdr:rowOff>114300</xdr:rowOff>
    </xdr:to>
    <xdr:sp macro="" textlink="">
      <xdr:nvSpPr>
        <xdr:cNvPr id="1665" name="Arrow: Down 1664">
          <a:extLst>
            <a:ext uri="{FF2B5EF4-FFF2-40B4-BE49-F238E27FC236}">
              <a16:creationId xmlns:a16="http://schemas.microsoft.com/office/drawing/2014/main" id="{E6159D73-7E58-40BE-85F8-77632D67CF1B}"/>
            </a:ext>
          </a:extLst>
        </xdr:cNvPr>
        <xdr:cNvSpPr/>
      </xdr:nvSpPr>
      <xdr:spPr>
        <a:xfrm>
          <a:off x="1908048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219</xdr:row>
      <xdr:rowOff>0</xdr:rowOff>
    </xdr:from>
    <xdr:to>
      <xdr:col>45</xdr:col>
      <xdr:colOff>83820</xdr:colOff>
      <xdr:row>219</xdr:row>
      <xdr:rowOff>114300</xdr:rowOff>
    </xdr:to>
    <xdr:sp macro="" textlink="">
      <xdr:nvSpPr>
        <xdr:cNvPr id="1666" name="Arrow: Down 1665">
          <a:extLst>
            <a:ext uri="{FF2B5EF4-FFF2-40B4-BE49-F238E27FC236}">
              <a16:creationId xmlns:a16="http://schemas.microsoft.com/office/drawing/2014/main" id="{DEB299E9-7828-4C34-ACC0-76F9CCEE50A6}"/>
            </a:ext>
          </a:extLst>
        </xdr:cNvPr>
        <xdr:cNvSpPr/>
      </xdr:nvSpPr>
      <xdr:spPr>
        <a:xfrm rot="10800000">
          <a:off x="1144524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219</xdr:row>
      <xdr:rowOff>0</xdr:rowOff>
    </xdr:from>
    <xdr:to>
      <xdr:col>71</xdr:col>
      <xdr:colOff>83820</xdr:colOff>
      <xdr:row>219</xdr:row>
      <xdr:rowOff>114300</xdr:rowOff>
    </xdr:to>
    <xdr:sp macro="" textlink="">
      <xdr:nvSpPr>
        <xdr:cNvPr id="1668" name="Arrow: Down 1667">
          <a:extLst>
            <a:ext uri="{FF2B5EF4-FFF2-40B4-BE49-F238E27FC236}">
              <a16:creationId xmlns:a16="http://schemas.microsoft.com/office/drawing/2014/main" id="{6ADA1658-622C-4E97-8517-B974D3B12D83}"/>
            </a:ext>
          </a:extLst>
        </xdr:cNvPr>
        <xdr:cNvSpPr/>
      </xdr:nvSpPr>
      <xdr:spPr>
        <a:xfrm>
          <a:off x="1908048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219</xdr:row>
      <xdr:rowOff>0</xdr:rowOff>
    </xdr:from>
    <xdr:to>
      <xdr:col>45</xdr:col>
      <xdr:colOff>83820</xdr:colOff>
      <xdr:row>219</xdr:row>
      <xdr:rowOff>114300</xdr:rowOff>
    </xdr:to>
    <xdr:sp macro="" textlink="">
      <xdr:nvSpPr>
        <xdr:cNvPr id="1669" name="Arrow: Down 1668">
          <a:extLst>
            <a:ext uri="{FF2B5EF4-FFF2-40B4-BE49-F238E27FC236}">
              <a16:creationId xmlns:a16="http://schemas.microsoft.com/office/drawing/2014/main" id="{3AA0A2AF-5C75-47B4-AF67-82F354E562DC}"/>
            </a:ext>
          </a:extLst>
        </xdr:cNvPr>
        <xdr:cNvSpPr/>
      </xdr:nvSpPr>
      <xdr:spPr>
        <a:xfrm rot="10800000">
          <a:off x="1144524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219</xdr:row>
      <xdr:rowOff>0</xdr:rowOff>
    </xdr:from>
    <xdr:to>
      <xdr:col>60</xdr:col>
      <xdr:colOff>83820</xdr:colOff>
      <xdr:row>219</xdr:row>
      <xdr:rowOff>114300</xdr:rowOff>
    </xdr:to>
    <xdr:sp macro="" textlink="">
      <xdr:nvSpPr>
        <xdr:cNvPr id="1671" name="Arrow: Down 1670">
          <a:extLst>
            <a:ext uri="{FF2B5EF4-FFF2-40B4-BE49-F238E27FC236}">
              <a16:creationId xmlns:a16="http://schemas.microsoft.com/office/drawing/2014/main" id="{BF22F34E-EA61-4C83-BB7A-888517B148B0}"/>
            </a:ext>
          </a:extLst>
        </xdr:cNvPr>
        <xdr:cNvSpPr/>
      </xdr:nvSpPr>
      <xdr:spPr>
        <a:xfrm rot="10800000">
          <a:off x="167640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219</xdr:row>
      <xdr:rowOff>0</xdr:rowOff>
    </xdr:from>
    <xdr:to>
      <xdr:col>11</xdr:col>
      <xdr:colOff>83820</xdr:colOff>
      <xdr:row>219</xdr:row>
      <xdr:rowOff>114300</xdr:rowOff>
    </xdr:to>
    <xdr:sp macro="" textlink="">
      <xdr:nvSpPr>
        <xdr:cNvPr id="1673" name="Arrow: Down 1672">
          <a:extLst>
            <a:ext uri="{FF2B5EF4-FFF2-40B4-BE49-F238E27FC236}">
              <a16:creationId xmlns:a16="http://schemas.microsoft.com/office/drawing/2014/main" id="{E2BAD884-54B4-4A59-B516-75884DB33BA1}"/>
            </a:ext>
          </a:extLst>
        </xdr:cNvPr>
        <xdr:cNvSpPr/>
      </xdr:nvSpPr>
      <xdr:spPr>
        <a:xfrm rot="10800000">
          <a:off x="36195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219</xdr:row>
      <xdr:rowOff>0</xdr:rowOff>
    </xdr:from>
    <xdr:to>
      <xdr:col>5</xdr:col>
      <xdr:colOff>83820</xdr:colOff>
      <xdr:row>219</xdr:row>
      <xdr:rowOff>114300</xdr:rowOff>
    </xdr:to>
    <xdr:sp macro="" textlink="">
      <xdr:nvSpPr>
        <xdr:cNvPr id="1674" name="Arrow: Down 1673">
          <a:extLst>
            <a:ext uri="{FF2B5EF4-FFF2-40B4-BE49-F238E27FC236}">
              <a16:creationId xmlns:a16="http://schemas.microsoft.com/office/drawing/2014/main" id="{B67ACA5D-494A-442B-88D1-EB22E0183151}"/>
            </a:ext>
          </a:extLst>
        </xdr:cNvPr>
        <xdr:cNvSpPr/>
      </xdr:nvSpPr>
      <xdr:spPr>
        <a:xfrm rot="10800000">
          <a:off x="192786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219</xdr:row>
      <xdr:rowOff>0</xdr:rowOff>
    </xdr:from>
    <xdr:to>
      <xdr:col>24</xdr:col>
      <xdr:colOff>83820</xdr:colOff>
      <xdr:row>219</xdr:row>
      <xdr:rowOff>114300</xdr:rowOff>
    </xdr:to>
    <xdr:sp macro="" textlink="">
      <xdr:nvSpPr>
        <xdr:cNvPr id="1679" name="Arrow: Down 1678">
          <a:extLst>
            <a:ext uri="{FF2B5EF4-FFF2-40B4-BE49-F238E27FC236}">
              <a16:creationId xmlns:a16="http://schemas.microsoft.com/office/drawing/2014/main" id="{0A667C71-A26F-40F1-A4B1-8C095DA0D1CA}"/>
            </a:ext>
          </a:extLst>
        </xdr:cNvPr>
        <xdr:cNvSpPr/>
      </xdr:nvSpPr>
      <xdr:spPr>
        <a:xfrm rot="10800000">
          <a:off x="6477000" y="4014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219</xdr:row>
      <xdr:rowOff>0</xdr:rowOff>
    </xdr:from>
    <xdr:to>
      <xdr:col>39</xdr:col>
      <xdr:colOff>83820</xdr:colOff>
      <xdr:row>219</xdr:row>
      <xdr:rowOff>114300</xdr:rowOff>
    </xdr:to>
    <xdr:sp macro="" textlink="">
      <xdr:nvSpPr>
        <xdr:cNvPr id="1682" name="Arrow: Down 1681">
          <a:extLst>
            <a:ext uri="{FF2B5EF4-FFF2-40B4-BE49-F238E27FC236}">
              <a16:creationId xmlns:a16="http://schemas.microsoft.com/office/drawing/2014/main" id="{06258B1D-3ED7-47BD-9D40-8DEF31BAC3B4}"/>
            </a:ext>
          </a:extLst>
        </xdr:cNvPr>
        <xdr:cNvSpPr/>
      </xdr:nvSpPr>
      <xdr:spPr>
        <a:xfrm rot="10800000">
          <a:off x="963930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220</xdr:row>
      <xdr:rowOff>0</xdr:rowOff>
    </xdr:from>
    <xdr:to>
      <xdr:col>71</xdr:col>
      <xdr:colOff>83820</xdr:colOff>
      <xdr:row>220</xdr:row>
      <xdr:rowOff>114300</xdr:rowOff>
    </xdr:to>
    <xdr:sp macro="" textlink="">
      <xdr:nvSpPr>
        <xdr:cNvPr id="1684" name="Arrow: Down 1683">
          <a:extLst>
            <a:ext uri="{FF2B5EF4-FFF2-40B4-BE49-F238E27FC236}">
              <a16:creationId xmlns:a16="http://schemas.microsoft.com/office/drawing/2014/main" id="{E4E5A9A8-C5F7-4042-9DBE-69DD3FEB9748}"/>
            </a:ext>
          </a:extLst>
        </xdr:cNvPr>
        <xdr:cNvSpPr/>
      </xdr:nvSpPr>
      <xdr:spPr>
        <a:xfrm>
          <a:off x="1908048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220</xdr:row>
      <xdr:rowOff>0</xdr:rowOff>
    </xdr:from>
    <xdr:to>
      <xdr:col>45</xdr:col>
      <xdr:colOff>83820</xdr:colOff>
      <xdr:row>220</xdr:row>
      <xdr:rowOff>114300</xdr:rowOff>
    </xdr:to>
    <xdr:sp macro="" textlink="">
      <xdr:nvSpPr>
        <xdr:cNvPr id="1685" name="Arrow: Down 1684">
          <a:extLst>
            <a:ext uri="{FF2B5EF4-FFF2-40B4-BE49-F238E27FC236}">
              <a16:creationId xmlns:a16="http://schemas.microsoft.com/office/drawing/2014/main" id="{CABCD279-5F96-4108-8D06-10BAFCF32035}"/>
            </a:ext>
          </a:extLst>
        </xdr:cNvPr>
        <xdr:cNvSpPr/>
      </xdr:nvSpPr>
      <xdr:spPr>
        <a:xfrm rot="10800000">
          <a:off x="1144524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220</xdr:row>
      <xdr:rowOff>0</xdr:rowOff>
    </xdr:from>
    <xdr:to>
      <xdr:col>71</xdr:col>
      <xdr:colOff>83820</xdr:colOff>
      <xdr:row>220</xdr:row>
      <xdr:rowOff>114300</xdr:rowOff>
    </xdr:to>
    <xdr:sp macro="" textlink="">
      <xdr:nvSpPr>
        <xdr:cNvPr id="1686" name="Arrow: Down 1685">
          <a:extLst>
            <a:ext uri="{FF2B5EF4-FFF2-40B4-BE49-F238E27FC236}">
              <a16:creationId xmlns:a16="http://schemas.microsoft.com/office/drawing/2014/main" id="{E21C20FC-6732-423C-AC35-4D911BE533F8}"/>
            </a:ext>
          </a:extLst>
        </xdr:cNvPr>
        <xdr:cNvSpPr/>
      </xdr:nvSpPr>
      <xdr:spPr>
        <a:xfrm>
          <a:off x="1908048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220</xdr:row>
      <xdr:rowOff>0</xdr:rowOff>
    </xdr:from>
    <xdr:to>
      <xdr:col>45</xdr:col>
      <xdr:colOff>83820</xdr:colOff>
      <xdr:row>220</xdr:row>
      <xdr:rowOff>114300</xdr:rowOff>
    </xdr:to>
    <xdr:sp macro="" textlink="">
      <xdr:nvSpPr>
        <xdr:cNvPr id="1687" name="Arrow: Down 1686">
          <a:extLst>
            <a:ext uri="{FF2B5EF4-FFF2-40B4-BE49-F238E27FC236}">
              <a16:creationId xmlns:a16="http://schemas.microsoft.com/office/drawing/2014/main" id="{5D98F101-A299-44D1-8A1B-BE5F2D162DBE}"/>
            </a:ext>
          </a:extLst>
        </xdr:cNvPr>
        <xdr:cNvSpPr/>
      </xdr:nvSpPr>
      <xdr:spPr>
        <a:xfrm rot="10800000">
          <a:off x="1144524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220</xdr:row>
      <xdr:rowOff>0</xdr:rowOff>
    </xdr:from>
    <xdr:to>
      <xdr:col>60</xdr:col>
      <xdr:colOff>83820</xdr:colOff>
      <xdr:row>220</xdr:row>
      <xdr:rowOff>114300</xdr:rowOff>
    </xdr:to>
    <xdr:sp macro="" textlink="">
      <xdr:nvSpPr>
        <xdr:cNvPr id="1693" name="Arrow: Down 1692">
          <a:extLst>
            <a:ext uri="{FF2B5EF4-FFF2-40B4-BE49-F238E27FC236}">
              <a16:creationId xmlns:a16="http://schemas.microsoft.com/office/drawing/2014/main" id="{54F24C70-775A-412C-A1ED-91C66D58F199}"/>
            </a:ext>
          </a:extLst>
        </xdr:cNvPr>
        <xdr:cNvSpPr/>
      </xdr:nvSpPr>
      <xdr:spPr>
        <a:xfrm>
          <a:off x="16764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220</xdr:row>
      <xdr:rowOff>0</xdr:rowOff>
    </xdr:from>
    <xdr:to>
      <xdr:col>39</xdr:col>
      <xdr:colOff>83820</xdr:colOff>
      <xdr:row>220</xdr:row>
      <xdr:rowOff>114300</xdr:rowOff>
    </xdr:to>
    <xdr:sp macro="" textlink="">
      <xdr:nvSpPr>
        <xdr:cNvPr id="1694" name="Arrow: Down 1693">
          <a:extLst>
            <a:ext uri="{FF2B5EF4-FFF2-40B4-BE49-F238E27FC236}">
              <a16:creationId xmlns:a16="http://schemas.microsoft.com/office/drawing/2014/main" id="{25EBED00-3ABD-4807-B5AE-17AFB2949853}"/>
            </a:ext>
          </a:extLst>
        </xdr:cNvPr>
        <xdr:cNvSpPr/>
      </xdr:nvSpPr>
      <xdr:spPr>
        <a:xfrm rot="10800000">
          <a:off x="9639300" y="40332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220</xdr:row>
      <xdr:rowOff>0</xdr:rowOff>
    </xdr:from>
    <xdr:to>
      <xdr:col>5</xdr:col>
      <xdr:colOff>83820</xdr:colOff>
      <xdr:row>220</xdr:row>
      <xdr:rowOff>114300</xdr:rowOff>
    </xdr:to>
    <xdr:sp macro="" textlink="">
      <xdr:nvSpPr>
        <xdr:cNvPr id="1695" name="Arrow: Down 1694">
          <a:extLst>
            <a:ext uri="{FF2B5EF4-FFF2-40B4-BE49-F238E27FC236}">
              <a16:creationId xmlns:a16="http://schemas.microsoft.com/office/drawing/2014/main" id="{47FD48A2-DCE8-446F-A45A-821A25338C2D}"/>
            </a:ext>
          </a:extLst>
        </xdr:cNvPr>
        <xdr:cNvSpPr/>
      </xdr:nvSpPr>
      <xdr:spPr>
        <a:xfrm>
          <a:off x="192786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220</xdr:row>
      <xdr:rowOff>0</xdr:rowOff>
    </xdr:from>
    <xdr:to>
      <xdr:col>11</xdr:col>
      <xdr:colOff>83820</xdr:colOff>
      <xdr:row>220</xdr:row>
      <xdr:rowOff>114300</xdr:rowOff>
    </xdr:to>
    <xdr:sp macro="" textlink="">
      <xdr:nvSpPr>
        <xdr:cNvPr id="1696" name="Arrow: Down 1695">
          <a:extLst>
            <a:ext uri="{FF2B5EF4-FFF2-40B4-BE49-F238E27FC236}">
              <a16:creationId xmlns:a16="http://schemas.microsoft.com/office/drawing/2014/main" id="{9D3AA84E-8D06-4B80-B7B6-DB674CCD21E3}"/>
            </a:ext>
          </a:extLst>
        </xdr:cNvPr>
        <xdr:cNvSpPr/>
      </xdr:nvSpPr>
      <xdr:spPr>
        <a:xfrm>
          <a:off x="36195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220</xdr:row>
      <xdr:rowOff>0</xdr:rowOff>
    </xdr:from>
    <xdr:to>
      <xdr:col>24</xdr:col>
      <xdr:colOff>83820</xdr:colOff>
      <xdr:row>220</xdr:row>
      <xdr:rowOff>114300</xdr:rowOff>
    </xdr:to>
    <xdr:sp macro="" textlink="">
      <xdr:nvSpPr>
        <xdr:cNvPr id="1698" name="Arrow: Down 1697">
          <a:extLst>
            <a:ext uri="{FF2B5EF4-FFF2-40B4-BE49-F238E27FC236}">
              <a16:creationId xmlns:a16="http://schemas.microsoft.com/office/drawing/2014/main" id="{99709934-F0A9-4711-9F5D-0DF69568695B}"/>
            </a:ext>
          </a:extLst>
        </xdr:cNvPr>
        <xdr:cNvSpPr/>
      </xdr:nvSpPr>
      <xdr:spPr>
        <a:xfrm>
          <a:off x="6477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221</xdr:row>
      <xdr:rowOff>0</xdr:rowOff>
    </xdr:from>
    <xdr:to>
      <xdr:col>71</xdr:col>
      <xdr:colOff>83820</xdr:colOff>
      <xdr:row>221</xdr:row>
      <xdr:rowOff>114300</xdr:rowOff>
    </xdr:to>
    <xdr:sp macro="" textlink="">
      <xdr:nvSpPr>
        <xdr:cNvPr id="1708" name="Arrow: Down 1707">
          <a:extLst>
            <a:ext uri="{FF2B5EF4-FFF2-40B4-BE49-F238E27FC236}">
              <a16:creationId xmlns:a16="http://schemas.microsoft.com/office/drawing/2014/main" id="{879B59C8-2E0F-4676-9CFF-EC0710BE6B6A}"/>
            </a:ext>
          </a:extLst>
        </xdr:cNvPr>
        <xdr:cNvSpPr/>
      </xdr:nvSpPr>
      <xdr:spPr>
        <a:xfrm>
          <a:off x="1908048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221</xdr:row>
      <xdr:rowOff>0</xdr:rowOff>
    </xdr:from>
    <xdr:to>
      <xdr:col>45</xdr:col>
      <xdr:colOff>83820</xdr:colOff>
      <xdr:row>221</xdr:row>
      <xdr:rowOff>114300</xdr:rowOff>
    </xdr:to>
    <xdr:sp macro="" textlink="">
      <xdr:nvSpPr>
        <xdr:cNvPr id="1709" name="Arrow: Down 1708">
          <a:extLst>
            <a:ext uri="{FF2B5EF4-FFF2-40B4-BE49-F238E27FC236}">
              <a16:creationId xmlns:a16="http://schemas.microsoft.com/office/drawing/2014/main" id="{87F53449-127E-4657-A910-D2141D9BCCB0}"/>
            </a:ext>
          </a:extLst>
        </xdr:cNvPr>
        <xdr:cNvSpPr/>
      </xdr:nvSpPr>
      <xdr:spPr>
        <a:xfrm rot="10800000">
          <a:off x="1144524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221</xdr:row>
      <xdr:rowOff>0</xdr:rowOff>
    </xdr:from>
    <xdr:to>
      <xdr:col>71</xdr:col>
      <xdr:colOff>83820</xdr:colOff>
      <xdr:row>221</xdr:row>
      <xdr:rowOff>114300</xdr:rowOff>
    </xdr:to>
    <xdr:sp macro="" textlink="">
      <xdr:nvSpPr>
        <xdr:cNvPr id="1710" name="Arrow: Down 1709">
          <a:extLst>
            <a:ext uri="{FF2B5EF4-FFF2-40B4-BE49-F238E27FC236}">
              <a16:creationId xmlns:a16="http://schemas.microsoft.com/office/drawing/2014/main" id="{7A26E01E-1E57-492E-B9BD-085C1E153AAC}"/>
            </a:ext>
          </a:extLst>
        </xdr:cNvPr>
        <xdr:cNvSpPr/>
      </xdr:nvSpPr>
      <xdr:spPr>
        <a:xfrm>
          <a:off x="1908048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221</xdr:row>
      <xdr:rowOff>0</xdr:rowOff>
    </xdr:from>
    <xdr:to>
      <xdr:col>45</xdr:col>
      <xdr:colOff>83820</xdr:colOff>
      <xdr:row>221</xdr:row>
      <xdr:rowOff>114300</xdr:rowOff>
    </xdr:to>
    <xdr:sp macro="" textlink="">
      <xdr:nvSpPr>
        <xdr:cNvPr id="1711" name="Arrow: Down 1710">
          <a:extLst>
            <a:ext uri="{FF2B5EF4-FFF2-40B4-BE49-F238E27FC236}">
              <a16:creationId xmlns:a16="http://schemas.microsoft.com/office/drawing/2014/main" id="{80F918F0-F78B-41CC-AA5C-AE0D7CE10E51}"/>
            </a:ext>
          </a:extLst>
        </xdr:cNvPr>
        <xdr:cNvSpPr/>
      </xdr:nvSpPr>
      <xdr:spPr>
        <a:xfrm rot="10800000">
          <a:off x="1144524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221</xdr:row>
      <xdr:rowOff>0</xdr:rowOff>
    </xdr:from>
    <xdr:to>
      <xdr:col>60</xdr:col>
      <xdr:colOff>83820</xdr:colOff>
      <xdr:row>221</xdr:row>
      <xdr:rowOff>114300</xdr:rowOff>
    </xdr:to>
    <xdr:sp macro="" textlink="">
      <xdr:nvSpPr>
        <xdr:cNvPr id="1712" name="Arrow: Down 1711">
          <a:extLst>
            <a:ext uri="{FF2B5EF4-FFF2-40B4-BE49-F238E27FC236}">
              <a16:creationId xmlns:a16="http://schemas.microsoft.com/office/drawing/2014/main" id="{C2E211B5-7537-4AEE-9FBA-F0DF0E561564}"/>
            </a:ext>
          </a:extLst>
        </xdr:cNvPr>
        <xdr:cNvSpPr/>
      </xdr:nvSpPr>
      <xdr:spPr>
        <a:xfrm>
          <a:off x="16764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221</xdr:row>
      <xdr:rowOff>0</xdr:rowOff>
    </xdr:from>
    <xdr:to>
      <xdr:col>39</xdr:col>
      <xdr:colOff>83820</xdr:colOff>
      <xdr:row>221</xdr:row>
      <xdr:rowOff>114300</xdr:rowOff>
    </xdr:to>
    <xdr:sp macro="" textlink="">
      <xdr:nvSpPr>
        <xdr:cNvPr id="1713" name="Arrow: Down 1712">
          <a:extLst>
            <a:ext uri="{FF2B5EF4-FFF2-40B4-BE49-F238E27FC236}">
              <a16:creationId xmlns:a16="http://schemas.microsoft.com/office/drawing/2014/main" id="{229C87E6-B72C-4BE4-968B-4C4E87A24D69}"/>
            </a:ext>
          </a:extLst>
        </xdr:cNvPr>
        <xdr:cNvSpPr/>
      </xdr:nvSpPr>
      <xdr:spPr>
        <a:xfrm rot="10800000">
          <a:off x="9639300" y="40332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221</xdr:row>
      <xdr:rowOff>0</xdr:rowOff>
    </xdr:from>
    <xdr:to>
      <xdr:col>5</xdr:col>
      <xdr:colOff>83820</xdr:colOff>
      <xdr:row>221</xdr:row>
      <xdr:rowOff>114300</xdr:rowOff>
    </xdr:to>
    <xdr:sp macro="" textlink="">
      <xdr:nvSpPr>
        <xdr:cNvPr id="1714" name="Arrow: Down 1713">
          <a:extLst>
            <a:ext uri="{FF2B5EF4-FFF2-40B4-BE49-F238E27FC236}">
              <a16:creationId xmlns:a16="http://schemas.microsoft.com/office/drawing/2014/main" id="{E65E75AD-9CB0-4194-9316-02C0B35F8B51}"/>
            </a:ext>
          </a:extLst>
        </xdr:cNvPr>
        <xdr:cNvSpPr/>
      </xdr:nvSpPr>
      <xdr:spPr>
        <a:xfrm>
          <a:off x="192786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221</xdr:row>
      <xdr:rowOff>0</xdr:rowOff>
    </xdr:from>
    <xdr:to>
      <xdr:col>11</xdr:col>
      <xdr:colOff>83820</xdr:colOff>
      <xdr:row>221</xdr:row>
      <xdr:rowOff>114300</xdr:rowOff>
    </xdr:to>
    <xdr:sp macro="" textlink="">
      <xdr:nvSpPr>
        <xdr:cNvPr id="1715" name="Arrow: Down 1714">
          <a:extLst>
            <a:ext uri="{FF2B5EF4-FFF2-40B4-BE49-F238E27FC236}">
              <a16:creationId xmlns:a16="http://schemas.microsoft.com/office/drawing/2014/main" id="{B3F43D8B-F50D-4537-8AF3-A6BCA0B7B2EB}"/>
            </a:ext>
          </a:extLst>
        </xdr:cNvPr>
        <xdr:cNvSpPr/>
      </xdr:nvSpPr>
      <xdr:spPr>
        <a:xfrm>
          <a:off x="36195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221</xdr:row>
      <xdr:rowOff>0</xdr:rowOff>
    </xdr:from>
    <xdr:to>
      <xdr:col>24</xdr:col>
      <xdr:colOff>83820</xdr:colOff>
      <xdr:row>221</xdr:row>
      <xdr:rowOff>114300</xdr:rowOff>
    </xdr:to>
    <xdr:sp macro="" textlink="">
      <xdr:nvSpPr>
        <xdr:cNvPr id="1716" name="Arrow: Down 1715">
          <a:extLst>
            <a:ext uri="{FF2B5EF4-FFF2-40B4-BE49-F238E27FC236}">
              <a16:creationId xmlns:a16="http://schemas.microsoft.com/office/drawing/2014/main" id="{BD4EBB47-DA79-4F59-9F95-90EE601F07DA}"/>
            </a:ext>
          </a:extLst>
        </xdr:cNvPr>
        <xdr:cNvSpPr/>
      </xdr:nvSpPr>
      <xdr:spPr>
        <a:xfrm>
          <a:off x="6477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0.66667</cdr:x>
      <cdr:y>0.46047</cdr:y>
    </cdr:from>
    <cdr:to>
      <cdr:x>0.95238</cdr:x>
      <cdr:y>0.5814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1238F2D0-5CC7-44BA-808D-8EEC52658841}"/>
            </a:ext>
          </a:extLst>
        </cdr:cNvPr>
        <cdr:cNvCxnSpPr/>
      </cdr:nvCxnSpPr>
      <cdr:spPr>
        <a:xfrm xmlns:a="http://schemas.openxmlformats.org/drawingml/2006/main">
          <a:off x="2773680" y="1508760"/>
          <a:ext cx="1188720" cy="396240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0.26377</cdr:x>
      <cdr:y>0.23023</cdr:y>
    </cdr:from>
    <cdr:to>
      <cdr:x>0.52755</cdr:x>
      <cdr:y>0.6186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9AECD84D-B6B4-481F-8328-4743898E587F}"/>
            </a:ext>
          </a:extLst>
        </cdr:cNvPr>
        <cdr:cNvCxnSpPr/>
      </cdr:nvCxnSpPr>
      <cdr:spPr>
        <a:xfrm xmlns:a="http://schemas.openxmlformats.org/drawingml/2006/main">
          <a:off x="1203960" y="754380"/>
          <a:ext cx="1203960" cy="1272540"/>
        </a:xfrm>
        <a:prstGeom xmlns:a="http://schemas.openxmlformats.org/drawingml/2006/main" prst="straightConnector1">
          <a:avLst/>
        </a:prstGeom>
        <a:ln xmlns:a="http://schemas.openxmlformats.org/drawingml/2006/main" w="381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0.67661</cdr:x>
      <cdr:y>0.19906</cdr:y>
    </cdr:from>
    <cdr:to>
      <cdr:x>0.94511</cdr:x>
      <cdr:y>0.3911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FA295117-56DC-49EC-9C23-908A0FF25972}"/>
            </a:ext>
          </a:extLst>
        </cdr:cNvPr>
        <cdr:cNvCxnSpPr/>
      </cdr:nvCxnSpPr>
      <cdr:spPr>
        <a:xfrm xmlns:a="http://schemas.openxmlformats.org/drawingml/2006/main" flipV="1">
          <a:off x="4320540" y="647702"/>
          <a:ext cx="1714500" cy="624838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167</xdr:row>
      <xdr:rowOff>0</xdr:rowOff>
    </xdr:from>
    <xdr:to>
      <xdr:col>14</xdr:col>
      <xdr:colOff>83820</xdr:colOff>
      <xdr:row>167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C1A01BB-EB86-4138-AE2C-22D601594053}"/>
            </a:ext>
          </a:extLst>
        </xdr:cNvPr>
        <xdr:cNvSpPr/>
      </xdr:nvSpPr>
      <xdr:spPr>
        <a:xfrm>
          <a:off x="5158740" y="30739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168</xdr:row>
      <xdr:rowOff>0</xdr:rowOff>
    </xdr:from>
    <xdr:to>
      <xdr:col>14</xdr:col>
      <xdr:colOff>83820</xdr:colOff>
      <xdr:row>168</xdr:row>
      <xdr:rowOff>106680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F78BC0F9-39C4-4852-AAED-69A6F99580AB}"/>
            </a:ext>
          </a:extLst>
        </xdr:cNvPr>
        <xdr:cNvSpPr/>
      </xdr:nvSpPr>
      <xdr:spPr>
        <a:xfrm rot="10800000">
          <a:off x="5158740" y="30921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170</xdr:row>
      <xdr:rowOff>0</xdr:rowOff>
    </xdr:from>
    <xdr:to>
      <xdr:col>14</xdr:col>
      <xdr:colOff>83820</xdr:colOff>
      <xdr:row>170</xdr:row>
      <xdr:rowOff>106680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85812E6A-05B2-4103-A5CD-1BF7059D8DEA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169</xdr:row>
      <xdr:rowOff>0</xdr:rowOff>
    </xdr:from>
    <xdr:to>
      <xdr:col>14</xdr:col>
      <xdr:colOff>83820</xdr:colOff>
      <xdr:row>169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4A6F4A63-6047-4F9F-8CC3-F01B4FFF0F4F}"/>
            </a:ext>
          </a:extLst>
        </xdr:cNvPr>
        <xdr:cNvSpPr/>
      </xdr:nvSpPr>
      <xdr:spPr>
        <a:xfrm>
          <a:off x="5158740" y="31104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171</xdr:row>
      <xdr:rowOff>0</xdr:rowOff>
    </xdr:from>
    <xdr:to>
      <xdr:col>14</xdr:col>
      <xdr:colOff>83820</xdr:colOff>
      <xdr:row>171</xdr:row>
      <xdr:rowOff>106680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ACFAD0E4-25B3-4AA3-B279-7556493E8209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172</xdr:row>
      <xdr:rowOff>0</xdr:rowOff>
    </xdr:from>
    <xdr:to>
      <xdr:col>14</xdr:col>
      <xdr:colOff>83820</xdr:colOff>
      <xdr:row>172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23D41404-9520-4656-831E-9ECE273367BF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173</xdr:row>
      <xdr:rowOff>0</xdr:rowOff>
    </xdr:from>
    <xdr:to>
      <xdr:col>14</xdr:col>
      <xdr:colOff>83820</xdr:colOff>
      <xdr:row>173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15558FD4-5227-40BC-A3CE-C1B9EE7B8DAD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174</xdr:row>
      <xdr:rowOff>0</xdr:rowOff>
    </xdr:from>
    <xdr:to>
      <xdr:col>14</xdr:col>
      <xdr:colOff>83820</xdr:colOff>
      <xdr:row>174</xdr:row>
      <xdr:rowOff>106680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0971A6D1-D616-40E7-9962-3820D975DA94}"/>
            </a:ext>
          </a:extLst>
        </xdr:cNvPr>
        <xdr:cNvSpPr/>
      </xdr:nvSpPr>
      <xdr:spPr>
        <a:xfrm rot="10800000">
          <a:off x="5158740" y="320192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14</xdr:col>
      <xdr:colOff>83820</xdr:colOff>
      <xdr:row>175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A4D2CA08-F910-484A-B1C0-6FFDF3F728A2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176</xdr:row>
      <xdr:rowOff>0</xdr:rowOff>
    </xdr:from>
    <xdr:to>
      <xdr:col>14</xdr:col>
      <xdr:colOff>83820</xdr:colOff>
      <xdr:row>176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6C9D7B35-2562-4A98-9CF3-1A1C7BC0395F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177</xdr:row>
      <xdr:rowOff>0</xdr:rowOff>
    </xdr:from>
    <xdr:to>
      <xdr:col>14</xdr:col>
      <xdr:colOff>83820</xdr:colOff>
      <xdr:row>177</xdr:row>
      <xdr:rowOff>106680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BB4A0FE7-4EDC-426A-855A-4C9890025D76}"/>
            </a:ext>
          </a:extLst>
        </xdr:cNvPr>
        <xdr:cNvSpPr/>
      </xdr:nvSpPr>
      <xdr:spPr>
        <a:xfrm rot="10800000">
          <a:off x="5158740" y="32567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179</xdr:row>
      <xdr:rowOff>0</xdr:rowOff>
    </xdr:from>
    <xdr:to>
      <xdr:col>14</xdr:col>
      <xdr:colOff>83820</xdr:colOff>
      <xdr:row>179</xdr:row>
      <xdr:rowOff>106680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E6DFC1B0-3F63-4286-BCFD-EAAC12F8BAB8}"/>
            </a:ext>
          </a:extLst>
        </xdr:cNvPr>
        <xdr:cNvSpPr/>
      </xdr:nvSpPr>
      <xdr:spPr>
        <a:xfrm rot="10800000">
          <a:off x="5158740" y="32750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178</xdr:row>
      <xdr:rowOff>0</xdr:rowOff>
    </xdr:from>
    <xdr:to>
      <xdr:col>14</xdr:col>
      <xdr:colOff>83820</xdr:colOff>
      <xdr:row>178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0495F5FD-4C4C-40CC-93BB-3323B504985E}"/>
            </a:ext>
          </a:extLst>
        </xdr:cNvPr>
        <xdr:cNvSpPr/>
      </xdr:nvSpPr>
      <xdr:spPr>
        <a:xfrm>
          <a:off x="5158740" y="32750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180</xdr:row>
      <xdr:rowOff>0</xdr:rowOff>
    </xdr:from>
    <xdr:to>
      <xdr:col>14</xdr:col>
      <xdr:colOff>83820</xdr:colOff>
      <xdr:row>180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B5B77C29-3169-4DA1-AAA5-4876EE92EDCC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181</xdr:row>
      <xdr:rowOff>0</xdr:rowOff>
    </xdr:from>
    <xdr:to>
      <xdr:col>14</xdr:col>
      <xdr:colOff>83820</xdr:colOff>
      <xdr:row>181</xdr:row>
      <xdr:rowOff>114300</xdr:rowOff>
    </xdr:to>
    <xdr:sp macro="" textlink="">
      <xdr:nvSpPr>
        <xdr:cNvPr id="196" name="Arrow: Down 195">
          <a:extLst>
            <a:ext uri="{FF2B5EF4-FFF2-40B4-BE49-F238E27FC236}">
              <a16:creationId xmlns:a16="http://schemas.microsoft.com/office/drawing/2014/main" id="{D5651541-8AD6-4153-A39F-48233AD3C704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182</xdr:row>
      <xdr:rowOff>0</xdr:rowOff>
    </xdr:from>
    <xdr:to>
      <xdr:col>14</xdr:col>
      <xdr:colOff>83820</xdr:colOff>
      <xdr:row>182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C7714562-7D15-4940-99F2-6F7CE2187F06}"/>
            </a:ext>
          </a:extLst>
        </xdr:cNvPr>
        <xdr:cNvSpPr/>
      </xdr:nvSpPr>
      <xdr:spPr>
        <a:xfrm rot="10800000">
          <a:off x="5158740" y="33482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183</xdr:row>
      <xdr:rowOff>0</xdr:rowOff>
    </xdr:from>
    <xdr:to>
      <xdr:col>14</xdr:col>
      <xdr:colOff>83820</xdr:colOff>
      <xdr:row>183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FE5738D7-FC8C-4392-8951-B3C039C5C339}"/>
            </a:ext>
          </a:extLst>
        </xdr:cNvPr>
        <xdr:cNvSpPr/>
      </xdr:nvSpPr>
      <xdr:spPr>
        <a:xfrm>
          <a:off x="5158740" y="33665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184</xdr:row>
      <xdr:rowOff>0</xdr:rowOff>
    </xdr:from>
    <xdr:to>
      <xdr:col>14</xdr:col>
      <xdr:colOff>83820</xdr:colOff>
      <xdr:row>184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4BD29A18-D63D-4240-A1E7-4ECB4A2B5B76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185</xdr:row>
      <xdr:rowOff>0</xdr:rowOff>
    </xdr:from>
    <xdr:to>
      <xdr:col>14</xdr:col>
      <xdr:colOff>83820</xdr:colOff>
      <xdr:row>185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9FAB20AE-B190-4926-A71D-1DAC2EADB50C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186</xdr:row>
      <xdr:rowOff>0</xdr:rowOff>
    </xdr:from>
    <xdr:to>
      <xdr:col>14</xdr:col>
      <xdr:colOff>83820</xdr:colOff>
      <xdr:row>186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D86B2437-5540-4260-912A-8C9853A0C07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187</xdr:row>
      <xdr:rowOff>0</xdr:rowOff>
    </xdr:from>
    <xdr:to>
      <xdr:col>14</xdr:col>
      <xdr:colOff>83820</xdr:colOff>
      <xdr:row>187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CF3F5C06-C5BA-4303-A3FD-B7404D15109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188</xdr:row>
      <xdr:rowOff>0</xdr:rowOff>
    </xdr:from>
    <xdr:to>
      <xdr:col>14</xdr:col>
      <xdr:colOff>83820</xdr:colOff>
      <xdr:row>188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89C26625-9FA8-453E-B637-8C657714A9BD}"/>
            </a:ext>
          </a:extLst>
        </xdr:cNvPr>
        <xdr:cNvSpPr/>
      </xdr:nvSpPr>
      <xdr:spPr>
        <a:xfrm rot="10800000">
          <a:off x="5158740" y="34579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189</xdr:row>
      <xdr:rowOff>0</xdr:rowOff>
    </xdr:from>
    <xdr:to>
      <xdr:col>14</xdr:col>
      <xdr:colOff>83820</xdr:colOff>
      <xdr:row>189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2C94E14F-FDD3-471E-AA8F-76C1817F5016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190</xdr:row>
      <xdr:rowOff>0</xdr:rowOff>
    </xdr:from>
    <xdr:to>
      <xdr:col>14</xdr:col>
      <xdr:colOff>83820</xdr:colOff>
      <xdr:row>190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59808159-EB1B-4A59-ABE5-E040AAAEAD4E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191</xdr:row>
      <xdr:rowOff>0</xdr:rowOff>
    </xdr:from>
    <xdr:to>
      <xdr:col>14</xdr:col>
      <xdr:colOff>83820</xdr:colOff>
      <xdr:row>191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E5AC911A-BF70-4736-BA31-76242D6B3CFE}"/>
            </a:ext>
          </a:extLst>
        </xdr:cNvPr>
        <xdr:cNvSpPr/>
      </xdr:nvSpPr>
      <xdr:spPr>
        <a:xfrm rot="10800000">
          <a:off x="5158740" y="3512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192</xdr:row>
      <xdr:rowOff>0</xdr:rowOff>
    </xdr:from>
    <xdr:to>
      <xdr:col>14</xdr:col>
      <xdr:colOff>83820</xdr:colOff>
      <xdr:row>192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DF436223-FCAD-4929-8B38-398D35B4D27F}"/>
            </a:ext>
          </a:extLst>
        </xdr:cNvPr>
        <xdr:cNvSpPr/>
      </xdr:nvSpPr>
      <xdr:spPr>
        <a:xfrm>
          <a:off x="5158740" y="3531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193</xdr:row>
      <xdr:rowOff>0</xdr:rowOff>
    </xdr:from>
    <xdr:to>
      <xdr:col>14</xdr:col>
      <xdr:colOff>83820</xdr:colOff>
      <xdr:row>193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E04B5B25-6AEE-495E-8E80-7F34D713127F}"/>
            </a:ext>
          </a:extLst>
        </xdr:cNvPr>
        <xdr:cNvSpPr/>
      </xdr:nvSpPr>
      <xdr:spPr>
        <a:xfrm rot="10800000">
          <a:off x="5158740" y="3549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194</xdr:row>
      <xdr:rowOff>0</xdr:rowOff>
    </xdr:from>
    <xdr:to>
      <xdr:col>14</xdr:col>
      <xdr:colOff>83820</xdr:colOff>
      <xdr:row>194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3AD45246-DAD3-43AE-9D8A-D343009466C4}"/>
            </a:ext>
          </a:extLst>
        </xdr:cNvPr>
        <xdr:cNvSpPr/>
      </xdr:nvSpPr>
      <xdr:spPr>
        <a:xfrm>
          <a:off x="5158740" y="3567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195</xdr:row>
      <xdr:rowOff>0</xdr:rowOff>
    </xdr:from>
    <xdr:to>
      <xdr:col>14</xdr:col>
      <xdr:colOff>83820</xdr:colOff>
      <xdr:row>195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692F742D-B945-4ACC-9F05-E2E769CD00ED}"/>
            </a:ext>
          </a:extLst>
        </xdr:cNvPr>
        <xdr:cNvSpPr/>
      </xdr:nvSpPr>
      <xdr:spPr>
        <a:xfrm rot="10800000">
          <a:off x="5158740" y="35859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196</xdr:row>
      <xdr:rowOff>0</xdr:rowOff>
    </xdr:from>
    <xdr:to>
      <xdr:col>14</xdr:col>
      <xdr:colOff>83820</xdr:colOff>
      <xdr:row>196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B4AC78FA-B0C6-4740-B31E-739A11EC349C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197</xdr:row>
      <xdr:rowOff>0</xdr:rowOff>
    </xdr:from>
    <xdr:to>
      <xdr:col>14</xdr:col>
      <xdr:colOff>83820</xdr:colOff>
      <xdr:row>197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E2A1E64D-C0CC-4C11-B043-F6C17D761108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198</xdr:row>
      <xdr:rowOff>0</xdr:rowOff>
    </xdr:from>
    <xdr:to>
      <xdr:col>14</xdr:col>
      <xdr:colOff>83820</xdr:colOff>
      <xdr:row>198</xdr:row>
      <xdr:rowOff>114300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7897FB6D-F8B6-490B-8387-981D9325401C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199</xdr:row>
      <xdr:rowOff>0</xdr:rowOff>
    </xdr:from>
    <xdr:to>
      <xdr:col>14</xdr:col>
      <xdr:colOff>83820</xdr:colOff>
      <xdr:row>199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C1462911-4C55-4750-8CBD-08DD576EFB2E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200</xdr:row>
      <xdr:rowOff>0</xdr:rowOff>
    </xdr:from>
    <xdr:to>
      <xdr:col>14</xdr:col>
      <xdr:colOff>83820</xdr:colOff>
      <xdr:row>200</xdr:row>
      <xdr:rowOff>114300</xdr:rowOff>
    </xdr:to>
    <xdr:sp macro="" textlink="">
      <xdr:nvSpPr>
        <xdr:cNvPr id="202" name="Arrow: Down 201">
          <a:extLst>
            <a:ext uri="{FF2B5EF4-FFF2-40B4-BE49-F238E27FC236}">
              <a16:creationId xmlns:a16="http://schemas.microsoft.com/office/drawing/2014/main" id="{C7A84A5E-28DF-42FC-955E-DCF38B8C684F}"/>
            </a:ext>
          </a:extLst>
        </xdr:cNvPr>
        <xdr:cNvSpPr/>
      </xdr:nvSpPr>
      <xdr:spPr>
        <a:xfrm rot="10800000">
          <a:off x="5158740" y="365912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201</xdr:row>
      <xdr:rowOff>0</xdr:rowOff>
    </xdr:from>
    <xdr:to>
      <xdr:col>14</xdr:col>
      <xdr:colOff>83820</xdr:colOff>
      <xdr:row>201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8D37D044-2A90-40DC-9A97-FE6354D1C096}"/>
            </a:ext>
          </a:extLst>
        </xdr:cNvPr>
        <xdr:cNvSpPr/>
      </xdr:nvSpPr>
      <xdr:spPr>
        <a:xfrm>
          <a:off x="5158740" y="3695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202</xdr:row>
      <xdr:rowOff>0</xdr:rowOff>
    </xdr:from>
    <xdr:to>
      <xdr:col>14</xdr:col>
      <xdr:colOff>83820</xdr:colOff>
      <xdr:row>202</xdr:row>
      <xdr:rowOff>114300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A15BF973-6EC4-4540-92E6-CC21B246F229}"/>
            </a:ext>
          </a:extLst>
        </xdr:cNvPr>
        <xdr:cNvSpPr/>
      </xdr:nvSpPr>
      <xdr:spPr>
        <a:xfrm rot="10800000">
          <a:off x="5158740" y="37139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203</xdr:row>
      <xdr:rowOff>0</xdr:rowOff>
    </xdr:from>
    <xdr:to>
      <xdr:col>14</xdr:col>
      <xdr:colOff>83820</xdr:colOff>
      <xdr:row>203</xdr:row>
      <xdr:rowOff>114300</xdr:rowOff>
    </xdr:to>
    <xdr:sp macro="" textlink="">
      <xdr:nvSpPr>
        <xdr:cNvPr id="211" name="Arrow: Down 210">
          <a:extLst>
            <a:ext uri="{FF2B5EF4-FFF2-40B4-BE49-F238E27FC236}">
              <a16:creationId xmlns:a16="http://schemas.microsoft.com/office/drawing/2014/main" id="{801C72CE-D790-40BE-8BA5-DAE49647536D}"/>
            </a:ext>
          </a:extLst>
        </xdr:cNvPr>
        <xdr:cNvSpPr/>
      </xdr:nvSpPr>
      <xdr:spPr>
        <a:xfrm>
          <a:off x="5158740" y="37322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204</xdr:row>
      <xdr:rowOff>0</xdr:rowOff>
    </xdr:from>
    <xdr:to>
      <xdr:col>14</xdr:col>
      <xdr:colOff>83820</xdr:colOff>
      <xdr:row>204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C2267D1D-29CF-4B1B-946D-E99A408BC44B}"/>
            </a:ext>
          </a:extLst>
        </xdr:cNvPr>
        <xdr:cNvSpPr/>
      </xdr:nvSpPr>
      <xdr:spPr>
        <a:xfrm rot="10800000">
          <a:off x="5158740" y="3750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205</xdr:row>
      <xdr:rowOff>0</xdr:rowOff>
    </xdr:from>
    <xdr:to>
      <xdr:col>14</xdr:col>
      <xdr:colOff>83820</xdr:colOff>
      <xdr:row>205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6196483-CD6A-4247-B4E0-D8F36381C69B}"/>
            </a:ext>
          </a:extLst>
        </xdr:cNvPr>
        <xdr:cNvSpPr/>
      </xdr:nvSpPr>
      <xdr:spPr>
        <a:xfrm rot="10800000">
          <a:off x="5158740" y="3750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206</xdr:row>
      <xdr:rowOff>0</xdr:rowOff>
    </xdr:from>
    <xdr:to>
      <xdr:col>14</xdr:col>
      <xdr:colOff>83820</xdr:colOff>
      <xdr:row>206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A5253AA0-B2E7-4459-A92C-81B02314A181}"/>
            </a:ext>
          </a:extLst>
        </xdr:cNvPr>
        <xdr:cNvSpPr/>
      </xdr:nvSpPr>
      <xdr:spPr>
        <a:xfrm rot="10800000">
          <a:off x="5158740" y="3768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207</xdr:row>
      <xdr:rowOff>0</xdr:rowOff>
    </xdr:from>
    <xdr:to>
      <xdr:col>14</xdr:col>
      <xdr:colOff>83820</xdr:colOff>
      <xdr:row>207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74F487D1-6B2C-40EC-BAFD-A2398CDBDA26}"/>
            </a:ext>
          </a:extLst>
        </xdr:cNvPr>
        <xdr:cNvSpPr/>
      </xdr:nvSpPr>
      <xdr:spPr>
        <a:xfrm>
          <a:off x="5158740" y="3805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208</xdr:row>
      <xdr:rowOff>0</xdr:rowOff>
    </xdr:from>
    <xdr:to>
      <xdr:col>14</xdr:col>
      <xdr:colOff>83820</xdr:colOff>
      <xdr:row>208</xdr:row>
      <xdr:rowOff>114300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DD8D356-D63C-497A-954D-54D7CFA9DCFD}"/>
            </a:ext>
          </a:extLst>
        </xdr:cNvPr>
        <xdr:cNvSpPr/>
      </xdr:nvSpPr>
      <xdr:spPr>
        <a:xfrm>
          <a:off x="5158740" y="3805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209</xdr:row>
      <xdr:rowOff>0</xdr:rowOff>
    </xdr:from>
    <xdr:to>
      <xdr:col>14</xdr:col>
      <xdr:colOff>83820</xdr:colOff>
      <xdr:row>209</xdr:row>
      <xdr:rowOff>114300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6BE15D06-9ED4-458D-B8E6-89F7AC4C99F0}"/>
            </a:ext>
          </a:extLst>
        </xdr:cNvPr>
        <xdr:cNvSpPr/>
      </xdr:nvSpPr>
      <xdr:spPr>
        <a:xfrm>
          <a:off x="5158740" y="38420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210</xdr:row>
      <xdr:rowOff>0</xdr:rowOff>
    </xdr:from>
    <xdr:to>
      <xdr:col>14</xdr:col>
      <xdr:colOff>83820</xdr:colOff>
      <xdr:row>210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16ADE023-130F-446E-A2D3-FFC812356961}"/>
            </a:ext>
          </a:extLst>
        </xdr:cNvPr>
        <xdr:cNvSpPr/>
      </xdr:nvSpPr>
      <xdr:spPr>
        <a:xfrm rot="10800000">
          <a:off x="5158740" y="38602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211</xdr:row>
      <xdr:rowOff>0</xdr:rowOff>
    </xdr:from>
    <xdr:to>
      <xdr:col>14</xdr:col>
      <xdr:colOff>83820</xdr:colOff>
      <xdr:row>211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37C51709-245A-4485-A2E2-8B145AAB9212}"/>
            </a:ext>
          </a:extLst>
        </xdr:cNvPr>
        <xdr:cNvSpPr/>
      </xdr:nvSpPr>
      <xdr:spPr>
        <a:xfrm>
          <a:off x="5158740" y="3878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212</xdr:row>
      <xdr:rowOff>0</xdr:rowOff>
    </xdr:from>
    <xdr:to>
      <xdr:col>14</xdr:col>
      <xdr:colOff>83820</xdr:colOff>
      <xdr:row>212</xdr:row>
      <xdr:rowOff>114300</xdr:rowOff>
    </xdr:to>
    <xdr:sp macro="" textlink="">
      <xdr:nvSpPr>
        <xdr:cNvPr id="204" name="Arrow: Down 203">
          <a:extLst>
            <a:ext uri="{FF2B5EF4-FFF2-40B4-BE49-F238E27FC236}">
              <a16:creationId xmlns:a16="http://schemas.microsoft.com/office/drawing/2014/main" id="{9B4E6632-65E7-4BB8-A523-75A71C719CDF}"/>
            </a:ext>
          </a:extLst>
        </xdr:cNvPr>
        <xdr:cNvSpPr/>
      </xdr:nvSpPr>
      <xdr:spPr>
        <a:xfrm rot="10800000">
          <a:off x="5158740" y="389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213</xdr:row>
      <xdr:rowOff>0</xdr:rowOff>
    </xdr:from>
    <xdr:to>
      <xdr:col>14</xdr:col>
      <xdr:colOff>83820</xdr:colOff>
      <xdr:row>213</xdr:row>
      <xdr:rowOff>114300</xdr:rowOff>
    </xdr:to>
    <xdr:sp macro="" textlink="">
      <xdr:nvSpPr>
        <xdr:cNvPr id="215" name="Arrow: Down 214">
          <a:extLst>
            <a:ext uri="{FF2B5EF4-FFF2-40B4-BE49-F238E27FC236}">
              <a16:creationId xmlns:a16="http://schemas.microsoft.com/office/drawing/2014/main" id="{F360C447-9969-4AB2-B2E5-10B0EF20E9E2}"/>
            </a:ext>
          </a:extLst>
        </xdr:cNvPr>
        <xdr:cNvSpPr/>
      </xdr:nvSpPr>
      <xdr:spPr>
        <a:xfrm>
          <a:off x="5158740" y="3915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214</xdr:row>
      <xdr:rowOff>0</xdr:rowOff>
    </xdr:from>
    <xdr:to>
      <xdr:col>14</xdr:col>
      <xdr:colOff>83820</xdr:colOff>
      <xdr:row>214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131BC8CC-7722-4CAC-A266-683C1F1AC160}"/>
            </a:ext>
          </a:extLst>
        </xdr:cNvPr>
        <xdr:cNvSpPr/>
      </xdr:nvSpPr>
      <xdr:spPr>
        <a:xfrm>
          <a:off x="5158740" y="3915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215</xdr:row>
      <xdr:rowOff>0</xdr:rowOff>
    </xdr:from>
    <xdr:to>
      <xdr:col>14</xdr:col>
      <xdr:colOff>83820</xdr:colOff>
      <xdr:row>215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0EE1B940-FE09-4B5F-808C-D91D33EB89F6}"/>
            </a:ext>
          </a:extLst>
        </xdr:cNvPr>
        <xdr:cNvSpPr/>
      </xdr:nvSpPr>
      <xdr:spPr>
        <a:xfrm rot="10800000">
          <a:off x="5158740" y="39517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216</xdr:row>
      <xdr:rowOff>0</xdr:rowOff>
    </xdr:from>
    <xdr:to>
      <xdr:col>14</xdr:col>
      <xdr:colOff>83820</xdr:colOff>
      <xdr:row>216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918C598B-9B56-4AFE-9D77-C94D01A65E39}"/>
            </a:ext>
          </a:extLst>
        </xdr:cNvPr>
        <xdr:cNvSpPr/>
      </xdr:nvSpPr>
      <xdr:spPr>
        <a:xfrm>
          <a:off x="5158740" y="39700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217</xdr:row>
      <xdr:rowOff>0</xdr:rowOff>
    </xdr:from>
    <xdr:to>
      <xdr:col>14</xdr:col>
      <xdr:colOff>83820</xdr:colOff>
      <xdr:row>217</xdr:row>
      <xdr:rowOff>114300</xdr:rowOff>
    </xdr:to>
    <xdr:sp macro="" textlink="">
      <xdr:nvSpPr>
        <xdr:cNvPr id="208" name="Arrow: Down 207">
          <a:extLst>
            <a:ext uri="{FF2B5EF4-FFF2-40B4-BE49-F238E27FC236}">
              <a16:creationId xmlns:a16="http://schemas.microsoft.com/office/drawing/2014/main" id="{4668D227-8C34-4F34-AC6C-40C16A56EB1C}"/>
            </a:ext>
          </a:extLst>
        </xdr:cNvPr>
        <xdr:cNvSpPr/>
      </xdr:nvSpPr>
      <xdr:spPr>
        <a:xfrm rot="10800000">
          <a:off x="5158740" y="3988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218</xdr:row>
      <xdr:rowOff>0</xdr:rowOff>
    </xdr:from>
    <xdr:to>
      <xdr:col>14</xdr:col>
      <xdr:colOff>83820</xdr:colOff>
      <xdr:row>218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6D25796C-E475-4635-B03D-0C4FDE26F93F}"/>
            </a:ext>
          </a:extLst>
        </xdr:cNvPr>
        <xdr:cNvSpPr/>
      </xdr:nvSpPr>
      <xdr:spPr>
        <a:xfrm>
          <a:off x="5158740" y="4006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219</xdr:row>
      <xdr:rowOff>0</xdr:rowOff>
    </xdr:from>
    <xdr:to>
      <xdr:col>14</xdr:col>
      <xdr:colOff>83820</xdr:colOff>
      <xdr:row>219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2CBB21F6-F786-4057-B51F-8129D5B5FB16}"/>
            </a:ext>
          </a:extLst>
        </xdr:cNvPr>
        <xdr:cNvSpPr/>
      </xdr:nvSpPr>
      <xdr:spPr>
        <a:xfrm rot="10800000">
          <a:off x="5158740" y="402488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220</xdr:row>
      <xdr:rowOff>0</xdr:rowOff>
    </xdr:from>
    <xdr:to>
      <xdr:col>14</xdr:col>
      <xdr:colOff>83820</xdr:colOff>
      <xdr:row>220</xdr:row>
      <xdr:rowOff>114300</xdr:rowOff>
    </xdr:to>
    <xdr:sp macro="" textlink="">
      <xdr:nvSpPr>
        <xdr:cNvPr id="199" name="Arrow: Down 198">
          <a:extLst>
            <a:ext uri="{FF2B5EF4-FFF2-40B4-BE49-F238E27FC236}">
              <a16:creationId xmlns:a16="http://schemas.microsoft.com/office/drawing/2014/main" id="{3B583773-ED1D-4A76-AA38-18423ACB9E39}"/>
            </a:ext>
          </a:extLst>
        </xdr:cNvPr>
        <xdr:cNvSpPr/>
      </xdr:nvSpPr>
      <xdr:spPr>
        <a:xfrm rot="10800000">
          <a:off x="5158740" y="402488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221</xdr:row>
      <xdr:rowOff>0</xdr:rowOff>
    </xdr:from>
    <xdr:to>
      <xdr:col>14</xdr:col>
      <xdr:colOff>83820</xdr:colOff>
      <xdr:row>221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2AA1A6AD-E233-46B3-9AD1-FE632D2D6F6B}"/>
            </a:ext>
          </a:extLst>
        </xdr:cNvPr>
        <xdr:cNvSpPr/>
      </xdr:nvSpPr>
      <xdr:spPr>
        <a:xfrm>
          <a:off x="5158740" y="4061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222</xdr:row>
      <xdr:rowOff>0</xdr:rowOff>
    </xdr:from>
    <xdr:to>
      <xdr:col>14</xdr:col>
      <xdr:colOff>83820</xdr:colOff>
      <xdr:row>222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2D7C9EB-FA1A-448C-BA13-AC2EB066BF29}"/>
            </a:ext>
          </a:extLst>
        </xdr:cNvPr>
        <xdr:cNvSpPr/>
      </xdr:nvSpPr>
      <xdr:spPr>
        <a:xfrm>
          <a:off x="5158740" y="4061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122</xdr:row>
      <xdr:rowOff>0</xdr:rowOff>
    </xdr:from>
    <xdr:to>
      <xdr:col>28</xdr:col>
      <xdr:colOff>83820</xdr:colOff>
      <xdr:row>122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6706F9A5-3821-4954-B517-AD3AC8036C90}"/>
            </a:ext>
          </a:extLst>
        </xdr:cNvPr>
        <xdr:cNvSpPr/>
      </xdr:nvSpPr>
      <xdr:spPr>
        <a:xfrm>
          <a:off x="11803380" y="2268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123</xdr:row>
      <xdr:rowOff>0</xdr:rowOff>
    </xdr:from>
    <xdr:to>
      <xdr:col>28</xdr:col>
      <xdr:colOff>83820</xdr:colOff>
      <xdr:row>123</xdr:row>
      <xdr:rowOff>114300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DBF2BEAC-72F5-40AB-BF25-842BE363E2B1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124</xdr:row>
      <xdr:rowOff>0</xdr:rowOff>
    </xdr:from>
    <xdr:to>
      <xdr:col>28</xdr:col>
      <xdr:colOff>83820</xdr:colOff>
      <xdr:row>124</xdr:row>
      <xdr:rowOff>114300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DD0C338-5FA4-45F1-A2D5-A5189D51B6ED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125</xdr:row>
      <xdr:rowOff>0</xdr:rowOff>
    </xdr:from>
    <xdr:to>
      <xdr:col>28</xdr:col>
      <xdr:colOff>83820</xdr:colOff>
      <xdr:row>125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D4473209-040F-4E0E-B7A1-A8DA37743506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126</xdr:row>
      <xdr:rowOff>0</xdr:rowOff>
    </xdr:from>
    <xdr:to>
      <xdr:col>28</xdr:col>
      <xdr:colOff>83820</xdr:colOff>
      <xdr:row>126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7D3F94A4-93F5-4B01-957A-11400BC1A5C7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127</xdr:row>
      <xdr:rowOff>0</xdr:rowOff>
    </xdr:from>
    <xdr:to>
      <xdr:col>28</xdr:col>
      <xdr:colOff>83820</xdr:colOff>
      <xdr:row>127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3F7CF259-6E87-4ECA-A964-63BD5FCF1FF4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128</xdr:row>
      <xdr:rowOff>0</xdr:rowOff>
    </xdr:from>
    <xdr:to>
      <xdr:col>28</xdr:col>
      <xdr:colOff>83820</xdr:colOff>
      <xdr:row>128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5774972C-47AC-4FFE-993E-29FF5AFFFE67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129</xdr:row>
      <xdr:rowOff>0</xdr:rowOff>
    </xdr:from>
    <xdr:to>
      <xdr:col>28</xdr:col>
      <xdr:colOff>83820</xdr:colOff>
      <xdr:row>129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064AD02-2972-43D7-B816-6CA71D96B061}"/>
            </a:ext>
          </a:extLst>
        </xdr:cNvPr>
        <xdr:cNvSpPr/>
      </xdr:nvSpPr>
      <xdr:spPr>
        <a:xfrm>
          <a:off x="11803380" y="2396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130</xdr:row>
      <xdr:rowOff>0</xdr:rowOff>
    </xdr:from>
    <xdr:to>
      <xdr:col>28</xdr:col>
      <xdr:colOff>83820</xdr:colOff>
      <xdr:row>130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7E9CDF2B-7670-47B9-9DF7-9E0194788C99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131</xdr:row>
      <xdr:rowOff>0</xdr:rowOff>
    </xdr:from>
    <xdr:to>
      <xdr:col>28</xdr:col>
      <xdr:colOff>83820</xdr:colOff>
      <xdr:row>131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4CE6E74-8B22-4753-ACF3-B3ED3308FCCA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132</xdr:row>
      <xdr:rowOff>0</xdr:rowOff>
    </xdr:from>
    <xdr:to>
      <xdr:col>28</xdr:col>
      <xdr:colOff>83820</xdr:colOff>
      <xdr:row>132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CB4C492C-2D8B-4750-8119-F6F3A85E7128}"/>
            </a:ext>
          </a:extLst>
        </xdr:cNvPr>
        <xdr:cNvSpPr/>
      </xdr:nvSpPr>
      <xdr:spPr>
        <a:xfrm rot="10800000">
          <a:off x="11803380" y="2451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133</xdr:row>
      <xdr:rowOff>0</xdr:rowOff>
    </xdr:from>
    <xdr:to>
      <xdr:col>28</xdr:col>
      <xdr:colOff>83820</xdr:colOff>
      <xdr:row>133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3B259D3E-7326-4DEF-AD6F-E87E2F0481C2}"/>
            </a:ext>
          </a:extLst>
        </xdr:cNvPr>
        <xdr:cNvSpPr/>
      </xdr:nvSpPr>
      <xdr:spPr>
        <a:xfrm>
          <a:off x="11803380" y="2487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134</xdr:row>
      <xdr:rowOff>0</xdr:rowOff>
    </xdr:from>
    <xdr:to>
      <xdr:col>28</xdr:col>
      <xdr:colOff>83820</xdr:colOff>
      <xdr:row>134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3C265BFF-B76D-457E-96E6-909523530ED1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135</xdr:row>
      <xdr:rowOff>0</xdr:rowOff>
    </xdr:from>
    <xdr:to>
      <xdr:col>28</xdr:col>
      <xdr:colOff>83820</xdr:colOff>
      <xdr:row>135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FE7CAE4E-5F58-4409-858E-8483016F8413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136</xdr:row>
      <xdr:rowOff>0</xdr:rowOff>
    </xdr:from>
    <xdr:to>
      <xdr:col>28</xdr:col>
      <xdr:colOff>83820</xdr:colOff>
      <xdr:row>136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0542596-BC0F-4B9F-BA2E-7E1EB4F1AAD0}"/>
            </a:ext>
          </a:extLst>
        </xdr:cNvPr>
        <xdr:cNvSpPr/>
      </xdr:nvSpPr>
      <xdr:spPr>
        <a:xfrm>
          <a:off x="11803380" y="2524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137</xdr:row>
      <xdr:rowOff>0</xdr:rowOff>
    </xdr:from>
    <xdr:to>
      <xdr:col>28</xdr:col>
      <xdr:colOff>83820</xdr:colOff>
      <xdr:row>137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3FA8B422-DBA6-4A73-A967-8BDD3D768C11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138</xdr:row>
      <xdr:rowOff>0</xdr:rowOff>
    </xdr:from>
    <xdr:to>
      <xdr:col>28</xdr:col>
      <xdr:colOff>83820</xdr:colOff>
      <xdr:row>138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6C677CB9-C52C-41F7-9229-C7D359EA21B8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139</xdr:row>
      <xdr:rowOff>0</xdr:rowOff>
    </xdr:from>
    <xdr:to>
      <xdr:col>28</xdr:col>
      <xdr:colOff>83820</xdr:colOff>
      <xdr:row>139</xdr:row>
      <xdr:rowOff>114300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72B5136B-C772-4B57-81B8-9382E285E6F1}"/>
            </a:ext>
          </a:extLst>
        </xdr:cNvPr>
        <xdr:cNvSpPr/>
      </xdr:nvSpPr>
      <xdr:spPr>
        <a:xfrm rot="10800000">
          <a:off x="11803380" y="2579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140</xdr:row>
      <xdr:rowOff>0</xdr:rowOff>
    </xdr:from>
    <xdr:to>
      <xdr:col>28</xdr:col>
      <xdr:colOff>83820</xdr:colOff>
      <xdr:row>140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2DD54026-2385-4F42-A3C2-E7ED0422D41D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141</xdr:row>
      <xdr:rowOff>0</xdr:rowOff>
    </xdr:from>
    <xdr:to>
      <xdr:col>28</xdr:col>
      <xdr:colOff>83820</xdr:colOff>
      <xdr:row>141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69863C41-044F-42A2-912B-14A7ECF393BB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142</xdr:row>
      <xdr:rowOff>0</xdr:rowOff>
    </xdr:from>
    <xdr:to>
      <xdr:col>28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E69DD497-C7BE-4985-BC35-190FF0B6B088}"/>
            </a:ext>
          </a:extLst>
        </xdr:cNvPr>
        <xdr:cNvSpPr/>
      </xdr:nvSpPr>
      <xdr:spPr>
        <a:xfrm>
          <a:off x="11803380" y="2634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143</xdr:row>
      <xdr:rowOff>0</xdr:rowOff>
    </xdr:from>
    <xdr:to>
      <xdr:col>28</xdr:col>
      <xdr:colOff>83820</xdr:colOff>
      <xdr:row>143</xdr:row>
      <xdr:rowOff>114300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D6E92128-ACA9-4B9D-9EDF-C1E0BB98D000}"/>
            </a:ext>
          </a:extLst>
        </xdr:cNvPr>
        <xdr:cNvSpPr/>
      </xdr:nvSpPr>
      <xdr:spPr>
        <a:xfrm>
          <a:off x="11803380" y="2652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144</xdr:row>
      <xdr:rowOff>0</xdr:rowOff>
    </xdr:from>
    <xdr:to>
      <xdr:col>28</xdr:col>
      <xdr:colOff>83820</xdr:colOff>
      <xdr:row>144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A21EC505-4945-43DE-9FA8-2A71FA0902E9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145</xdr:row>
      <xdr:rowOff>0</xdr:rowOff>
    </xdr:from>
    <xdr:to>
      <xdr:col>28</xdr:col>
      <xdr:colOff>83820</xdr:colOff>
      <xdr:row>145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4081BC35-0A05-480C-85C5-6442B95BA9B6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146</xdr:row>
      <xdr:rowOff>0</xdr:rowOff>
    </xdr:from>
    <xdr:to>
      <xdr:col>28</xdr:col>
      <xdr:colOff>83820</xdr:colOff>
      <xdr:row>146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06B824FC-3FB5-474A-B67F-4E9C02FA1A36}"/>
            </a:ext>
          </a:extLst>
        </xdr:cNvPr>
        <xdr:cNvSpPr/>
      </xdr:nvSpPr>
      <xdr:spPr>
        <a:xfrm rot="10800000">
          <a:off x="11803380" y="2707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147</xdr:row>
      <xdr:rowOff>0</xdr:rowOff>
    </xdr:from>
    <xdr:to>
      <xdr:col>28</xdr:col>
      <xdr:colOff>83820</xdr:colOff>
      <xdr:row>147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013276CD-9DFB-4432-9E8E-49A9F356FE86}"/>
            </a:ext>
          </a:extLst>
        </xdr:cNvPr>
        <xdr:cNvSpPr/>
      </xdr:nvSpPr>
      <xdr:spPr>
        <a:xfrm rot="10800000">
          <a:off x="11803380" y="2725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148</xdr:row>
      <xdr:rowOff>0</xdr:rowOff>
    </xdr:from>
    <xdr:to>
      <xdr:col>28</xdr:col>
      <xdr:colOff>83820</xdr:colOff>
      <xdr:row>148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E700CB2F-451E-4344-BF30-07762BDD6776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149</xdr:row>
      <xdr:rowOff>0</xdr:rowOff>
    </xdr:from>
    <xdr:to>
      <xdr:col>28</xdr:col>
      <xdr:colOff>83820</xdr:colOff>
      <xdr:row>149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A17D9D00-99D2-41AF-A54A-C75F72C3ECFF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150</xdr:row>
      <xdr:rowOff>0</xdr:rowOff>
    </xdr:from>
    <xdr:to>
      <xdr:col>28</xdr:col>
      <xdr:colOff>83820</xdr:colOff>
      <xdr:row>150</xdr:row>
      <xdr:rowOff>114300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B0418E2C-7975-4562-8288-067E5253B254}"/>
            </a:ext>
          </a:extLst>
        </xdr:cNvPr>
        <xdr:cNvSpPr/>
      </xdr:nvSpPr>
      <xdr:spPr>
        <a:xfrm>
          <a:off x="11803380" y="2780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151</xdr:row>
      <xdr:rowOff>0</xdr:rowOff>
    </xdr:from>
    <xdr:to>
      <xdr:col>28</xdr:col>
      <xdr:colOff>83820</xdr:colOff>
      <xdr:row>151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D6E5E69A-5069-4B54-A04E-615F0625BA5B}"/>
            </a:ext>
          </a:extLst>
        </xdr:cNvPr>
        <xdr:cNvSpPr/>
      </xdr:nvSpPr>
      <xdr:spPr>
        <a:xfrm rot="10800000">
          <a:off x="11803380" y="2817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152</xdr:row>
      <xdr:rowOff>0</xdr:rowOff>
    </xdr:from>
    <xdr:to>
      <xdr:col>28</xdr:col>
      <xdr:colOff>83820</xdr:colOff>
      <xdr:row>152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935B34CC-FEE7-4357-872B-E47A295E276C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153</xdr:row>
      <xdr:rowOff>0</xdr:rowOff>
    </xdr:from>
    <xdr:to>
      <xdr:col>28</xdr:col>
      <xdr:colOff>83820</xdr:colOff>
      <xdr:row>153</xdr:row>
      <xdr:rowOff>114300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258A5F2E-3B31-40DD-944A-1AE91F4719A0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154</xdr:row>
      <xdr:rowOff>0</xdr:rowOff>
    </xdr:from>
    <xdr:to>
      <xdr:col>28</xdr:col>
      <xdr:colOff>83820</xdr:colOff>
      <xdr:row>154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0F4000A7-03EF-4921-9E51-6FB2341AA939}"/>
            </a:ext>
          </a:extLst>
        </xdr:cNvPr>
        <xdr:cNvSpPr/>
      </xdr:nvSpPr>
      <xdr:spPr>
        <a:xfrm rot="10800000">
          <a:off x="11803380" y="2853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155</xdr:row>
      <xdr:rowOff>0</xdr:rowOff>
    </xdr:from>
    <xdr:to>
      <xdr:col>28</xdr:col>
      <xdr:colOff>83820</xdr:colOff>
      <xdr:row>155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789BB356-D1A8-4C5E-A2C8-5060C0F1A0DA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156</xdr:row>
      <xdr:rowOff>0</xdr:rowOff>
    </xdr:from>
    <xdr:to>
      <xdr:col>28</xdr:col>
      <xdr:colOff>83820</xdr:colOff>
      <xdr:row>156</xdr:row>
      <xdr:rowOff>114300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44E6D267-6B6F-4538-9D61-814B40210D08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157</xdr:row>
      <xdr:rowOff>0</xdr:rowOff>
    </xdr:from>
    <xdr:to>
      <xdr:col>28</xdr:col>
      <xdr:colOff>83820</xdr:colOff>
      <xdr:row>157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8B953CA8-E799-4FDA-AE4B-F34DC2BBF61F}"/>
            </a:ext>
          </a:extLst>
        </xdr:cNvPr>
        <xdr:cNvSpPr/>
      </xdr:nvSpPr>
      <xdr:spPr>
        <a:xfrm rot="10800000">
          <a:off x="11803380" y="2926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158</xdr:row>
      <xdr:rowOff>0</xdr:rowOff>
    </xdr:from>
    <xdr:to>
      <xdr:col>28</xdr:col>
      <xdr:colOff>83820</xdr:colOff>
      <xdr:row>158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84F42571-3E5A-47C5-A388-55F8C759C553}"/>
            </a:ext>
          </a:extLst>
        </xdr:cNvPr>
        <xdr:cNvSpPr/>
      </xdr:nvSpPr>
      <xdr:spPr>
        <a:xfrm rot="10800000">
          <a:off x="11803380" y="2926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159</xdr:row>
      <xdr:rowOff>0</xdr:rowOff>
    </xdr:from>
    <xdr:to>
      <xdr:col>28</xdr:col>
      <xdr:colOff>83820</xdr:colOff>
      <xdr:row>159</xdr:row>
      <xdr:rowOff>114300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1D2919D2-D6DB-4AFF-A642-916D4DFDCF26}"/>
            </a:ext>
          </a:extLst>
        </xdr:cNvPr>
        <xdr:cNvSpPr/>
      </xdr:nvSpPr>
      <xdr:spPr>
        <a:xfrm rot="10800000">
          <a:off x="11803380" y="2945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160</xdr:row>
      <xdr:rowOff>0</xdr:rowOff>
    </xdr:from>
    <xdr:to>
      <xdr:col>28</xdr:col>
      <xdr:colOff>83820</xdr:colOff>
      <xdr:row>160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9307F5B5-2799-458D-B3A9-92CC190A6735}"/>
            </a:ext>
          </a:extLst>
        </xdr:cNvPr>
        <xdr:cNvSpPr/>
      </xdr:nvSpPr>
      <xdr:spPr>
        <a:xfrm rot="10800000">
          <a:off x="11803380" y="2963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161</xdr:row>
      <xdr:rowOff>0</xdr:rowOff>
    </xdr:from>
    <xdr:to>
      <xdr:col>28</xdr:col>
      <xdr:colOff>83820</xdr:colOff>
      <xdr:row>161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A5C66E21-F383-41E1-938A-9C173B5B311B}"/>
            </a:ext>
          </a:extLst>
        </xdr:cNvPr>
        <xdr:cNvSpPr/>
      </xdr:nvSpPr>
      <xdr:spPr>
        <a:xfrm rot="10800000">
          <a:off x="11803380" y="29817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162</xdr:row>
      <xdr:rowOff>0</xdr:rowOff>
    </xdr:from>
    <xdr:to>
      <xdr:col>28</xdr:col>
      <xdr:colOff>83820</xdr:colOff>
      <xdr:row>162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44DF6A42-4D23-4023-9C7A-4B4189E480F3}"/>
            </a:ext>
          </a:extLst>
        </xdr:cNvPr>
        <xdr:cNvSpPr/>
      </xdr:nvSpPr>
      <xdr:spPr>
        <a:xfrm>
          <a:off x="11803380" y="3018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163</xdr:row>
      <xdr:rowOff>0</xdr:rowOff>
    </xdr:from>
    <xdr:to>
      <xdr:col>28</xdr:col>
      <xdr:colOff>83820</xdr:colOff>
      <xdr:row>163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3DB92C4F-40AC-49CE-93F8-3227D2E8E6A2}"/>
            </a:ext>
          </a:extLst>
        </xdr:cNvPr>
        <xdr:cNvSpPr/>
      </xdr:nvSpPr>
      <xdr:spPr>
        <a:xfrm>
          <a:off x="11803380" y="3018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164</xdr:row>
      <xdr:rowOff>0</xdr:rowOff>
    </xdr:from>
    <xdr:to>
      <xdr:col>28</xdr:col>
      <xdr:colOff>83820</xdr:colOff>
      <xdr:row>164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6634F015-3F6A-4B15-A235-D381FC2A00E6}"/>
            </a:ext>
          </a:extLst>
        </xdr:cNvPr>
        <xdr:cNvSpPr/>
      </xdr:nvSpPr>
      <xdr:spPr>
        <a:xfrm rot="10800000">
          <a:off x="11803380" y="3054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165</xdr:row>
      <xdr:rowOff>0</xdr:rowOff>
    </xdr:from>
    <xdr:to>
      <xdr:col>28</xdr:col>
      <xdr:colOff>83820</xdr:colOff>
      <xdr:row>165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24BECBD3-EC78-470D-8F25-A76BBB646A21}"/>
            </a:ext>
          </a:extLst>
        </xdr:cNvPr>
        <xdr:cNvSpPr/>
      </xdr:nvSpPr>
      <xdr:spPr>
        <a:xfrm rot="10800000">
          <a:off x="11803380" y="3054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166</xdr:row>
      <xdr:rowOff>0</xdr:rowOff>
    </xdr:from>
    <xdr:to>
      <xdr:col>28</xdr:col>
      <xdr:colOff>83820</xdr:colOff>
      <xdr:row>166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72360416-8DC6-4693-9DBE-49A3711109B2}"/>
            </a:ext>
          </a:extLst>
        </xdr:cNvPr>
        <xdr:cNvSpPr/>
      </xdr:nvSpPr>
      <xdr:spPr>
        <a:xfrm rot="10800000">
          <a:off x="11803380" y="3073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167</xdr:row>
      <xdr:rowOff>0</xdr:rowOff>
    </xdr:from>
    <xdr:to>
      <xdr:col>28</xdr:col>
      <xdr:colOff>83820</xdr:colOff>
      <xdr:row>167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298D79C9-882F-4E04-BB19-08055E82800B}"/>
            </a:ext>
          </a:extLst>
        </xdr:cNvPr>
        <xdr:cNvSpPr/>
      </xdr:nvSpPr>
      <xdr:spPr>
        <a:xfrm rot="10800000">
          <a:off x="11803380" y="3091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168</xdr:row>
      <xdr:rowOff>0</xdr:rowOff>
    </xdr:from>
    <xdr:to>
      <xdr:col>28</xdr:col>
      <xdr:colOff>83820</xdr:colOff>
      <xdr:row>168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F66E442-4B4C-4D76-BCA1-F6851F610760}"/>
            </a:ext>
          </a:extLst>
        </xdr:cNvPr>
        <xdr:cNvSpPr/>
      </xdr:nvSpPr>
      <xdr:spPr>
        <a:xfrm rot="10800000">
          <a:off x="11803380" y="3109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169</xdr:row>
      <xdr:rowOff>0</xdr:rowOff>
    </xdr:from>
    <xdr:to>
      <xdr:col>28</xdr:col>
      <xdr:colOff>83820</xdr:colOff>
      <xdr:row>169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268ABF79-0B72-4FBF-AD11-C25215DB7268}"/>
            </a:ext>
          </a:extLst>
        </xdr:cNvPr>
        <xdr:cNvSpPr/>
      </xdr:nvSpPr>
      <xdr:spPr>
        <a:xfrm>
          <a:off x="11803380" y="3146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170</xdr:row>
      <xdr:rowOff>0</xdr:rowOff>
    </xdr:from>
    <xdr:to>
      <xdr:col>28</xdr:col>
      <xdr:colOff>83820</xdr:colOff>
      <xdr:row>170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5D3BDA3B-0D5C-4D41-819B-1191BE6B0D38}"/>
            </a:ext>
          </a:extLst>
        </xdr:cNvPr>
        <xdr:cNvSpPr/>
      </xdr:nvSpPr>
      <xdr:spPr>
        <a:xfrm rot="10800000">
          <a:off x="11803380" y="3164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171</xdr:row>
      <xdr:rowOff>0</xdr:rowOff>
    </xdr:from>
    <xdr:to>
      <xdr:col>28</xdr:col>
      <xdr:colOff>83820</xdr:colOff>
      <xdr:row>171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1A319BCE-CF85-4403-B68C-F7EDFB8C1CE1}"/>
            </a:ext>
          </a:extLst>
        </xdr:cNvPr>
        <xdr:cNvSpPr/>
      </xdr:nvSpPr>
      <xdr:spPr>
        <a:xfrm rot="10800000">
          <a:off x="11803380" y="3164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172</xdr:row>
      <xdr:rowOff>0</xdr:rowOff>
    </xdr:from>
    <xdr:to>
      <xdr:col>28</xdr:col>
      <xdr:colOff>83820</xdr:colOff>
      <xdr:row>172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CF6923B1-7D77-40F3-A3C0-7937D80CF5E8}"/>
            </a:ext>
          </a:extLst>
        </xdr:cNvPr>
        <xdr:cNvSpPr/>
      </xdr:nvSpPr>
      <xdr:spPr>
        <a:xfrm rot="10800000">
          <a:off x="11803380" y="3182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173</xdr:row>
      <xdr:rowOff>0</xdr:rowOff>
    </xdr:from>
    <xdr:to>
      <xdr:col>28</xdr:col>
      <xdr:colOff>83820</xdr:colOff>
      <xdr:row>173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C8BC37AD-C434-4BB7-B7AE-FE6AB56B94E7}"/>
            </a:ext>
          </a:extLst>
        </xdr:cNvPr>
        <xdr:cNvSpPr/>
      </xdr:nvSpPr>
      <xdr:spPr>
        <a:xfrm rot="10800000">
          <a:off x="11803380" y="3201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174</xdr:row>
      <xdr:rowOff>0</xdr:rowOff>
    </xdr:from>
    <xdr:to>
      <xdr:col>28</xdr:col>
      <xdr:colOff>83820</xdr:colOff>
      <xdr:row>174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A58CF172-F2D8-4DA6-89FD-68F2FAE04DA4}"/>
            </a:ext>
          </a:extLst>
        </xdr:cNvPr>
        <xdr:cNvSpPr/>
      </xdr:nvSpPr>
      <xdr:spPr>
        <a:xfrm rot="10800000">
          <a:off x="11803380" y="3219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175</xdr:row>
      <xdr:rowOff>0</xdr:rowOff>
    </xdr:from>
    <xdr:to>
      <xdr:col>28</xdr:col>
      <xdr:colOff>83820</xdr:colOff>
      <xdr:row>175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53DD8C40-6BD9-44A7-BCB0-97456593428A}"/>
            </a:ext>
          </a:extLst>
        </xdr:cNvPr>
        <xdr:cNvSpPr/>
      </xdr:nvSpPr>
      <xdr:spPr>
        <a:xfrm rot="10800000">
          <a:off x="11803380" y="3237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176</xdr:row>
      <xdr:rowOff>0</xdr:rowOff>
    </xdr:from>
    <xdr:to>
      <xdr:col>28</xdr:col>
      <xdr:colOff>83820</xdr:colOff>
      <xdr:row>176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0F74C8C0-CE54-4AFB-A003-33D376E0019D}"/>
            </a:ext>
          </a:extLst>
        </xdr:cNvPr>
        <xdr:cNvSpPr/>
      </xdr:nvSpPr>
      <xdr:spPr>
        <a:xfrm>
          <a:off x="11803380" y="3274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316"/>
  <sheetViews>
    <sheetView tabSelected="1" topLeftCell="A205" zoomScaleNormal="100" workbookViewId="0">
      <selection activeCell="BK215" sqref="BK215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2.21875" customWidth="1"/>
    <col min="14" max="14" width="10.4414062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customWidth="1" outlineLevel="1"/>
    <col min="34" max="34" width="11" customWidth="1" outlineLevel="1"/>
    <col min="35" max="35" width="8.109375" customWidth="1" outlineLevel="1"/>
    <col min="36" max="36" width="2.21875" customWidth="1" outlineLevel="1"/>
    <col min="37" max="37" width="3.5546875" customWidth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3.88671875" customWidth="1"/>
    <col min="54" max="54" width="1.109375" customWidth="1"/>
    <col min="55" max="55" width="11.77734375" customWidth="1"/>
    <col min="56" max="56" width="1.33203125" customWidth="1"/>
    <col min="57" max="57" width="8.77734375" customWidth="1"/>
    <col min="58" max="58" width="1.109375" customWidth="1"/>
    <col min="59" max="59" width="11.33203125" customWidth="1"/>
    <col min="60" max="60" width="1.109375" customWidth="1"/>
    <col min="61" max="61" width="3.88671875" customWidth="1"/>
    <col min="62" max="62" width="1.44140625" customWidth="1" outlineLevel="1"/>
    <col min="63" max="63" width="15.109375" customWidth="1" outlineLevel="1"/>
    <col min="64" max="64" width="0.88671875" customWidth="1" outlineLevel="1"/>
    <col min="65" max="65" width="6.88671875" customWidth="1" outlineLevel="1"/>
    <col min="66" max="66" width="10.109375" customWidth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591" t="s">
        <v>5</v>
      </c>
      <c r="C1" s="591"/>
      <c r="D1" s="591"/>
    </row>
    <row r="2" spans="2:90" ht="15.6" x14ac:dyDescent="0.3">
      <c r="B2" s="591" t="s">
        <v>6</v>
      </c>
      <c r="C2" s="591"/>
      <c r="D2" s="591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596" t="s">
        <v>13</v>
      </c>
      <c r="C3" s="596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592" t="s">
        <v>11</v>
      </c>
      <c r="K4" s="593"/>
      <c r="L4" s="593"/>
      <c r="M4" s="593"/>
      <c r="N4" s="593"/>
      <c r="O4" s="593"/>
      <c r="P4" s="593"/>
      <c r="Q4" s="593"/>
      <c r="R4" s="593"/>
      <c r="S4" s="593"/>
      <c r="T4" s="593"/>
      <c r="U4" s="593"/>
      <c r="V4" s="593"/>
      <c r="W4" s="593"/>
      <c r="X4" s="593"/>
      <c r="Y4" s="593"/>
      <c r="Z4" s="593"/>
      <c r="AA4" s="593"/>
      <c r="AB4" s="593"/>
      <c r="AC4" s="593"/>
      <c r="AD4" s="11"/>
      <c r="AE4" s="325"/>
      <c r="AF4" s="447"/>
      <c r="AG4" s="447"/>
      <c r="AH4" s="447"/>
      <c r="AI4" s="447"/>
      <c r="AJ4" s="12"/>
      <c r="AL4" s="610" t="s">
        <v>14</v>
      </c>
      <c r="AM4" s="611"/>
      <c r="AN4" s="611"/>
      <c r="AO4" s="611"/>
      <c r="AP4" s="611"/>
      <c r="AQ4" s="611"/>
      <c r="AR4" s="611"/>
      <c r="AS4" s="611"/>
      <c r="AT4" s="611"/>
      <c r="AU4" s="611"/>
      <c r="AV4" s="611"/>
      <c r="AW4" s="611"/>
      <c r="AX4" s="611"/>
      <c r="AY4" s="611"/>
      <c r="AZ4" s="611"/>
      <c r="BA4" s="611"/>
      <c r="BB4" s="611"/>
      <c r="BC4" s="611"/>
      <c r="BD4" s="611"/>
      <c r="BE4" s="611"/>
      <c r="BF4" s="611"/>
      <c r="BG4" s="611"/>
      <c r="BH4" s="611"/>
      <c r="BI4" s="611"/>
      <c r="BJ4" s="611"/>
      <c r="BK4" s="611"/>
      <c r="BL4" s="611"/>
      <c r="BM4" s="611"/>
      <c r="BN4" s="611"/>
      <c r="BO4" s="611"/>
      <c r="BP4" s="611"/>
      <c r="BQ4" s="611"/>
      <c r="BR4" s="611"/>
      <c r="BS4" s="611"/>
      <c r="BT4" s="611"/>
      <c r="BU4" s="612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597" t="s">
        <v>12</v>
      </c>
      <c r="G6" s="597"/>
      <c r="H6" s="597"/>
      <c r="I6" s="597"/>
      <c r="J6" s="597"/>
      <c r="K6" s="597"/>
      <c r="L6" s="597"/>
      <c r="M6" s="335"/>
      <c r="N6" s="543"/>
      <c r="O6" s="335"/>
      <c r="P6" s="336"/>
      <c r="Q6" s="603" t="s">
        <v>124</v>
      </c>
      <c r="R6" s="597"/>
      <c r="S6" s="597"/>
      <c r="T6" s="597"/>
      <c r="U6" s="604"/>
      <c r="V6" s="3"/>
      <c r="W6" s="8" t="s">
        <v>7</v>
      </c>
      <c r="X6" s="30"/>
      <c r="Y6" s="598">
        <v>1.2500000000000001E-2</v>
      </c>
      <c r="Z6" s="598"/>
      <c r="AA6" s="598"/>
      <c r="AB6" s="598"/>
      <c r="AC6" s="598"/>
      <c r="AD6" s="598"/>
      <c r="AE6" s="598"/>
      <c r="AF6" s="598"/>
      <c r="AG6" s="598"/>
      <c r="AH6" s="598"/>
      <c r="AI6" s="598"/>
      <c r="AJ6" s="599"/>
      <c r="AK6" s="3"/>
      <c r="AL6" s="617" t="s">
        <v>27</v>
      </c>
      <c r="AM6" s="618"/>
      <c r="AN6" s="618"/>
      <c r="AO6" s="618"/>
      <c r="AP6" s="618"/>
      <c r="AQ6" s="618"/>
      <c r="AR6" s="618"/>
      <c r="AS6" s="618"/>
      <c r="AT6" s="618"/>
      <c r="AU6" s="618"/>
      <c r="AV6" s="618"/>
      <c r="AW6" s="618"/>
      <c r="AX6" s="618"/>
      <c r="AY6" s="619"/>
      <c r="AZ6" s="3"/>
      <c r="BA6" s="620" t="s">
        <v>7</v>
      </c>
      <c r="BB6" s="614"/>
      <c r="BC6" s="614"/>
      <c r="BD6" s="97"/>
      <c r="BE6" s="613" t="s">
        <v>26</v>
      </c>
      <c r="BF6" s="613"/>
      <c r="BG6" s="613"/>
      <c r="BH6" s="613"/>
      <c r="BI6" s="613"/>
      <c r="BJ6" s="613"/>
      <c r="BK6" s="613"/>
      <c r="BL6" s="613"/>
      <c r="BM6" s="613"/>
      <c r="BN6" s="613"/>
      <c r="BO6" s="613"/>
      <c r="BP6" s="613"/>
      <c r="BQ6" s="613"/>
      <c r="BR6" s="614"/>
      <c r="BS6" s="614"/>
      <c r="BT6" s="614"/>
      <c r="BU6" s="615"/>
      <c r="BV6" s="3"/>
    </row>
    <row r="7" spans="2:90" ht="16.2" x14ac:dyDescent="0.3">
      <c r="D7" s="594" t="s">
        <v>20</v>
      </c>
      <c r="E7" s="595"/>
      <c r="F7" s="595"/>
      <c r="G7" s="595"/>
      <c r="H7" s="595"/>
      <c r="I7" s="595"/>
      <c r="J7" s="595"/>
      <c r="K7" s="465"/>
      <c r="L7" s="465"/>
      <c r="M7" s="465"/>
      <c r="N7" s="542"/>
      <c r="O7" s="465"/>
      <c r="P7" s="466"/>
      <c r="Q7" s="448"/>
      <c r="R7" s="449"/>
      <c r="S7" s="449"/>
      <c r="T7" s="449"/>
      <c r="U7" s="337"/>
      <c r="V7" s="3"/>
      <c r="W7" s="600" t="s">
        <v>35</v>
      </c>
      <c r="X7" s="601"/>
      <c r="Y7" s="601"/>
      <c r="Z7" s="601"/>
      <c r="AA7" s="601"/>
      <c r="AB7" s="601"/>
      <c r="AC7" s="601"/>
      <c r="AD7" s="601"/>
      <c r="AE7" s="601"/>
      <c r="AF7" s="601"/>
      <c r="AG7" s="601"/>
      <c r="AH7" s="601"/>
      <c r="AI7" s="601"/>
      <c r="AJ7" s="602"/>
      <c r="AK7" s="3"/>
      <c r="AL7" s="594" t="s">
        <v>76</v>
      </c>
      <c r="AM7" s="595"/>
      <c r="AN7" s="595"/>
      <c r="AO7" s="595"/>
      <c r="AP7" s="595"/>
      <c r="AQ7" s="595"/>
      <c r="AR7" s="595"/>
      <c r="AS7" s="595"/>
      <c r="AT7" s="595"/>
      <c r="AU7" s="595"/>
      <c r="AV7" s="595"/>
      <c r="AW7" s="595"/>
      <c r="AX7" s="595"/>
      <c r="AY7" s="616"/>
      <c r="BA7" s="594" t="s">
        <v>25</v>
      </c>
      <c r="BB7" s="595"/>
      <c r="BC7" s="595"/>
      <c r="BD7" s="595"/>
      <c r="BE7" s="595"/>
      <c r="BF7" s="595"/>
      <c r="BG7" s="595"/>
      <c r="BH7" s="595"/>
      <c r="BI7" s="595"/>
      <c r="BJ7" s="595"/>
      <c r="BK7" s="595"/>
      <c r="BL7" s="595"/>
      <c r="BM7" s="595"/>
      <c r="BN7" s="595"/>
      <c r="BO7" s="595"/>
      <c r="BP7" s="595"/>
      <c r="BQ7" s="595"/>
      <c r="BR7" s="595"/>
      <c r="BS7" s="595"/>
      <c r="BT7" s="595"/>
      <c r="BU7" s="616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608" t="s">
        <v>1</v>
      </c>
      <c r="BB8" s="609"/>
      <c r="BC8" s="609"/>
      <c r="BD8" s="64"/>
      <c r="BE8" s="609" t="s">
        <v>24</v>
      </c>
      <c r="BF8" s="609"/>
      <c r="BG8" s="609"/>
      <c r="BH8" s="609"/>
      <c r="BI8" s="621"/>
      <c r="BJ8" s="622" t="s">
        <v>124</v>
      </c>
      <c r="BK8" s="623"/>
      <c r="BL8" s="623"/>
      <c r="BM8" s="624"/>
      <c r="BN8" s="608" t="s">
        <v>24</v>
      </c>
      <c r="BO8" s="609"/>
      <c r="BP8" s="609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87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89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>
        <f>+BK82+BK75+BK68+BK61</f>
        <v>10475827</v>
      </c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>
        <f>+BK84/4</f>
        <v>2618956.75</v>
      </c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469">
        <f>SUM(D83:D112)</f>
        <v>869627</v>
      </c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+H113+D114+2141+4101+9611-5628+30786</f>
        <v>2879836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27427.009523809524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+AA113+W114+670+642-57-19+91</f>
        <v>132756</v>
      </c>
      <c r="AB114" s="33"/>
      <c r="AC114" s="46">
        <f t="shared" si="73"/>
        <v>4.6098458384435784E-2</v>
      </c>
      <c r="AD114" s="33"/>
      <c r="AE114" s="33">
        <f t="shared" si="74"/>
        <v>1264.3428571428572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0.41154392125107125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2937927</v>
      </c>
      <c r="I115" s="505" t="s">
        <v>150</v>
      </c>
      <c r="J115" s="38">
        <f t="shared" si="70"/>
        <v>2.0171634773646831E-2</v>
      </c>
      <c r="K115" s="16"/>
      <c r="L115" s="16"/>
      <c r="M115" s="16"/>
      <c r="N115" s="16"/>
      <c r="O115" s="16">
        <f t="shared" si="71"/>
        <v>27716.292452830188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133372</v>
      </c>
      <c r="AB115" s="33"/>
      <c r="AC115" s="46">
        <f t="shared" si="73"/>
        <v>4.5396635110402678E-2</v>
      </c>
      <c r="AD115" s="33"/>
      <c r="AE115" s="33">
        <f t="shared" si="74"/>
        <v>1258.2264150943397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0.42053053054075201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+H115+D116+2919+25339</f>
        <v>3012769</v>
      </c>
      <c r="I116" s="505" t="s">
        <v>150</v>
      </c>
      <c r="J116" s="38">
        <f t="shared" si="70"/>
        <v>1.5856078112219944E-2</v>
      </c>
      <c r="K116" s="16"/>
      <c r="L116" s="16"/>
      <c r="M116" s="16"/>
      <c r="N116" s="16"/>
      <c r="O116" s="16">
        <f t="shared" si="71"/>
        <v>28156.719626168226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133626</v>
      </c>
      <c r="AB116" s="33"/>
      <c r="AC116" s="46">
        <f t="shared" si="73"/>
        <v>4.4353217920125969E-2</v>
      </c>
      <c r="AD116" s="33"/>
      <c r="AE116" s="33">
        <f t="shared" si="74"/>
        <v>1248.8411214953271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0.41835434445853631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3057299</v>
      </c>
      <c r="I117" s="16"/>
      <c r="J117" s="38">
        <f t="shared" si="70"/>
        <v>1.4780422926550293E-2</v>
      </c>
      <c r="K117" s="16"/>
      <c r="L117" s="16"/>
      <c r="M117" s="16"/>
      <c r="N117" s="16">
        <f>SUM(D111:D117)</f>
        <v>350953</v>
      </c>
      <c r="O117" s="16">
        <f t="shared" si="71"/>
        <v>28308.324074074073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133877</v>
      </c>
      <c r="AB117" s="33"/>
      <c r="AC117" s="46">
        <f t="shared" si="73"/>
        <v>4.3789305527526093E-2</v>
      </c>
      <c r="AD117" s="33"/>
      <c r="AE117" s="33">
        <f t="shared" si="74"/>
        <v>1239.601851851852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0.42048847692031432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3110911</v>
      </c>
      <c r="I118" s="16"/>
      <c r="J118" s="38">
        <f t="shared" si="70"/>
        <v>1.7535739880201445E-2</v>
      </c>
      <c r="K118" s="16"/>
      <c r="L118" s="16"/>
      <c r="M118" s="16"/>
      <c r="N118" s="16"/>
      <c r="O118" s="16">
        <f t="shared" si="71"/>
        <v>28540.467889908257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134255</v>
      </c>
      <c r="AB118" s="33"/>
      <c r="AC118" s="46">
        <f t="shared" si="73"/>
        <v>4.3156168723566826E-2</v>
      </c>
      <c r="AD118" s="33"/>
      <c r="AE118" s="33">
        <f t="shared" si="74"/>
        <v>1231.6972477064221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0.42590321613186621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3166353</v>
      </c>
      <c r="I119" s="16"/>
      <c r="J119" s="38">
        <f t="shared" si="70"/>
        <v>1.782178918008262E-2</v>
      </c>
      <c r="K119" s="16"/>
      <c r="L119" s="16"/>
      <c r="M119" s="16"/>
      <c r="N119" s="16"/>
      <c r="O119" s="16">
        <f t="shared" si="71"/>
        <v>28785.027272727271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135248</v>
      </c>
      <c r="AB119" s="33"/>
      <c r="AC119" s="46">
        <f t="shared" si="73"/>
        <v>4.2714125683396637E-2</v>
      </c>
      <c r="AD119" s="33"/>
      <c r="AE119" s="33">
        <f t="shared" si="74"/>
        <v>1229.5272727272727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0.42789385769685184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3228201</v>
      </c>
      <c r="I120" s="16"/>
      <c r="J120" s="38">
        <f t="shared" si="70"/>
        <v>1.9532882151800511E-2</v>
      </c>
      <c r="K120" s="16"/>
      <c r="L120" s="16"/>
      <c r="M120" s="16"/>
      <c r="N120" s="16"/>
      <c r="O120" s="16">
        <f t="shared" si="71"/>
        <v>29082.891891891893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136138</v>
      </c>
      <c r="AB120" s="33"/>
      <c r="AC120" s="46">
        <f t="shared" si="73"/>
        <v>4.2171475691879158E-2</v>
      </c>
      <c r="AD120" s="33"/>
      <c r="AE120" s="33">
        <f t="shared" si="74"/>
        <v>1226.4684684684685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0.43141024985742832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3289268</v>
      </c>
      <c r="I121" s="16"/>
      <c r="J121" s="38">
        <f t="shared" si="70"/>
        <v>1.8916727923694962E-2</v>
      </c>
      <c r="K121" s="16"/>
      <c r="L121" s="16"/>
      <c r="M121" s="16"/>
      <c r="N121" s="16"/>
      <c r="O121" s="16">
        <f t="shared" si="71"/>
        <v>29368.464285714286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137098</v>
      </c>
      <c r="AB121" s="33"/>
      <c r="AC121" s="46">
        <f t="shared" si="73"/>
        <v>4.1680398191938146E-2</v>
      </c>
      <c r="AD121" s="33"/>
      <c r="AE121" s="33">
        <f t="shared" si="74"/>
        <v>1224.0892857142858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0.43366122796926249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3361055</v>
      </c>
      <c r="I122" s="16"/>
      <c r="J122" s="38">
        <f t="shared" si="70"/>
        <v>2.1824612649379741E-2</v>
      </c>
      <c r="K122" s="16"/>
      <c r="L122" s="16"/>
      <c r="M122" s="16"/>
      <c r="N122" s="16"/>
      <c r="O122" s="16">
        <f t="shared" si="71"/>
        <v>29743.849557522124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137947</v>
      </c>
      <c r="AB122" s="33"/>
      <c r="AC122" s="46">
        <f t="shared" si="73"/>
        <v>4.1042767821413216E-2</v>
      </c>
      <c r="AD122" s="33"/>
      <c r="AE122" s="33">
        <f t="shared" si="74"/>
        <v>1220.7699115044247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0.43453469223205216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3422774</v>
      </c>
      <c r="I123" s="16"/>
      <c r="J123" s="38">
        <f t="shared" si="70"/>
        <v>1.8362984241555108E-2</v>
      </c>
      <c r="K123" s="16"/>
      <c r="L123" s="16"/>
      <c r="M123" s="16"/>
      <c r="N123" s="16"/>
      <c r="O123" s="16">
        <f t="shared" si="71"/>
        <v>30024.333333333332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138678</v>
      </c>
      <c r="AB123" s="33"/>
      <c r="AC123" s="46">
        <f t="shared" si="73"/>
        <v>4.0516259618660184E-2</v>
      </c>
      <c r="AD123" s="33"/>
      <c r="AE123" s="33">
        <f t="shared" si="74"/>
        <v>1216.4736842105262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0.4354497258656283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48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3481123</v>
      </c>
      <c r="I124" s="16"/>
      <c r="J124" s="38">
        <f t="shared" si="70"/>
        <v>1.7047283869750091E-2</v>
      </c>
      <c r="K124" s="16"/>
      <c r="L124" s="16"/>
      <c r="M124" s="16"/>
      <c r="N124" s="16">
        <f>SUM(D118:D124)</f>
        <v>423824</v>
      </c>
      <c r="O124" s="16">
        <f t="shared" si="71"/>
        <v>30270.634782608697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139058</v>
      </c>
      <c r="AB124" s="33"/>
      <c r="AC124" s="46">
        <f t="shared" si="73"/>
        <v>3.9946304683862073E-2</v>
      </c>
      <c r="AD124" s="33"/>
      <c r="AE124" s="33">
        <f t="shared" si="74"/>
        <v>1209.2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0.43580304401769199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3546611</v>
      </c>
      <c r="I125" s="16"/>
      <c r="J125" s="38">
        <f t="shared" si="70"/>
        <v>1.8812320047295081E-2</v>
      </c>
      <c r="K125" s="16"/>
      <c r="L125" s="16"/>
      <c r="M125" s="16"/>
      <c r="N125" s="16"/>
      <c r="O125" s="16">
        <f t="shared" si="71"/>
        <v>30574.232758620688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139523</v>
      </c>
      <c r="AB125" s="33"/>
      <c r="AC125" s="46">
        <f t="shared" si="73"/>
        <v>3.9339809186854716E-2</v>
      </c>
      <c r="AD125" s="33"/>
      <c r="AE125" s="33">
        <f t="shared" si="74"/>
        <v>1202.7844827586207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0.43688721430120192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3612659</v>
      </c>
      <c r="I126" s="16"/>
      <c r="J126" s="38">
        <f t="shared" si="70"/>
        <v>1.8622848685688958E-2</v>
      </c>
      <c r="K126" s="16"/>
      <c r="L126" s="16"/>
      <c r="M126" s="16"/>
      <c r="N126" s="16"/>
      <c r="O126" s="16">
        <f t="shared" si="71"/>
        <v>30877.427350427351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140459</v>
      </c>
      <c r="AB126" s="33"/>
      <c r="AC126" s="46">
        <f t="shared" si="73"/>
        <v>3.8879672839313095E-2</v>
      </c>
      <c r="AD126" s="33"/>
      <c r="AE126" s="33">
        <f t="shared" si="74"/>
        <v>1200.5042735042734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0.44294105809598966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4" si="89">+H126+D127</f>
        <v>3684664</v>
      </c>
      <c r="I127" s="16"/>
      <c r="J127" s="38">
        <f t="shared" ref="J127:J164" si="90">+D127/H126</f>
        <v>1.9931302677612252E-2</v>
      </c>
      <c r="K127" s="16"/>
      <c r="L127" s="16"/>
      <c r="M127" s="16"/>
      <c r="N127" s="16"/>
      <c r="O127" s="16">
        <f t="shared" ref="O127:O150" si="91">+H127/BW127</f>
        <v>31225.966101694914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141461</v>
      </c>
      <c r="AB127" s="33"/>
      <c r="AC127" s="46">
        <f t="shared" ref="AC127:AC164" si="94">+AA127/H127</f>
        <v>3.8391831656834921E-2</v>
      </c>
      <c r="AD127" s="33"/>
      <c r="AE127" s="33">
        <f t="shared" ref="AE127:AE164" si="95">+AA127/BW127</f>
        <v>1198.8220338983051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0.44670613114248681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3758052</v>
      </c>
      <c r="I128" s="16"/>
      <c r="J128" s="38">
        <f t="shared" si="90"/>
        <v>1.9917148483552367E-2</v>
      </c>
      <c r="K128" s="16"/>
      <c r="L128" s="16"/>
      <c r="M128" s="16"/>
      <c r="N128" s="16"/>
      <c r="O128" s="16">
        <f t="shared" si="91"/>
        <v>31580.268907563026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142424</v>
      </c>
      <c r="AB128" s="33"/>
      <c r="AC128" s="46">
        <f t="shared" si="94"/>
        <v>3.789835797908065E-2</v>
      </c>
      <c r="AD128" s="33"/>
      <c r="AE128" s="33">
        <f t="shared" si="95"/>
        <v>1196.8403361344538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0.44694245848647118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3833039</v>
      </c>
      <c r="I129" s="16"/>
      <c r="J129" s="38">
        <f t="shared" si="90"/>
        <v>1.9953688772800376E-2</v>
      </c>
      <c r="K129" s="16"/>
      <c r="L129" s="16"/>
      <c r="M129" s="16"/>
      <c r="N129" s="16"/>
      <c r="O129" s="16">
        <f t="shared" si="91"/>
        <v>31941.991666666665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143370</v>
      </c>
      <c r="AB129" s="33"/>
      <c r="AC129" s="46">
        <f t="shared" si="94"/>
        <v>3.7403741522066436E-2</v>
      </c>
      <c r="AD129" s="33"/>
      <c r="AE129" s="33">
        <f t="shared" si="95"/>
        <v>1194.75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0.45426957565524378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3896298</v>
      </c>
      <c r="I130" s="16"/>
      <c r="J130" s="479">
        <f t="shared" si="90"/>
        <v>1.6503615016700848E-2</v>
      </c>
      <c r="K130" s="16"/>
      <c r="L130" s="16"/>
      <c r="M130" s="16"/>
      <c r="N130" s="16"/>
      <c r="O130" s="16">
        <f t="shared" si="91"/>
        <v>32200.809917355371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144183</v>
      </c>
      <c r="AB130" s="33"/>
      <c r="AC130" s="46">
        <f t="shared" si="94"/>
        <v>3.7005126404602524E-2</v>
      </c>
      <c r="AD130" s="33"/>
      <c r="AE130" s="33">
        <f t="shared" si="95"/>
        <v>1191.595041322314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0.45558476276711896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3961577</v>
      </c>
      <c r="I131" s="16"/>
      <c r="J131" s="479">
        <f t="shared" si="90"/>
        <v>1.6754108643640707E-2</v>
      </c>
      <c r="K131" s="16"/>
      <c r="L131" s="16"/>
      <c r="M131" s="16"/>
      <c r="N131" s="16">
        <f>SUM(D125:D131)</f>
        <v>480454</v>
      </c>
      <c r="O131" s="16">
        <f t="shared" si="91"/>
        <v>32471.942622950821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144595</v>
      </c>
      <c r="AB131" s="33"/>
      <c r="AC131" s="46">
        <f t="shared" si="94"/>
        <v>3.6499353666481806E-2</v>
      </c>
      <c r="AD131" s="33"/>
      <c r="AE131" s="33">
        <f t="shared" si="95"/>
        <v>1185.204918032787</v>
      </c>
      <c r="AF131" s="50"/>
      <c r="AG131" s="33">
        <f>SUM(W125:W131)</f>
        <v>5537</v>
      </c>
      <c r="AH131" s="33">
        <f>SUM(D102:D237)</f>
        <v>6016696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0.45495468092630786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4024456</v>
      </c>
      <c r="I132" s="16"/>
      <c r="J132" s="479">
        <f t="shared" si="90"/>
        <v>1.5872214524670351E-2</v>
      </c>
      <c r="K132" s="16"/>
      <c r="L132" s="16"/>
      <c r="M132" s="16"/>
      <c r="N132" s="16"/>
      <c r="O132" s="16">
        <f t="shared" si="91"/>
        <v>32719.154471544716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145140</v>
      </c>
      <c r="AB132" s="33"/>
      <c r="AC132" s="46">
        <f t="shared" si="94"/>
        <v>3.6064501636991438E-2</v>
      </c>
      <c r="AD132" s="33"/>
      <c r="AE132" s="33">
        <f t="shared" si="95"/>
        <v>1180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0.45968672536114197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4091935</v>
      </c>
      <c r="I133" s="16"/>
      <c r="J133" s="479">
        <f t="shared" si="90"/>
        <v>1.676723512444912E-2</v>
      </c>
      <c r="K133" s="16"/>
      <c r="L133" s="16"/>
      <c r="M133" s="16"/>
      <c r="N133" s="16"/>
      <c r="O133" s="16">
        <f t="shared" si="91"/>
        <v>32999.475806451614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146305</v>
      </c>
      <c r="AB133" s="33"/>
      <c r="AC133" s="46">
        <f t="shared" si="94"/>
        <v>3.5754478015902015E-2</v>
      </c>
      <c r="AD133" s="33"/>
      <c r="AE133" s="33">
        <f t="shared" si="95"/>
        <v>1179.8790322580646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0.46104911246146385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4163902</v>
      </c>
      <c r="I134" s="16"/>
      <c r="J134" s="479">
        <f t="shared" si="90"/>
        <v>1.7587522773455589E-2</v>
      </c>
      <c r="K134" s="16"/>
      <c r="L134" s="16"/>
      <c r="M134" s="16"/>
      <c r="N134" s="16"/>
      <c r="O134" s="16">
        <f t="shared" si="91"/>
        <v>33311.216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147510</v>
      </c>
      <c r="AB134" s="33"/>
      <c r="AC134" s="46">
        <f t="shared" si="94"/>
        <v>3.5425905797014434E-2</v>
      </c>
      <c r="AD134" s="33"/>
      <c r="AE134" s="33">
        <f t="shared" si="95"/>
        <v>1180.08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0.46654244023994801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4233345</v>
      </c>
      <c r="I135" s="16"/>
      <c r="J135" s="479">
        <f t="shared" si="90"/>
        <v>1.667738577901209E-2</v>
      </c>
      <c r="K135" s="16"/>
      <c r="L135" s="16"/>
      <c r="M135" s="16"/>
      <c r="N135" s="16"/>
      <c r="O135" s="16">
        <f t="shared" si="91"/>
        <v>33597.976190476191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148676</v>
      </c>
      <c r="AB135" s="33"/>
      <c r="AC135" s="46">
        <f t="shared" si="94"/>
        <v>3.5120218172627081E-2</v>
      </c>
      <c r="AD135" s="33"/>
      <c r="AE135" s="33">
        <f t="shared" si="95"/>
        <v>1179.968253968254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0.46762477426243315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4311323</v>
      </c>
      <c r="I136" s="16"/>
      <c r="J136" s="479">
        <f t="shared" si="90"/>
        <v>1.8419949236360374E-2</v>
      </c>
      <c r="K136" s="16"/>
      <c r="L136" s="16"/>
      <c r="M136" s="16"/>
      <c r="N136" s="16"/>
      <c r="O136" s="16">
        <f t="shared" si="91"/>
        <v>33947.425196850396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149817</v>
      </c>
      <c r="AB136" s="33"/>
      <c r="AC136" s="46">
        <f t="shared" si="94"/>
        <v>3.47496580516004E-2</v>
      </c>
      <c r="AD136" s="33"/>
      <c r="AE136" s="33">
        <f t="shared" si="95"/>
        <v>1179.6614173228347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0.47036420142958435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4378736</v>
      </c>
      <c r="I137" s="16"/>
      <c r="J137" s="479">
        <f t="shared" si="90"/>
        <v>1.5636267567983191E-2</v>
      </c>
      <c r="K137" s="16"/>
      <c r="L137" s="16"/>
      <c r="M137" s="16"/>
      <c r="N137" s="16"/>
      <c r="O137" s="16">
        <f t="shared" si="91"/>
        <v>34208.875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150725</v>
      </c>
      <c r="AB137" s="33"/>
      <c r="AC137" s="46">
        <f t="shared" si="94"/>
        <v>3.4422034121262393E-2</v>
      </c>
      <c r="AD137" s="33"/>
      <c r="AE137" s="33">
        <f t="shared" si="95"/>
        <v>1177.5390625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0.47084181371062334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4434866</v>
      </c>
      <c r="I138" s="16"/>
      <c r="J138" s="479">
        <f t="shared" si="90"/>
        <v>1.2818767790522196E-2</v>
      </c>
      <c r="K138" s="16"/>
      <c r="L138" s="16"/>
      <c r="M138" s="16"/>
      <c r="N138" s="16">
        <f>SUM(D132:D138)</f>
        <v>473289</v>
      </c>
      <c r="O138" s="16">
        <f t="shared" si="91"/>
        <v>34378.806201550389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151175</v>
      </c>
      <c r="AB138" s="33"/>
      <c r="AC138" s="46">
        <f t="shared" si="94"/>
        <v>3.4087839407098211E-2</v>
      </c>
      <c r="AD138" s="33"/>
      <c r="AE138" s="33">
        <f t="shared" si="95"/>
        <v>1171.8992248062016</v>
      </c>
      <c r="AF138" s="50"/>
      <c r="AG138" s="33">
        <f>SUM(W132:W138)</f>
        <v>6580</v>
      </c>
      <c r="AH138" s="33">
        <f>SUM(D109:D244)</f>
        <v>8566560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0.47129473584996706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49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4496437</v>
      </c>
      <c r="I139" s="16"/>
      <c r="J139" s="479">
        <f t="shared" si="90"/>
        <v>1.388339580045936E-2</v>
      </c>
      <c r="K139" s="16"/>
      <c r="L139" s="16"/>
      <c r="M139" s="16"/>
      <c r="N139" s="16"/>
      <c r="O139" s="16">
        <f t="shared" si="91"/>
        <v>34587.976923076923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151771</v>
      </c>
      <c r="AB139" s="33"/>
      <c r="AC139" s="46">
        <f t="shared" si="94"/>
        <v>3.3753614250572175E-2</v>
      </c>
      <c r="AD139" s="33"/>
      <c r="AE139" s="33">
        <f t="shared" si="95"/>
        <v>1167.4692307692308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0.47517690117753236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4561166</v>
      </c>
      <c r="I140" s="16"/>
      <c r="J140" s="479">
        <f t="shared" si="90"/>
        <v>1.4395620354516254E-2</v>
      </c>
      <c r="K140" s="16"/>
      <c r="L140" s="16"/>
      <c r="M140" s="16"/>
      <c r="N140" s="16"/>
      <c r="O140" s="16">
        <f t="shared" si="91"/>
        <v>34818.061068702293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222" si="109">+V139+1</f>
        <v>32</v>
      </c>
      <c r="W140" s="34">
        <v>1245</v>
      </c>
      <c r="X140" s="33"/>
      <c r="Y140" s="33"/>
      <c r="Z140" s="33"/>
      <c r="AA140" s="33">
        <f t="shared" si="93"/>
        <v>153016</v>
      </c>
      <c r="AB140" s="33"/>
      <c r="AC140" s="46">
        <f t="shared" si="94"/>
        <v>3.3547562180372296E-2</v>
      </c>
      <c r="AD140" s="33"/>
      <c r="AE140" s="33">
        <f t="shared" si="95"/>
        <v>1168.0610687022902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0.47924017674427988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4628087</v>
      </c>
      <c r="I141" s="16"/>
      <c r="J141" s="479">
        <f t="shared" si="90"/>
        <v>1.4671906262565317E-2</v>
      </c>
      <c r="K141" s="16"/>
      <c r="L141" s="16"/>
      <c r="M141" s="16"/>
      <c r="N141" s="16"/>
      <c r="O141" s="16">
        <f t="shared" si="91"/>
        <v>35061.265151515152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154501</v>
      </c>
      <c r="AB141" s="33"/>
      <c r="AC141" s="46">
        <f t="shared" si="94"/>
        <v>3.3383339595820044E-2</v>
      </c>
      <c r="AD141" s="33"/>
      <c r="AE141" s="33">
        <f t="shared" si="95"/>
        <v>1170.4621212121212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0.48509114024865996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4696656</v>
      </c>
      <c r="I142" s="16"/>
      <c r="J142" s="479">
        <f t="shared" si="90"/>
        <v>1.4815840756666847E-2</v>
      </c>
      <c r="K142" s="16"/>
      <c r="L142" s="16"/>
      <c r="M142" s="16"/>
      <c r="N142" s="16"/>
      <c r="O142" s="16">
        <f t="shared" si="91"/>
        <v>35313.203007518794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155966</v>
      </c>
      <c r="AB142" s="33"/>
      <c r="AC142" s="46">
        <f t="shared" si="94"/>
        <v>3.3207882374182825E-2</v>
      </c>
      <c r="AD142" s="33"/>
      <c r="AE142" s="33">
        <f t="shared" si="95"/>
        <v>1172.6766917293232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0.48650891187261747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4767739</v>
      </c>
      <c r="I143" s="16"/>
      <c r="J143" s="479">
        <f t="shared" si="90"/>
        <v>1.5134810810074232E-2</v>
      </c>
      <c r="K143" s="16"/>
      <c r="L143" s="16"/>
      <c r="M143" s="16"/>
      <c r="N143" s="469">
        <f>SUM(D113:D143)</f>
        <v>1970617</v>
      </c>
      <c r="O143" s="16">
        <f t="shared" si="91"/>
        <v>35580.141791044778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157428</v>
      </c>
      <c r="AB143" s="33"/>
      <c r="AC143" s="46">
        <f t="shared" si="94"/>
        <v>3.3019424930769072E-2</v>
      </c>
      <c r="AD143" s="33"/>
      <c r="AE143" s="33">
        <f t="shared" si="95"/>
        <v>1174.8358208955224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0.48819199205325625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4826280</v>
      </c>
      <c r="I144" s="16"/>
      <c r="J144" s="479">
        <f t="shared" si="90"/>
        <v>1.2278566423203954E-2</v>
      </c>
      <c r="K144" s="16"/>
      <c r="L144" s="16"/>
      <c r="M144" s="16"/>
      <c r="N144" s="16"/>
      <c r="O144" s="16">
        <f t="shared" si="91"/>
        <v>35750.222222222219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158551</v>
      </c>
      <c r="AB144" s="33"/>
      <c r="AC144" s="46">
        <f t="shared" si="94"/>
        <v>3.2851595846076068E-2</v>
      </c>
      <c r="AD144" s="33"/>
      <c r="AE144" s="33">
        <f t="shared" si="95"/>
        <v>1174.4518518518519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0.48959094789361579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4875318</v>
      </c>
      <c r="I145" s="16"/>
      <c r="J145" s="479">
        <f t="shared" si="90"/>
        <v>1.0160620602202939E-2</v>
      </c>
      <c r="K145" s="16"/>
      <c r="L145" s="16"/>
      <c r="M145" s="16"/>
      <c r="N145" s="16">
        <f>SUM(D139:D145)</f>
        <v>440452</v>
      </c>
      <c r="O145" s="16">
        <f t="shared" si="91"/>
        <v>35847.926470588238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159018</v>
      </c>
      <c r="AB145" s="33"/>
      <c r="AC145" s="46">
        <f t="shared" si="94"/>
        <v>3.2616949294384488E-2</v>
      </c>
      <c r="AD145" s="33"/>
      <c r="AE145" s="33">
        <f t="shared" si="95"/>
        <v>1169.25</v>
      </c>
      <c r="AF145" s="50"/>
      <c r="AG145" s="33">
        <f>SUM(W139:W145)</f>
        <v>7843</v>
      </c>
      <c r="AH145" s="33">
        <f>SUM(D116:D251)</f>
        <v>9227500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0.48821779420337297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49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4923964</v>
      </c>
      <c r="I146" s="16"/>
      <c r="J146" s="479">
        <f t="shared" si="90"/>
        <v>9.9780157930210913E-3</v>
      </c>
      <c r="K146" s="16"/>
      <c r="L146" s="16"/>
      <c r="M146" s="16"/>
      <c r="N146" s="16"/>
      <c r="O146" s="16">
        <f t="shared" si="91"/>
        <v>35941.343065693429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159580</v>
      </c>
      <c r="AB146" s="33"/>
      <c r="AC146" s="46">
        <f t="shared" si="94"/>
        <v>3.2408847830731502E-2</v>
      </c>
      <c r="AD146" s="33"/>
      <c r="AE146" s="33">
        <f t="shared" si="95"/>
        <v>1164.8175182481752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0.4969163056431769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4978528</v>
      </c>
      <c r="I147" s="16"/>
      <c r="J147" s="479">
        <f t="shared" si="90"/>
        <v>1.1081315785411916E-2</v>
      </c>
      <c r="K147" s="16"/>
      <c r="L147" s="16"/>
      <c r="M147" s="16"/>
      <c r="N147" s="16"/>
      <c r="O147" s="16">
        <f t="shared" si="91"/>
        <v>36076.289855072464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160939</v>
      </c>
      <c r="AB147" s="33"/>
      <c r="AC147" s="46">
        <f t="shared" si="94"/>
        <v>3.2326623451751198E-2</v>
      </c>
      <c r="AD147" s="33"/>
      <c r="AE147" s="33">
        <f t="shared" si="95"/>
        <v>1166.2246376811595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0.49847665816080577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5033676</v>
      </c>
      <c r="I148" s="16"/>
      <c r="J148" s="479">
        <f t="shared" si="90"/>
        <v>1.1077169797980447E-2</v>
      </c>
      <c r="K148" s="16"/>
      <c r="L148" s="16"/>
      <c r="M148" s="16"/>
      <c r="N148" s="16"/>
      <c r="O148" s="16">
        <f t="shared" si="91"/>
        <v>36213.496402877696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162258</v>
      </c>
      <c r="AB148" s="33"/>
      <c r="AC148" s="46">
        <f t="shared" si="94"/>
        <v>3.2234494234432254E-2</v>
      </c>
      <c r="AD148" s="33"/>
      <c r="AE148" s="33">
        <f t="shared" si="95"/>
        <v>1167.3237410071943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0.50462862528299401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5092386</v>
      </c>
      <c r="I149" s="16"/>
      <c r="J149" s="479">
        <f t="shared" si="90"/>
        <v>1.166344436948266E-2</v>
      </c>
      <c r="K149" s="16"/>
      <c r="L149" s="16"/>
      <c r="M149" s="16"/>
      <c r="N149" s="16"/>
      <c r="O149" s="16">
        <f t="shared" si="91"/>
        <v>36374.185714285712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163461</v>
      </c>
      <c r="AB149" s="33"/>
      <c r="AC149" s="46">
        <f t="shared" si="94"/>
        <v>3.2099098536520994E-2</v>
      </c>
      <c r="AD149" s="33"/>
      <c r="AE149" s="33">
        <f t="shared" si="95"/>
        <v>1167.5785714285714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0.50387617906419502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5155632</v>
      </c>
      <c r="I150" s="16"/>
      <c r="J150" s="479">
        <f t="shared" si="90"/>
        <v>1.2419718379557245E-2</v>
      </c>
      <c r="K150" s="16"/>
      <c r="L150" s="16"/>
      <c r="M150" s="16"/>
      <c r="N150" s="16"/>
      <c r="O150" s="16">
        <f t="shared" si="91"/>
        <v>36564.765957446805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164751</v>
      </c>
      <c r="AB150" s="33"/>
      <c r="AC150" s="46">
        <f t="shared" si="94"/>
        <v>3.1955539107523578E-2</v>
      </c>
      <c r="AD150" s="33"/>
      <c r="AE150" s="33">
        <f t="shared" si="95"/>
        <v>1168.4468085106382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0.50759383136732805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5209831</v>
      </c>
      <c r="I151" s="16"/>
      <c r="J151" s="479">
        <f t="shared" si="90"/>
        <v>1.0512581192761624E-2</v>
      </c>
      <c r="K151" s="16"/>
      <c r="L151" s="16"/>
      <c r="M151" s="16"/>
      <c r="N151" s="16"/>
      <c r="O151" s="16">
        <f t="shared" ref="O151:O160" si="110">+H151/BW151</f>
        <v>36688.950704225354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165727</v>
      </c>
      <c r="AB151" s="33"/>
      <c r="AC151" s="46">
        <f t="shared" si="94"/>
        <v>3.1810436845264273E-2</v>
      </c>
      <c r="AD151" s="33"/>
      <c r="AE151" s="33">
        <f t="shared" si="95"/>
        <v>1167.0915492957747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0.50644061198914125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5257680</v>
      </c>
      <c r="I152" s="16"/>
      <c r="J152" s="479">
        <f t="shared" si="90"/>
        <v>9.1843670168955584E-3</v>
      </c>
      <c r="K152" s="16"/>
      <c r="L152" s="16"/>
      <c r="M152" s="16"/>
      <c r="N152" s="16">
        <f>SUM(D146:D152)</f>
        <v>382362</v>
      </c>
      <c r="O152" s="16">
        <f t="shared" si="110"/>
        <v>36766.993006993005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166261</v>
      </c>
      <c r="AB152" s="33"/>
      <c r="AC152" s="46">
        <f t="shared" si="94"/>
        <v>3.1622502700811003E-2</v>
      </c>
      <c r="AD152" s="33"/>
      <c r="AE152" s="33">
        <f t="shared" si="95"/>
        <v>1162.6643356643356</v>
      </c>
      <c r="AF152" s="50"/>
      <c r="AG152" s="33">
        <f t="shared" ref="AG152:AG164" si="111">SUM(W146:W152)</f>
        <v>7243</v>
      </c>
      <c r="AH152" s="33">
        <f>SUM(D123:D258)</f>
        <v>8864630.0048999991</v>
      </c>
      <c r="AI152" s="231">
        <f t="shared" ref="AI152:AI164" si="112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0.50682068897308319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48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5307480</v>
      </c>
      <c r="I153" s="16"/>
      <c r="J153" s="479">
        <f t="shared" si="90"/>
        <v>9.4718583101291824E-3</v>
      </c>
      <c r="K153" s="16"/>
      <c r="L153" s="16"/>
      <c r="M153" s="16"/>
      <c r="N153" s="16"/>
      <c r="O153" s="16">
        <f t="shared" si="110"/>
        <v>36857.5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166830</v>
      </c>
      <c r="AB153" s="33"/>
      <c r="AC153" s="46">
        <f t="shared" si="94"/>
        <v>3.1432996450292794E-2</v>
      </c>
      <c r="AD153" s="33"/>
      <c r="AE153" s="33">
        <f t="shared" si="95"/>
        <v>1158.5416666666667</v>
      </c>
      <c r="AF153" s="50"/>
      <c r="AG153" s="33">
        <f t="shared" si="111"/>
        <v>7250</v>
      </c>
      <c r="AH153" s="33">
        <f>SUM(D124:D259)</f>
        <v>8802911.0048999991</v>
      </c>
      <c r="AI153" s="231" t="e">
        <f t="shared" si="112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0.51171817887208237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5361999</v>
      </c>
      <c r="I154" s="16"/>
      <c r="J154" s="479">
        <f t="shared" si="90"/>
        <v>1.027210653643537E-2</v>
      </c>
      <c r="K154" s="16"/>
      <c r="L154" s="16"/>
      <c r="M154" s="16"/>
      <c r="N154" s="16"/>
      <c r="O154" s="16">
        <f t="shared" si="110"/>
        <v>36979.303448275859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168334</v>
      </c>
      <c r="AB154" s="33"/>
      <c r="AC154" s="46">
        <f t="shared" si="94"/>
        <v>3.1393888734406704E-2</v>
      </c>
      <c r="AD154" s="33"/>
      <c r="AE154" s="33">
        <f t="shared" si="95"/>
        <v>1160.9241379310345</v>
      </c>
      <c r="AF154" s="50"/>
      <c r="AG154" s="33">
        <f t="shared" si="111"/>
        <v>7395</v>
      </c>
      <c r="AH154" s="33">
        <f>SUM(D125:D260)</f>
        <v>8744562.0048999991</v>
      </c>
      <c r="AI154" s="231" t="e">
        <f t="shared" si="112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0.51386581758034644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5416344</v>
      </c>
      <c r="I155" s="16"/>
      <c r="J155" s="479">
        <f t="shared" si="90"/>
        <v>1.0135212632452935E-2</v>
      </c>
      <c r="K155" s="16"/>
      <c r="L155" s="16"/>
      <c r="M155" s="16"/>
      <c r="N155" s="16"/>
      <c r="O155" s="16">
        <f t="shared" si="110"/>
        <v>37098.246575342462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169720</v>
      </c>
      <c r="AB155" s="33"/>
      <c r="AC155" s="46">
        <f t="shared" si="94"/>
        <v>3.1334789666239808E-2</v>
      </c>
      <c r="AD155" s="33"/>
      <c r="AE155" s="33">
        <f t="shared" si="95"/>
        <v>1162.4657534246576</v>
      </c>
      <c r="AF155" s="50"/>
      <c r="AG155" s="33">
        <f t="shared" si="111"/>
        <v>7462</v>
      </c>
      <c r="AH155" s="33">
        <f>SUM(D126:D261)</f>
        <v>8679074.0048999991</v>
      </c>
      <c r="AI155" s="231" t="e">
        <f t="shared" si="112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0.51928071776829532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5471708</v>
      </c>
      <c r="I156" s="16"/>
      <c r="J156" s="479">
        <f t="shared" si="90"/>
        <v>1.022165504997467E-2</v>
      </c>
      <c r="K156" s="16"/>
      <c r="L156" s="16"/>
      <c r="M156" s="16"/>
      <c r="N156" s="16"/>
      <c r="O156" s="16">
        <f t="shared" si="110"/>
        <v>37222.503401360547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171004</v>
      </c>
      <c r="AB156" s="33"/>
      <c r="AC156" s="46">
        <f t="shared" si="94"/>
        <v>3.1252398702562342E-2</v>
      </c>
      <c r="AD156" s="33"/>
      <c r="AE156" s="33">
        <f t="shared" si="95"/>
        <v>1163.2925170068027</v>
      </c>
      <c r="AF156" s="50"/>
      <c r="AG156" s="33">
        <f t="shared" si="111"/>
        <v>7543</v>
      </c>
      <c r="AH156" s="33">
        <f>SUM(D127:D262)</f>
        <v>8613026.0048999991</v>
      </c>
      <c r="AI156" s="231" t="e">
        <f t="shared" si="112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0.51961910248134591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5532308</v>
      </c>
      <c r="I157" s="16"/>
      <c r="J157" s="479">
        <f t="shared" si="90"/>
        <v>1.1075152402138418E-2</v>
      </c>
      <c r="K157" s="16"/>
      <c r="L157" s="16"/>
      <c r="M157" s="16"/>
      <c r="N157" s="16"/>
      <c r="O157" s="16">
        <f t="shared" si="110"/>
        <v>37380.45945945946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172124</v>
      </c>
      <c r="AB157" s="33"/>
      <c r="AC157" s="46">
        <f t="shared" si="94"/>
        <v>3.1112512173942595E-2</v>
      </c>
      <c r="AD157" s="33"/>
      <c r="AE157" s="33">
        <f t="shared" si="95"/>
        <v>1163</v>
      </c>
      <c r="AF157" s="50"/>
      <c r="AG157" s="33">
        <f t="shared" si="111"/>
        <v>7373</v>
      </c>
      <c r="AH157" s="33">
        <f>SUM(D128:D263)</f>
        <v>8541031.0048999991</v>
      </c>
      <c r="AI157" s="231" t="e">
        <f t="shared" si="112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0.51970118077301553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5585831</v>
      </c>
      <c r="I158" s="16"/>
      <c r="J158" s="479">
        <f t="shared" si="90"/>
        <v>9.6746240447928792E-3</v>
      </c>
      <c r="K158" s="16"/>
      <c r="L158" s="16"/>
      <c r="M158" s="16"/>
      <c r="N158" s="16"/>
      <c r="O158" s="16">
        <f t="shared" si="110"/>
        <v>37488.798657718122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173195</v>
      </c>
      <c r="AB158" s="33"/>
      <c r="AC158" s="46">
        <f t="shared" si="94"/>
        <v>3.1006129616166334E-2</v>
      </c>
      <c r="AD158" s="33"/>
      <c r="AE158" s="33">
        <f t="shared" si="95"/>
        <v>1162.3825503355704</v>
      </c>
      <c r="AF158" s="50"/>
      <c r="AG158" s="33">
        <f t="shared" si="111"/>
        <v>7468</v>
      </c>
      <c r="AH158" s="33">
        <f>SUM(D129:D264)</f>
        <v>85467643.004899994</v>
      </c>
      <c r="AI158" s="231" t="e">
        <f t="shared" si="112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0.51995647558975555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5622674</v>
      </c>
      <c r="I159" s="16"/>
      <c r="J159" s="479">
        <f t="shared" si="90"/>
        <v>6.5957956837577074E-3</v>
      </c>
      <c r="K159" s="16"/>
      <c r="L159" s="16"/>
      <c r="M159" s="16"/>
      <c r="N159" s="16">
        <f t="shared" ref="N159:N164" si="113">SUM(D153:D159)</f>
        <v>364994</v>
      </c>
      <c r="O159" s="16">
        <f t="shared" si="110"/>
        <v>37484.493333333332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173717</v>
      </c>
      <c r="AB159" s="33"/>
      <c r="AC159" s="46">
        <f t="shared" si="94"/>
        <v>3.0895797977972757E-2</v>
      </c>
      <c r="AD159" s="33"/>
      <c r="AE159" s="33">
        <f t="shared" si="95"/>
        <v>1158.1133333333332</v>
      </c>
      <c r="AF159" s="50"/>
      <c r="AG159" s="33">
        <f t="shared" si="111"/>
        <v>7456</v>
      </c>
      <c r="AH159" s="33">
        <f>SUM(D130:D265)</f>
        <v>85392656.237528414</v>
      </c>
      <c r="AI159" s="231">
        <f t="shared" si="112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0.51981032512288639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5663286</v>
      </c>
      <c r="I160" s="16"/>
      <c r="J160" s="479">
        <f t="shared" si="90"/>
        <v>7.222897859630489E-3</v>
      </c>
      <c r="K160" s="16"/>
      <c r="L160" s="16"/>
      <c r="M160" s="16"/>
      <c r="N160" s="16">
        <f t="shared" si="113"/>
        <v>355806</v>
      </c>
      <c r="O160" s="16">
        <f t="shared" si="110"/>
        <v>37505.205298013243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174306</v>
      </c>
      <c r="AB160" s="33"/>
      <c r="AC160" s="46">
        <f t="shared" si="94"/>
        <v>3.0778244291388427E-2</v>
      </c>
      <c r="AD160" s="33"/>
      <c r="AE160" s="33">
        <f t="shared" si="95"/>
        <v>1154.3443708609273</v>
      </c>
      <c r="AF160" s="50"/>
      <c r="AG160" s="33">
        <f t="shared" si="111"/>
        <v>7476</v>
      </c>
      <c r="AH160" s="33">
        <f>SUM(D131:D266)</f>
        <v>85329397.237528399</v>
      </c>
      <c r="AI160" s="231">
        <f t="shared" si="112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0.52506389400076214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7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5707285</v>
      </c>
      <c r="I161" s="16"/>
      <c r="J161" s="479">
        <f t="shared" si="90"/>
        <v>7.7691644038461061E-3</v>
      </c>
      <c r="K161" s="16"/>
      <c r="L161" s="16"/>
      <c r="M161" s="16"/>
      <c r="N161" s="16">
        <f t="shared" si="113"/>
        <v>345286</v>
      </c>
      <c r="O161" s="16">
        <f t="shared" ref="O161:O169" si="114">+H161/BW161</f>
        <v>37547.927631578947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175664</v>
      </c>
      <c r="AB161" s="33"/>
      <c r="AC161" s="46">
        <f t="shared" si="94"/>
        <v>3.0778908009675355E-2</v>
      </c>
      <c r="AD161" s="33"/>
      <c r="AE161" s="33">
        <f t="shared" si="95"/>
        <v>1155.6842105263158</v>
      </c>
      <c r="AF161" s="50"/>
      <c r="AG161" s="33">
        <f t="shared" si="111"/>
        <v>7330</v>
      </c>
      <c r="AH161" s="33">
        <f>SUM(D132:D267)</f>
        <v>416264118.23752838</v>
      </c>
      <c r="AI161" s="231">
        <f t="shared" si="112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0.52758851187561162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75" x14ac:dyDescent="0.3">
      <c r="B162" s="171">
        <f t="shared" si="52"/>
        <v>44062</v>
      </c>
      <c r="C162" s="61"/>
      <c r="D162" s="17">
        <v>44973</v>
      </c>
      <c r="E162" s="16"/>
      <c r="F162" s="16"/>
      <c r="G162" s="16"/>
      <c r="H162" s="16">
        <f t="shared" si="89"/>
        <v>5752258</v>
      </c>
      <c r="I162" s="16"/>
      <c r="J162" s="479">
        <f t="shared" si="90"/>
        <v>7.8799288978910285E-3</v>
      </c>
      <c r="K162" s="16"/>
      <c r="L162" s="16"/>
      <c r="M162" s="16"/>
      <c r="N162" s="16">
        <f t="shared" si="113"/>
        <v>335914</v>
      </c>
      <c r="O162" s="16">
        <f t="shared" si="114"/>
        <v>37596.457516339869</v>
      </c>
      <c r="P162" s="41"/>
      <c r="Q162" s="17">
        <f t="shared" si="92"/>
        <v>335914</v>
      </c>
      <c r="R162" s="16"/>
      <c r="S162" s="60">
        <f t="shared" si="106"/>
        <v>-0.12217901679785088</v>
      </c>
      <c r="T162" s="16"/>
      <c r="U162" s="41"/>
      <c r="V162" s="10">
        <f t="shared" si="109"/>
        <v>54</v>
      </c>
      <c r="W162" s="34">
        <v>1284</v>
      </c>
      <c r="X162" s="33"/>
      <c r="Y162" s="33"/>
      <c r="Z162" s="33"/>
      <c r="AA162" s="33">
        <f t="shared" si="93"/>
        <v>176948</v>
      </c>
      <c r="AB162" s="33"/>
      <c r="AC162" s="46">
        <f t="shared" si="94"/>
        <v>3.0761485315853355E-2</v>
      </c>
      <c r="AD162" s="33"/>
      <c r="AE162" s="33">
        <f t="shared" si="95"/>
        <v>1156.5228758169935</v>
      </c>
      <c r="AF162" s="50"/>
      <c r="AG162" s="33">
        <f t="shared" si="111"/>
        <v>7228</v>
      </c>
      <c r="AH162" s="33">
        <f>SUM(D133:D268)</f>
        <v>460555239.23752838</v>
      </c>
      <c r="AI162" s="231">
        <f t="shared" si="112"/>
        <v>-3.1358885017421602E-2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0.53237024486731988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44973</v>
      </c>
      <c r="BF162" s="67"/>
      <c r="BG162" s="156">
        <f t="shared" si="102"/>
        <v>6.011966986517088E-2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6.0366807870109125E-2</v>
      </c>
      <c r="BN162" s="66">
        <f t="shared" si="103"/>
        <v>477880.45098039217</v>
      </c>
      <c r="BO162" s="67"/>
      <c r="BP162" s="67">
        <f t="shared" si="104"/>
        <v>5409611</v>
      </c>
      <c r="BQ162" s="67"/>
      <c r="BR162" s="478">
        <f t="shared" si="105"/>
        <v>7.3986986845740635E-2</v>
      </c>
      <c r="BS162" s="67"/>
      <c r="BT162" s="86"/>
      <c r="BU162" s="183"/>
      <c r="BV162" s="1"/>
      <c r="BW162" s="61">
        <f t="shared" si="53"/>
        <v>153</v>
      </c>
    </row>
    <row r="163" spans="2:75" x14ac:dyDescent="0.3">
      <c r="B163" s="171">
        <f t="shared" si="52"/>
        <v>44063</v>
      </c>
      <c r="C163" s="61"/>
      <c r="D163" s="17">
        <v>45357</v>
      </c>
      <c r="E163" s="16"/>
      <c r="F163" s="16"/>
      <c r="G163" s="16"/>
      <c r="H163" s="16">
        <f t="shared" si="89"/>
        <v>5797615</v>
      </c>
      <c r="I163" s="16"/>
      <c r="J163" s="479">
        <f t="shared" si="90"/>
        <v>7.8850774774010483E-3</v>
      </c>
      <c r="K163" s="16"/>
      <c r="L163" s="16"/>
      <c r="M163" s="16"/>
      <c r="N163" s="16">
        <f t="shared" si="113"/>
        <v>325907</v>
      </c>
      <c r="O163" s="16">
        <f t="shared" si="114"/>
        <v>37646.85064935065</v>
      </c>
      <c r="P163" s="41"/>
      <c r="Q163" s="17">
        <f t="shared" si="92"/>
        <v>325907</v>
      </c>
      <c r="R163" s="16"/>
      <c r="S163" s="60">
        <f t="shared" si="106"/>
        <v>-0.14081703671287191</v>
      </c>
      <c r="T163" s="16"/>
      <c r="U163" s="41"/>
      <c r="V163" s="10">
        <f t="shared" si="109"/>
        <v>55</v>
      </c>
      <c r="W163" s="34">
        <v>1097</v>
      </c>
      <c r="X163" s="33"/>
      <c r="Y163" s="33"/>
      <c r="Z163" s="33"/>
      <c r="AA163" s="33">
        <f t="shared" si="93"/>
        <v>178045</v>
      </c>
      <c r="AB163" s="33"/>
      <c r="AC163" s="46">
        <f t="shared" si="94"/>
        <v>3.0710041974156613E-2</v>
      </c>
      <c r="AD163" s="33"/>
      <c r="AE163" s="33">
        <f t="shared" si="95"/>
        <v>1156.1363636363637</v>
      </c>
      <c r="AF163" s="50"/>
      <c r="AG163" s="33">
        <f t="shared" si="111"/>
        <v>7041</v>
      </c>
      <c r="AH163" s="33">
        <f>SUM(D134:D269)</f>
        <v>460487760.30952841</v>
      </c>
      <c r="AI163" s="231">
        <f t="shared" si="112"/>
        <v>-6.6551769852843695E-2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0.53392369103502046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45357</v>
      </c>
      <c r="BF163" s="67"/>
      <c r="BG163" s="156">
        <f t="shared" si="102"/>
        <v>6.0265232393907707E-2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6.0988672706143464E-2</v>
      </c>
      <c r="BN163" s="66">
        <f t="shared" si="103"/>
        <v>479664.49350649351</v>
      </c>
      <c r="BO163" s="67"/>
      <c r="BP163" s="67">
        <f t="shared" si="104"/>
        <v>5454968</v>
      </c>
      <c r="BQ163" s="67"/>
      <c r="BR163" s="478">
        <f t="shared" si="105"/>
        <v>7.3847179871341886E-2</v>
      </c>
      <c r="BS163" s="67"/>
      <c r="BT163" s="86"/>
      <c r="BU163" s="183"/>
      <c r="BV163" s="1"/>
      <c r="BW163" s="61">
        <f t="shared" si="53"/>
        <v>154</v>
      </c>
    </row>
    <row r="164" spans="2:75" x14ac:dyDescent="0.3">
      <c r="B164" s="171">
        <f t="shared" si="52"/>
        <v>44064</v>
      </c>
      <c r="C164" s="61"/>
      <c r="D164" s="17">
        <v>50481</v>
      </c>
      <c r="E164" s="16"/>
      <c r="F164" s="16"/>
      <c r="G164" s="16"/>
      <c r="H164" s="16">
        <f t="shared" si="89"/>
        <v>5848096</v>
      </c>
      <c r="I164" s="16"/>
      <c r="J164" s="479">
        <f t="shared" si="90"/>
        <v>8.707201150818052E-3</v>
      </c>
      <c r="K164" s="16"/>
      <c r="L164" s="16"/>
      <c r="M164" s="16"/>
      <c r="N164" s="16">
        <f t="shared" si="113"/>
        <v>315788</v>
      </c>
      <c r="O164" s="16">
        <f t="shared" si="114"/>
        <v>37729.651612903224</v>
      </c>
      <c r="P164" s="41"/>
      <c r="Q164" s="17">
        <f t="shared" si="92"/>
        <v>315788</v>
      </c>
      <c r="R164" s="16"/>
      <c r="S164" s="60">
        <f t="shared" si="106"/>
        <v>-0.16164555214561055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179215</v>
      </c>
      <c r="AB164" s="33"/>
      <c r="AC164" s="46">
        <f t="shared" si="94"/>
        <v>3.0645016771270513E-2</v>
      </c>
      <c r="AD164" s="33"/>
      <c r="AE164" s="33">
        <f t="shared" si="95"/>
        <v>1156.2258064516129</v>
      </c>
      <c r="AF164" s="50"/>
      <c r="AG164" s="33">
        <f t="shared" si="111"/>
        <v>7091</v>
      </c>
      <c r="AH164" s="33">
        <f>SUM(D135:D270)</f>
        <v>460415793.30952841</v>
      </c>
      <c r="AI164" s="231">
        <f t="shared" si="112"/>
        <v>-3.8247660382476602E-2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0.53477542092332275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50481</v>
      </c>
      <c r="BF164" s="67"/>
      <c r="BG164" s="156">
        <f t="shared" si="102"/>
        <v>5.9372089084596492E-2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5.8953386410821401E-2</v>
      </c>
      <c r="BN164" s="66">
        <f t="shared" si="103"/>
        <v>482055.3548387097</v>
      </c>
      <c r="BO164" s="67"/>
      <c r="BP164" s="67">
        <f t="shared" si="104"/>
        <v>5505449</v>
      </c>
      <c r="BQ164" s="67"/>
      <c r="BR164" s="478">
        <f t="shared" si="105"/>
        <v>7.3682462916184965E-2</v>
      </c>
      <c r="BS164" s="67"/>
      <c r="BT164" s="86"/>
      <c r="BU164" s="183"/>
      <c r="BV164" s="1"/>
      <c r="BW164" s="61">
        <f t="shared" si="53"/>
        <v>155</v>
      </c>
    </row>
    <row r="165" spans="2:7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:H182" si="115">+H164+D165</f>
        <v>5891925</v>
      </c>
      <c r="I165" s="16"/>
      <c r="J165" s="479">
        <f t="shared" ref="J165:J182" si="116">+D165/H164</f>
        <v>7.4945760124320807E-3</v>
      </c>
      <c r="K165" s="16"/>
      <c r="L165" s="16"/>
      <c r="M165" s="16"/>
      <c r="N165" s="16">
        <f t="shared" ref="N165:N182" si="117">SUM(D159:D165)</f>
        <v>306094</v>
      </c>
      <c r="O165" s="16">
        <f t="shared" si="114"/>
        <v>37768.75</v>
      </c>
      <c r="P165" s="41"/>
      <c r="Q165" s="17">
        <f t="shared" ref="Q165:Q182" si="118">SUM(D159:D165)</f>
        <v>306094</v>
      </c>
      <c r="R165" s="16"/>
      <c r="S165" s="60">
        <f t="shared" ref="S165:S182" si="119">+(Q165-Q158)/Q158</f>
        <v>-0.18592021276595744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:AA182" si="120">+AA164+W165</f>
        <v>180189</v>
      </c>
      <c r="AB165" s="33"/>
      <c r="AC165" s="46">
        <f t="shared" ref="AC165:AC182" si="121">+AA165/H165</f>
        <v>3.0582364846803038E-2</v>
      </c>
      <c r="AD165" s="33"/>
      <c r="AE165" s="33">
        <f t="shared" ref="AE165:AE182" si="122">+AA165/BW165</f>
        <v>1155.0576923076924</v>
      </c>
      <c r="AF165" s="50"/>
      <c r="AG165" s="33">
        <f t="shared" ref="AG165:AG182" si="123">SUM(W159:W165)</f>
        <v>6994</v>
      </c>
      <c r="AH165" s="33">
        <f>SUM(D136:D271)</f>
        <v>460346350.35152841</v>
      </c>
      <c r="AI165" s="231">
        <f t="shared" ref="AI165:AI182" si="124">+(AG165-AG158)/AG158</f>
        <v>-6.3470808784145683E-2</v>
      </c>
      <c r="AJ165" s="50"/>
      <c r="AK165" s="10"/>
      <c r="AL165" s="23">
        <f t="shared" ref="AL165:AL182" si="125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:AR182" si="126">+AL165/AP164</f>
        <v>6.606727978159619E-3</v>
      </c>
      <c r="AS165" s="25"/>
      <c r="AT165" s="25"/>
      <c r="AU165" s="24"/>
      <c r="AV165" s="341">
        <f t="shared" ref="AV165:AV182" si="127">+AP165/H165</f>
        <v>0.5343041535661095</v>
      </c>
      <c r="AW165" s="341"/>
      <c r="AX165" s="24">
        <f t="shared" ref="AX165:AX182" si="128">+AP165/BW165</f>
        <v>20180</v>
      </c>
      <c r="AY165" s="351"/>
      <c r="AZ165" s="10"/>
      <c r="BA165" s="66">
        <f t="shared" ref="BA165:BA182" si="129">+BC165-BC164</f>
        <v>756595</v>
      </c>
      <c r="BB165" s="67"/>
      <c r="BC165" s="67">
        <v>75475175</v>
      </c>
      <c r="BD165" s="67"/>
      <c r="BE165" s="67">
        <f t="shared" ref="BE165:BE182" si="130">+D165</f>
        <v>43829</v>
      </c>
      <c r="BF165" s="67"/>
      <c r="BG165" s="156">
        <f t="shared" ref="BG165:BG182" si="131">+BE165/BA165</f>
        <v>5.7929275239725346E-2</v>
      </c>
      <c r="BH165" s="67"/>
      <c r="BI165" s="183"/>
      <c r="BJ165" s="67"/>
      <c r="BK165" s="67">
        <f t="shared" ref="BK165:BK182" si="132">SUM(BA159:BA165)</f>
        <v>5250502</v>
      </c>
      <c r="BL165" s="67"/>
      <c r="BM165" s="156">
        <f t="shared" ref="BM165:BM182" si="133">+Q165/BK165</f>
        <v>5.8298044644112125E-2</v>
      </c>
      <c r="BN165" s="66">
        <f t="shared" ref="BN165:BN182" si="134">+BC165/BW165</f>
        <v>483815.22435897437</v>
      </c>
      <c r="BO165" s="67"/>
      <c r="BP165" s="67">
        <f t="shared" ref="BP165:BP182" si="135">+BP164+BE165</f>
        <v>5549278</v>
      </c>
      <c r="BQ165" s="67"/>
      <c r="BR165" s="478">
        <f t="shared" ref="BR165:BR182" si="136">+BP165/BC165</f>
        <v>7.3524546316056899E-2</v>
      </c>
      <c r="BS165" s="67"/>
      <c r="BT165" s="86"/>
      <c r="BU165" s="183"/>
      <c r="BV165" s="1"/>
      <c r="BW165" s="61">
        <f t="shared" si="53"/>
        <v>156</v>
      </c>
    </row>
    <row r="166" spans="2:7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si="115"/>
        <v>5924643</v>
      </c>
      <c r="I166" s="16"/>
      <c r="J166" s="479">
        <f t="shared" si="116"/>
        <v>5.5530238419531815E-3</v>
      </c>
      <c r="K166" s="16"/>
      <c r="L166" s="16"/>
      <c r="M166" s="16"/>
      <c r="N166" s="16">
        <f t="shared" si="117"/>
        <v>301969</v>
      </c>
      <c r="O166" s="16">
        <f t="shared" si="114"/>
        <v>37736.579617834395</v>
      </c>
      <c r="P166" s="41"/>
      <c r="Q166" s="17">
        <f t="shared" si="118"/>
        <v>301969</v>
      </c>
      <c r="R166" s="16"/>
      <c r="S166" s="60">
        <f t="shared" si="119"/>
        <v>-0.17267407135459761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si="120"/>
        <v>180619</v>
      </c>
      <c r="AB166" s="33"/>
      <c r="AC166" s="46">
        <f t="shared" si="121"/>
        <v>3.0486056290649075E-2</v>
      </c>
      <c r="AD166" s="33"/>
      <c r="AE166" s="33">
        <f t="shared" si="122"/>
        <v>1150.43949044586</v>
      </c>
      <c r="AF166" s="50"/>
      <c r="AG166" s="33">
        <f t="shared" si="123"/>
        <v>6902</v>
      </c>
      <c r="AH166" s="33">
        <f>SUM(D137:D272)</f>
        <v>461269316.35152841</v>
      </c>
      <c r="AI166" s="231">
        <f t="shared" si="124"/>
        <v>-7.430257510729614E-2</v>
      </c>
      <c r="AJ166" s="50"/>
      <c r="AK166" s="10"/>
      <c r="AL166" s="23">
        <f t="shared" si="125"/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si="126"/>
        <v>6.0300246499453633E-3</v>
      </c>
      <c r="AS166" s="25"/>
      <c r="AT166" s="25"/>
      <c r="AU166" s="24"/>
      <c r="AV166" s="341">
        <f t="shared" si="127"/>
        <v>0.53455760963150012</v>
      </c>
      <c r="AW166" s="341"/>
      <c r="AX166" s="24">
        <f t="shared" si="128"/>
        <v>20172.375796178345</v>
      </c>
      <c r="AY166" s="351"/>
      <c r="AZ166" s="391"/>
      <c r="BA166" s="66">
        <f t="shared" si="129"/>
        <v>684203</v>
      </c>
      <c r="BB166" s="67"/>
      <c r="BC166" s="67">
        <v>76159378</v>
      </c>
      <c r="BD166" s="67"/>
      <c r="BE166" s="67">
        <f t="shared" si="130"/>
        <v>32718</v>
      </c>
      <c r="BF166" s="67"/>
      <c r="BG166" s="156">
        <f t="shared" si="131"/>
        <v>4.7819141395170732E-2</v>
      </c>
      <c r="BH166" s="67"/>
      <c r="BI166" s="183"/>
      <c r="BJ166" s="67"/>
      <c r="BK166" s="67">
        <f t="shared" si="132"/>
        <v>5198748</v>
      </c>
      <c r="BL166" s="67"/>
      <c r="BM166" s="156">
        <f t="shared" si="133"/>
        <v>5.8084946606375226E-2</v>
      </c>
      <c r="BN166" s="66">
        <f t="shared" si="134"/>
        <v>485091.57961783442</v>
      </c>
      <c r="BO166" s="67"/>
      <c r="BP166" s="67">
        <f t="shared" si="135"/>
        <v>5581996</v>
      </c>
      <c r="BQ166" s="67"/>
      <c r="BR166" s="478">
        <f t="shared" si="136"/>
        <v>7.3293613296053967E-2</v>
      </c>
      <c r="BS166" s="67"/>
      <c r="BT166" s="86"/>
      <c r="BU166" s="183"/>
      <c r="BV166" s="1"/>
      <c r="BW166" s="61">
        <f t="shared" si="53"/>
        <v>157</v>
      </c>
    </row>
    <row r="167" spans="2:7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si="115"/>
        <v>5966127</v>
      </c>
      <c r="I167" s="16"/>
      <c r="J167" s="479">
        <f t="shared" si="116"/>
        <v>7.0019408764376186E-3</v>
      </c>
      <c r="K167" s="16"/>
      <c r="L167" s="16"/>
      <c r="M167" s="16"/>
      <c r="N167" s="16">
        <f t="shared" si="117"/>
        <v>302841</v>
      </c>
      <c r="O167" s="16">
        <f t="shared" si="114"/>
        <v>37760.297468354431</v>
      </c>
      <c r="P167" s="41"/>
      <c r="Q167" s="17">
        <f t="shared" si="118"/>
        <v>302841</v>
      </c>
      <c r="R167" s="16"/>
      <c r="S167" s="60">
        <f t="shared" si="119"/>
        <v>-0.14885920979410128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si="120"/>
        <v>181129</v>
      </c>
      <c r="AB167" s="33"/>
      <c r="AC167" s="46">
        <f t="shared" si="121"/>
        <v>3.0359561571518676E-2</v>
      </c>
      <c r="AD167" s="33"/>
      <c r="AE167" s="33">
        <f t="shared" si="122"/>
        <v>1146.3860759493671</v>
      </c>
      <c r="AF167" s="50"/>
      <c r="AG167" s="33">
        <f t="shared" si="123"/>
        <v>6823</v>
      </c>
      <c r="AH167" s="33">
        <f>SUM(D138:D273)</f>
        <v>461201903.35152841</v>
      </c>
      <c r="AI167" s="231">
        <f t="shared" si="124"/>
        <v>-8.7346174424826103E-2</v>
      </c>
      <c r="AJ167" s="50"/>
      <c r="AK167" s="10"/>
      <c r="AL167" s="23">
        <f t="shared" si="125"/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si="126"/>
        <v>1.607735621299608E-2</v>
      </c>
      <c r="AS167" s="25"/>
      <c r="AT167" s="25"/>
      <c r="AU167" s="24"/>
      <c r="AV167" s="341">
        <f t="shared" si="127"/>
        <v>0.53937520941139871</v>
      </c>
      <c r="AW167" s="341"/>
      <c r="AX167" s="24">
        <f t="shared" si="128"/>
        <v>20366.968354430381</v>
      </c>
      <c r="AY167" s="351"/>
      <c r="AZ167" s="10"/>
      <c r="BA167" s="66">
        <f t="shared" si="129"/>
        <v>724101</v>
      </c>
      <c r="BB167" s="67"/>
      <c r="BC167" s="67">
        <v>76883479</v>
      </c>
      <c r="BD167" s="67"/>
      <c r="BE167" s="67">
        <f t="shared" si="130"/>
        <v>41484</v>
      </c>
      <c r="BF167" s="67"/>
      <c r="BG167" s="156">
        <f t="shared" si="131"/>
        <v>5.7290350379297916E-2</v>
      </c>
      <c r="BH167" s="67"/>
      <c r="BI167" s="183"/>
      <c r="BJ167" s="67"/>
      <c r="BK167" s="67">
        <f t="shared" si="132"/>
        <v>5195698</v>
      </c>
      <c r="BL167" s="67"/>
      <c r="BM167" s="156">
        <f t="shared" si="133"/>
        <v>5.8286875026223615E-2</v>
      </c>
      <c r="BN167" s="66">
        <f t="shared" si="134"/>
        <v>486604.2974683544</v>
      </c>
      <c r="BO167" s="67"/>
      <c r="BP167" s="67">
        <f t="shared" si="135"/>
        <v>5623480</v>
      </c>
      <c r="BQ167" s="67"/>
      <c r="BR167" s="478">
        <f t="shared" si="136"/>
        <v>7.3142891985936279E-2</v>
      </c>
      <c r="BS167" s="67"/>
      <c r="BT167" s="86"/>
      <c r="BU167" s="183"/>
      <c r="BV167" s="1"/>
      <c r="BW167" s="61">
        <f t="shared" si="53"/>
        <v>158</v>
      </c>
    </row>
    <row r="168" spans="2:75" x14ac:dyDescent="0.3">
      <c r="B168" s="171">
        <f t="shared" si="52"/>
        <v>44068</v>
      </c>
      <c r="C168" s="61"/>
      <c r="D168" s="17">
        <v>40098</v>
      </c>
      <c r="E168" s="16"/>
      <c r="F168" s="16"/>
      <c r="G168" s="16"/>
      <c r="H168" s="16">
        <f t="shared" si="115"/>
        <v>6006225</v>
      </c>
      <c r="I168" s="16"/>
      <c r="J168" s="479">
        <f t="shared" si="116"/>
        <v>6.7209430841817484E-3</v>
      </c>
      <c r="K168" s="16"/>
      <c r="L168" s="16"/>
      <c r="M168" s="16"/>
      <c r="N168" s="16">
        <f t="shared" si="117"/>
        <v>298940</v>
      </c>
      <c r="O168" s="16">
        <f t="shared" si="114"/>
        <v>37775</v>
      </c>
      <c r="P168" s="41"/>
      <c r="Q168" s="17">
        <f t="shared" si="118"/>
        <v>298940</v>
      </c>
      <c r="R168" s="16"/>
      <c r="S168" s="60">
        <f t="shared" si="119"/>
        <v>-0.13422496133639938</v>
      </c>
      <c r="T168" s="16"/>
      <c r="U168" s="41"/>
      <c r="V168" s="10">
        <f t="shared" si="109"/>
        <v>60</v>
      </c>
      <c r="W168" s="34">
        <v>1290</v>
      </c>
      <c r="X168" s="33"/>
      <c r="Y168" s="33"/>
      <c r="Z168" s="33"/>
      <c r="AA168" s="33">
        <f t="shared" si="120"/>
        <v>182419</v>
      </c>
      <c r="AB168" s="33"/>
      <c r="AC168" s="46">
        <f t="shared" si="121"/>
        <v>3.0371656073490419E-2</v>
      </c>
      <c r="AD168" s="33"/>
      <c r="AE168" s="33">
        <f t="shared" si="122"/>
        <v>1147.2893081761006</v>
      </c>
      <c r="AF168" s="50"/>
      <c r="AG168" s="33">
        <f t="shared" si="123"/>
        <v>6755</v>
      </c>
      <c r="AH168" s="33">
        <f>SUM(D139:D274)</f>
        <v>461145773.35152841</v>
      </c>
      <c r="AI168" s="231">
        <f t="shared" si="124"/>
        <v>-7.8444747612551158E-2</v>
      </c>
      <c r="AJ168" s="50"/>
      <c r="AK168" s="10"/>
      <c r="AL168" s="23">
        <f t="shared" si="125"/>
        <v>36301</v>
      </c>
      <c r="AM168" s="24"/>
      <c r="AN168" s="24"/>
      <c r="AO168" s="24">
        <v>178263</v>
      </c>
      <c r="AP168" s="24">
        <v>3254282</v>
      </c>
      <c r="AQ168" s="24"/>
      <c r="AR168" s="504">
        <f t="shared" si="126"/>
        <v>1.1280675678321283E-2</v>
      </c>
      <c r="AS168" s="25"/>
      <c r="AT168" s="25"/>
      <c r="AU168" s="24"/>
      <c r="AV168" s="341">
        <f t="shared" si="127"/>
        <v>0.54181819695399358</v>
      </c>
      <c r="AW168" s="341"/>
      <c r="AX168" s="24">
        <f t="shared" si="128"/>
        <v>20467.182389937108</v>
      </c>
      <c r="AY168" s="351"/>
      <c r="AZ168" s="10"/>
      <c r="BA168" s="66">
        <f t="shared" si="129"/>
        <v>1047928</v>
      </c>
      <c r="BB168" s="67"/>
      <c r="BC168" s="67">
        <v>77931407</v>
      </c>
      <c r="BD168" s="67"/>
      <c r="BE168" s="67">
        <f t="shared" si="130"/>
        <v>40098</v>
      </c>
      <c r="BF168" s="67"/>
      <c r="BG168" s="156">
        <f t="shared" si="131"/>
        <v>3.8264079211548882E-2</v>
      </c>
      <c r="BH168" s="67"/>
      <c r="BI168" s="183"/>
      <c r="BJ168" s="67"/>
      <c r="BK168" s="67">
        <f t="shared" si="132"/>
        <v>5563756</v>
      </c>
      <c r="BL168" s="67"/>
      <c r="BM168" s="156">
        <f t="shared" si="133"/>
        <v>5.3729890383402867E-2</v>
      </c>
      <c r="BN168" s="66">
        <f t="shared" si="134"/>
        <v>490134.63522012578</v>
      </c>
      <c r="BO168" s="67"/>
      <c r="BP168" s="67">
        <f t="shared" si="135"/>
        <v>5663578</v>
      </c>
      <c r="BQ168" s="67"/>
      <c r="BR168" s="478">
        <f t="shared" si="136"/>
        <v>7.2673883585856469E-2</v>
      </c>
      <c r="BS168" s="67"/>
      <c r="BT168" s="86"/>
      <c r="BU168" s="183"/>
      <c r="BV168" s="1"/>
      <c r="BW168" s="61">
        <f t="shared" si="53"/>
        <v>159</v>
      </c>
    </row>
    <row r="169" spans="2:75" x14ac:dyDescent="0.3">
      <c r="B169" s="171">
        <f t="shared" si="52"/>
        <v>44069</v>
      </c>
      <c r="C169" s="61"/>
      <c r="D169" s="17">
        <v>44637</v>
      </c>
      <c r="E169" s="16"/>
      <c r="F169" s="16"/>
      <c r="G169" s="16"/>
      <c r="H169" s="16">
        <f t="shared" si="115"/>
        <v>6050862</v>
      </c>
      <c r="I169" s="16"/>
      <c r="J169" s="479">
        <f t="shared" si="116"/>
        <v>7.4317895183746863E-3</v>
      </c>
      <c r="K169" s="16"/>
      <c r="L169" s="16"/>
      <c r="M169" s="16"/>
      <c r="N169" s="16">
        <f t="shared" si="117"/>
        <v>298604</v>
      </c>
      <c r="O169" s="16">
        <f t="shared" si="114"/>
        <v>37817.887499999997</v>
      </c>
      <c r="P169" s="41"/>
      <c r="Q169" s="17">
        <f t="shared" si="118"/>
        <v>298604</v>
      </c>
      <c r="R169" s="16"/>
      <c r="S169" s="60">
        <f t="shared" si="119"/>
        <v>-0.11107009532201695</v>
      </c>
      <c r="T169" s="16"/>
      <c r="U169" s="41"/>
      <c r="V169" s="10">
        <f t="shared" si="109"/>
        <v>61</v>
      </c>
      <c r="W169" s="34">
        <v>1280</v>
      </c>
      <c r="X169" s="33"/>
      <c r="Y169" s="33"/>
      <c r="Z169" s="33"/>
      <c r="AA169" s="33">
        <f t="shared" si="120"/>
        <v>183699</v>
      </c>
      <c r="AB169" s="33"/>
      <c r="AC169" s="46">
        <f t="shared" si="121"/>
        <v>3.0359145523398155E-2</v>
      </c>
      <c r="AD169" s="33"/>
      <c r="AE169" s="33">
        <f t="shared" si="122"/>
        <v>1148.1187500000001</v>
      </c>
      <c r="AF169" s="50"/>
      <c r="AG169" s="33">
        <f t="shared" si="123"/>
        <v>6751</v>
      </c>
      <c r="AH169" s="33">
        <f>SUM(D140:D275)</f>
        <v>461084202.35152841</v>
      </c>
      <c r="AI169" s="231">
        <f t="shared" si="124"/>
        <v>-6.5993359158826786E-2</v>
      </c>
      <c r="AJ169" s="50"/>
      <c r="AK169" s="10"/>
      <c r="AL169" s="23">
        <f t="shared" si="125"/>
        <v>59579</v>
      </c>
      <c r="AM169" s="24"/>
      <c r="AN169" s="24"/>
      <c r="AO169" s="24">
        <v>178263</v>
      </c>
      <c r="AP169" s="24">
        <v>3313861</v>
      </c>
      <c r="AQ169" s="24"/>
      <c r="AR169" s="504">
        <f t="shared" si="126"/>
        <v>1.8307878665708748E-2</v>
      </c>
      <c r="AS169" s="25"/>
      <c r="AT169" s="25"/>
      <c r="AU169" s="24"/>
      <c r="AV169" s="341">
        <f t="shared" si="127"/>
        <v>0.54766758851879282</v>
      </c>
      <c r="AW169" s="341"/>
      <c r="AX169" s="24">
        <f t="shared" si="128"/>
        <v>20711.631249999999</v>
      </c>
      <c r="AY169" s="351"/>
      <c r="AZ169" s="10"/>
      <c r="BA169" s="66">
        <f t="shared" si="129"/>
        <v>701159</v>
      </c>
      <c r="BB169" s="67"/>
      <c r="BC169" s="67">
        <v>78632566</v>
      </c>
      <c r="BD169" s="67"/>
      <c r="BE169" s="67">
        <f t="shared" si="130"/>
        <v>44637</v>
      </c>
      <c r="BF169" s="67"/>
      <c r="BG169" s="156">
        <f t="shared" si="131"/>
        <v>6.3661737209391875E-2</v>
      </c>
      <c r="BH169" s="67"/>
      <c r="BI169" s="183"/>
      <c r="BJ169" s="67"/>
      <c r="BK169" s="67">
        <f t="shared" si="132"/>
        <v>5516857</v>
      </c>
      <c r="BL169" s="67"/>
      <c r="BM169" s="156">
        <f t="shared" si="133"/>
        <v>5.4125745873057796E-2</v>
      </c>
      <c r="BN169" s="66">
        <f t="shared" si="134"/>
        <v>491453.53749999998</v>
      </c>
      <c r="BO169" s="67"/>
      <c r="BP169" s="67">
        <f t="shared" si="135"/>
        <v>5708215</v>
      </c>
      <c r="BQ169" s="67"/>
      <c r="BR169" s="478">
        <f t="shared" si="136"/>
        <v>7.2593523146631131E-2</v>
      </c>
      <c r="BS169" s="67"/>
      <c r="BT169" s="86"/>
      <c r="BU169" s="183"/>
      <c r="BV169" s="1"/>
      <c r="BW169" s="61">
        <f t="shared" si="53"/>
        <v>160</v>
      </c>
    </row>
    <row r="170" spans="2:75" x14ac:dyDescent="0.3">
      <c r="B170" s="171">
        <f t="shared" si="52"/>
        <v>44070</v>
      </c>
      <c r="C170" s="61"/>
      <c r="D170" s="17">
        <v>46006</v>
      </c>
      <c r="E170" s="16"/>
      <c r="F170" s="16"/>
      <c r="G170" s="16"/>
      <c r="H170" s="16">
        <f t="shared" si="115"/>
        <v>6096868</v>
      </c>
      <c r="I170" s="16"/>
      <c r="J170" s="479">
        <f t="shared" si="116"/>
        <v>7.6032142197260486E-3</v>
      </c>
      <c r="K170" s="16"/>
      <c r="L170" s="16"/>
      <c r="M170" s="16"/>
      <c r="N170" s="16">
        <f t="shared" si="117"/>
        <v>299253</v>
      </c>
      <c r="O170" s="16">
        <f t="shared" ref="O170:O182" si="137">+H170/BW170</f>
        <v>37868.745341614907</v>
      </c>
      <c r="P170" s="41"/>
      <c r="Q170" s="17">
        <f t="shared" si="118"/>
        <v>299253</v>
      </c>
      <c r="R170" s="16"/>
      <c r="S170" s="60">
        <f t="shared" si="119"/>
        <v>-8.1784067233904148E-2</v>
      </c>
      <c r="T170" s="16"/>
      <c r="U170" s="41"/>
      <c r="V170" s="10">
        <f t="shared" si="109"/>
        <v>62</v>
      </c>
      <c r="W170" s="34">
        <v>1143</v>
      </c>
      <c r="X170" s="33"/>
      <c r="Y170" s="33"/>
      <c r="Z170" s="33"/>
      <c r="AA170" s="33">
        <f t="shared" si="120"/>
        <v>184842</v>
      </c>
      <c r="AB170" s="33"/>
      <c r="AC170" s="46">
        <f t="shared" si="121"/>
        <v>3.0317533527050283E-2</v>
      </c>
      <c r="AD170" s="33"/>
      <c r="AE170" s="33">
        <f t="shared" si="122"/>
        <v>1148.0869565217392</v>
      </c>
      <c r="AF170" s="50"/>
      <c r="AG170" s="33">
        <f t="shared" si="123"/>
        <v>6797</v>
      </c>
      <c r="AH170" s="33">
        <f>SUM(D141:D276)</f>
        <v>461019473.35152841</v>
      </c>
      <c r="AI170" s="231">
        <f t="shared" si="124"/>
        <v>-3.4654168441982672E-2</v>
      </c>
      <c r="AJ170" s="50"/>
      <c r="AK170" s="10"/>
      <c r="AL170" s="23">
        <f t="shared" si="125"/>
        <v>34079</v>
      </c>
      <c r="AM170" s="24"/>
      <c r="AN170" s="24"/>
      <c r="AO170" s="24">
        <v>178263</v>
      </c>
      <c r="AP170" s="24">
        <v>3347940</v>
      </c>
      <c r="AQ170" s="24"/>
      <c r="AR170" s="504">
        <f t="shared" si="126"/>
        <v>1.0283774726821675E-2</v>
      </c>
      <c r="AS170" s="25"/>
      <c r="AT170" s="25"/>
      <c r="AU170" s="24"/>
      <c r="AV170" s="341">
        <f t="shared" si="127"/>
        <v>0.54912456690878009</v>
      </c>
      <c r="AW170" s="341"/>
      <c r="AX170" s="24">
        <f t="shared" si="128"/>
        <v>20794.658385093167</v>
      </c>
      <c r="AY170" s="351"/>
      <c r="AZ170" s="10"/>
      <c r="BA170" s="66">
        <f t="shared" si="129"/>
        <v>839920</v>
      </c>
      <c r="BB170" s="67"/>
      <c r="BC170" s="67">
        <v>79472486</v>
      </c>
      <c r="BD170" s="67"/>
      <c r="BE170" s="67">
        <f t="shared" si="130"/>
        <v>46006</v>
      </c>
      <c r="BF170" s="67"/>
      <c r="BG170" s="156">
        <f t="shared" si="131"/>
        <v>5.4774264215639586E-2</v>
      </c>
      <c r="BH170" s="67"/>
      <c r="BI170" s="183"/>
      <c r="BJ170" s="67"/>
      <c r="BK170" s="67">
        <f t="shared" si="132"/>
        <v>5604154</v>
      </c>
      <c r="BL170" s="67"/>
      <c r="BM170" s="156">
        <f t="shared" si="133"/>
        <v>5.3398425525065872E-2</v>
      </c>
      <c r="BN170" s="66">
        <f t="shared" si="134"/>
        <v>493617.92546583852</v>
      </c>
      <c r="BO170" s="67"/>
      <c r="BP170" s="67">
        <f t="shared" si="135"/>
        <v>5754221</v>
      </c>
      <c r="BQ170" s="67"/>
      <c r="BR170" s="478">
        <f t="shared" si="136"/>
        <v>7.2405196938220853E-2</v>
      </c>
      <c r="BS170" s="67"/>
      <c r="BT170" s="86"/>
      <c r="BU170" s="183"/>
      <c r="BV170" s="1"/>
      <c r="BW170" s="61">
        <f t="shared" si="53"/>
        <v>161</v>
      </c>
    </row>
    <row r="171" spans="2:75" x14ac:dyDescent="0.3">
      <c r="B171" s="171">
        <f t="shared" si="52"/>
        <v>44071</v>
      </c>
      <c r="C171" s="61"/>
      <c r="D171" s="17">
        <v>49601</v>
      </c>
      <c r="E171" s="16"/>
      <c r="F171" s="16"/>
      <c r="G171" s="16"/>
      <c r="H171" s="16">
        <f t="shared" si="115"/>
        <v>6146469</v>
      </c>
      <c r="I171" s="16"/>
      <c r="J171" s="479">
        <f t="shared" si="116"/>
        <v>8.1354885820063682E-3</v>
      </c>
      <c r="K171" s="16"/>
      <c r="L171" s="16"/>
      <c r="M171" s="16"/>
      <c r="N171" s="16">
        <f t="shared" si="117"/>
        <v>298373</v>
      </c>
      <c r="O171" s="16">
        <f t="shared" si="137"/>
        <v>37941.166666666664</v>
      </c>
      <c r="P171" s="41"/>
      <c r="Q171" s="17">
        <f t="shared" si="118"/>
        <v>298373</v>
      </c>
      <c r="R171" s="16"/>
      <c r="S171" s="60">
        <f t="shared" si="119"/>
        <v>-5.5147757356200998E-2</v>
      </c>
      <c r="T171" s="16"/>
      <c r="U171" s="41"/>
      <c r="V171" s="10">
        <f t="shared" si="109"/>
        <v>63</v>
      </c>
      <c r="W171" s="34">
        <v>1105</v>
      </c>
      <c r="X171" s="33"/>
      <c r="Y171" s="33"/>
      <c r="Z171" s="33"/>
      <c r="AA171" s="33">
        <f t="shared" si="120"/>
        <v>185947</v>
      </c>
      <c r="AB171" s="33"/>
      <c r="AC171" s="46">
        <f t="shared" si="121"/>
        <v>3.0252654003461173E-2</v>
      </c>
      <c r="AD171" s="33"/>
      <c r="AE171" s="33">
        <f t="shared" si="122"/>
        <v>1147.820987654321</v>
      </c>
      <c r="AF171" s="50"/>
      <c r="AG171" s="33">
        <f t="shared" si="123"/>
        <v>6732</v>
      </c>
      <c r="AH171" s="33">
        <f>SUM(D142:D277)</f>
        <v>460952552.35152841</v>
      </c>
      <c r="AI171" s="231">
        <f t="shared" si="124"/>
        <v>-5.0627556056973631E-2</v>
      </c>
      <c r="AJ171" s="50"/>
      <c r="AK171" s="10"/>
      <c r="AL171" s="23">
        <f t="shared" si="125"/>
        <v>27898</v>
      </c>
      <c r="AM171" s="24"/>
      <c r="AN171" s="24"/>
      <c r="AO171" s="24">
        <v>178263</v>
      </c>
      <c r="AP171" s="24">
        <v>3375838</v>
      </c>
      <c r="AQ171" s="24"/>
      <c r="AR171" s="504">
        <f t="shared" si="126"/>
        <v>8.3328852966301666E-3</v>
      </c>
      <c r="AS171" s="25"/>
      <c r="AT171" s="25"/>
      <c r="AU171" s="24"/>
      <c r="AV171" s="341">
        <f t="shared" si="127"/>
        <v>0.54923208756116726</v>
      </c>
      <c r="AW171" s="341"/>
      <c r="AX171" s="24">
        <f t="shared" si="128"/>
        <v>20838.506172839505</v>
      </c>
      <c r="AY171" s="351"/>
      <c r="AZ171" s="10"/>
      <c r="BA171" s="66">
        <f t="shared" si="129"/>
        <v>827184</v>
      </c>
      <c r="BB171" s="67"/>
      <c r="BC171" s="67">
        <v>80299670</v>
      </c>
      <c r="BD171" s="67"/>
      <c r="BE171" s="67">
        <f t="shared" si="130"/>
        <v>49601</v>
      </c>
      <c r="BF171" s="67"/>
      <c r="BG171" s="156">
        <f t="shared" si="131"/>
        <v>5.9963684017098978E-2</v>
      </c>
      <c r="BH171" s="67"/>
      <c r="BI171" s="183"/>
      <c r="BJ171" s="67"/>
      <c r="BK171" s="67">
        <f t="shared" si="132"/>
        <v>5581090</v>
      </c>
      <c r="BL171" s="67"/>
      <c r="BM171" s="156">
        <f t="shared" si="133"/>
        <v>5.346142061855301E-2</v>
      </c>
      <c r="BN171" s="66">
        <f t="shared" si="134"/>
        <v>495676.97530864197</v>
      </c>
      <c r="BO171" s="67"/>
      <c r="BP171" s="67">
        <f t="shared" si="135"/>
        <v>5803822</v>
      </c>
      <c r="BQ171" s="67"/>
      <c r="BR171" s="478">
        <f t="shared" si="136"/>
        <v>7.2277034264275314E-2</v>
      </c>
      <c r="BS171" s="67"/>
      <c r="BT171" s="86"/>
      <c r="BU171" s="183"/>
      <c r="BV171" s="1"/>
      <c r="BW171" s="61">
        <f t="shared" si="53"/>
        <v>162</v>
      </c>
    </row>
    <row r="172" spans="2:75" x14ac:dyDescent="0.3">
      <c r="B172" s="171">
        <f t="shared" si="52"/>
        <v>44072</v>
      </c>
      <c r="C172" s="61"/>
      <c r="D172" s="17">
        <v>42660</v>
      </c>
      <c r="E172" s="16"/>
      <c r="F172" s="16"/>
      <c r="G172" s="16"/>
      <c r="H172" s="16">
        <f t="shared" si="115"/>
        <v>6189129</v>
      </c>
      <c r="I172" s="16"/>
      <c r="J172" s="479">
        <f t="shared" si="116"/>
        <v>6.9405702688812064E-3</v>
      </c>
      <c r="K172" s="16"/>
      <c r="L172" s="16"/>
      <c r="M172" s="16"/>
      <c r="N172" s="16">
        <f t="shared" si="117"/>
        <v>297204</v>
      </c>
      <c r="O172" s="16">
        <f t="shared" si="137"/>
        <v>37970.116564417178</v>
      </c>
      <c r="P172" s="41"/>
      <c r="Q172" s="17">
        <f t="shared" si="118"/>
        <v>297204</v>
      </c>
      <c r="R172" s="16"/>
      <c r="S172" s="60">
        <f t="shared" si="119"/>
        <v>-2.9043365763458284E-2</v>
      </c>
      <c r="T172" s="16"/>
      <c r="U172" s="41"/>
      <c r="V172" s="10">
        <f t="shared" si="109"/>
        <v>64</v>
      </c>
      <c r="W172" s="34">
        <v>954</v>
      </c>
      <c r="X172" s="33"/>
      <c r="Y172" s="33"/>
      <c r="Z172" s="33"/>
      <c r="AA172" s="33">
        <f t="shared" si="120"/>
        <v>186901</v>
      </c>
      <c r="AB172" s="33"/>
      <c r="AC172" s="46">
        <f t="shared" si="121"/>
        <v>3.0198271840835761E-2</v>
      </c>
      <c r="AD172" s="33"/>
      <c r="AE172" s="33">
        <f t="shared" si="122"/>
        <v>1146.6319018404909</v>
      </c>
      <c r="AF172" s="50"/>
      <c r="AG172" s="33">
        <f t="shared" si="123"/>
        <v>6712</v>
      </c>
      <c r="AH172" s="33">
        <f>SUM(D143:D278)</f>
        <v>460883983.35152841</v>
      </c>
      <c r="AI172" s="231">
        <f t="shared" si="124"/>
        <v>-4.0320274521018017E-2</v>
      </c>
      <c r="AJ172" s="50"/>
      <c r="AK172" s="10"/>
      <c r="AL172" s="23">
        <f t="shared" si="125"/>
        <v>32961</v>
      </c>
      <c r="AM172" s="24"/>
      <c r="AN172" s="24"/>
      <c r="AO172" s="24">
        <v>178263</v>
      </c>
      <c r="AP172" s="24">
        <v>3408799</v>
      </c>
      <c r="AQ172" s="24"/>
      <c r="AR172" s="504">
        <f t="shared" si="126"/>
        <v>9.7637979073640375E-3</v>
      </c>
      <c r="AS172" s="25"/>
      <c r="AT172" s="25"/>
      <c r="AU172" s="24"/>
      <c r="AV172" s="341">
        <f t="shared" si="127"/>
        <v>0.55077200685266048</v>
      </c>
      <c r="AW172" s="341"/>
      <c r="AX172" s="24">
        <f t="shared" si="128"/>
        <v>20912.877300613498</v>
      </c>
      <c r="AY172" s="351"/>
      <c r="AZ172" s="10"/>
      <c r="BA172" s="66">
        <f t="shared" si="129"/>
        <v>802727</v>
      </c>
      <c r="BB172" s="67"/>
      <c r="BC172" s="67">
        <v>81102397</v>
      </c>
      <c r="BD172" s="67"/>
      <c r="BE172" s="67">
        <f t="shared" si="130"/>
        <v>42660</v>
      </c>
      <c r="BF172" s="67"/>
      <c r="BG172" s="156">
        <f t="shared" si="131"/>
        <v>5.3143845915236437E-2</v>
      </c>
      <c r="BH172" s="67"/>
      <c r="BI172" s="183"/>
      <c r="BJ172" s="67"/>
      <c r="BK172" s="67">
        <f t="shared" si="132"/>
        <v>5627222</v>
      </c>
      <c r="BL172" s="67"/>
      <c r="BM172" s="156">
        <f t="shared" si="133"/>
        <v>5.2815403408644622E-2</v>
      </c>
      <c r="BN172" s="66">
        <f t="shared" si="134"/>
        <v>497560.71779141104</v>
      </c>
      <c r="BO172" s="67"/>
      <c r="BP172" s="67">
        <f t="shared" si="135"/>
        <v>5846482</v>
      </c>
      <c r="BQ172" s="67"/>
      <c r="BR172" s="478">
        <f t="shared" si="136"/>
        <v>7.208765975190598E-2</v>
      </c>
      <c r="BS172" s="67"/>
      <c r="BT172" s="86"/>
      <c r="BU172" s="183"/>
      <c r="BV172" s="1"/>
      <c r="BW172" s="61">
        <f t="shared" si="53"/>
        <v>163</v>
      </c>
    </row>
    <row r="173" spans="2:75" x14ac:dyDescent="0.3">
      <c r="B173" s="390">
        <f t="shared" si="52"/>
        <v>44073</v>
      </c>
      <c r="C173" s="61"/>
      <c r="D173" s="17">
        <v>33981</v>
      </c>
      <c r="E173" s="16"/>
      <c r="F173" s="16"/>
      <c r="G173" s="16"/>
      <c r="H173" s="16">
        <f t="shared" si="115"/>
        <v>6223110</v>
      </c>
      <c r="I173" s="16"/>
      <c r="J173" s="479">
        <f t="shared" si="116"/>
        <v>5.4904333065282692E-3</v>
      </c>
      <c r="K173" s="16"/>
      <c r="L173" s="16"/>
      <c r="M173" s="16"/>
      <c r="N173" s="16">
        <f t="shared" si="117"/>
        <v>298467</v>
      </c>
      <c r="O173" s="16">
        <f t="shared" si="137"/>
        <v>37945.792682926833</v>
      </c>
      <c r="P173" s="41"/>
      <c r="Q173" s="17">
        <f t="shared" si="118"/>
        <v>298467</v>
      </c>
      <c r="R173" s="16"/>
      <c r="S173" s="60">
        <f t="shared" si="119"/>
        <v>-1.1597216932863969E-2</v>
      </c>
      <c r="T173" s="16"/>
      <c r="U173" s="41"/>
      <c r="V173" s="10">
        <f t="shared" si="109"/>
        <v>65</v>
      </c>
      <c r="W173" s="34">
        <v>369</v>
      </c>
      <c r="X173" s="33"/>
      <c r="Y173" s="33"/>
      <c r="Z173" s="33"/>
      <c r="AA173" s="33">
        <f t="shared" si="120"/>
        <v>187270</v>
      </c>
      <c r="AB173" s="33"/>
      <c r="AC173" s="46">
        <f t="shared" si="121"/>
        <v>3.009267070644742E-2</v>
      </c>
      <c r="AD173" s="33"/>
      <c r="AE173" s="33">
        <f t="shared" si="122"/>
        <v>1141.8902439024391</v>
      </c>
      <c r="AF173" s="50"/>
      <c r="AG173" s="33">
        <f t="shared" si="123"/>
        <v>6651</v>
      </c>
      <c r="AH173" s="33">
        <f>SUM(D144:D279)</f>
        <v>460812900.35152841</v>
      </c>
      <c r="AI173" s="231">
        <f t="shared" si="124"/>
        <v>-3.6366270646189511E-2</v>
      </c>
      <c r="AJ173" s="50"/>
      <c r="AK173" s="10"/>
      <c r="AL173" s="23">
        <f t="shared" si="125"/>
        <v>16924</v>
      </c>
      <c r="AM173" s="24"/>
      <c r="AN173" s="24"/>
      <c r="AO173" s="24">
        <v>178263</v>
      </c>
      <c r="AP173" s="24">
        <v>3425723</v>
      </c>
      <c r="AQ173" s="24"/>
      <c r="AR173" s="504">
        <f t="shared" si="126"/>
        <v>4.9647984524754905E-3</v>
      </c>
      <c r="AS173" s="25"/>
      <c r="AT173" s="25"/>
      <c r="AU173" s="24"/>
      <c r="AV173" s="341">
        <f t="shared" si="127"/>
        <v>0.55048408271748372</v>
      </c>
      <c r="AW173" s="341"/>
      <c r="AX173" s="24">
        <f t="shared" si="128"/>
        <v>20888.554878048781</v>
      </c>
      <c r="AY173" s="351"/>
      <c r="AZ173" s="391"/>
      <c r="BA173" s="66">
        <f t="shared" si="129"/>
        <v>727682</v>
      </c>
      <c r="BB173" s="67"/>
      <c r="BC173" s="67">
        <v>81830079</v>
      </c>
      <c r="BD173" s="67"/>
      <c r="BE173" s="67">
        <f t="shared" si="130"/>
        <v>33981</v>
      </c>
      <c r="BF173" s="67"/>
      <c r="BG173" s="156">
        <f t="shared" si="131"/>
        <v>4.6697595927891578E-2</v>
      </c>
      <c r="BH173" s="67"/>
      <c r="BI173" s="183"/>
      <c r="BJ173" s="67"/>
      <c r="BK173" s="67">
        <f t="shared" si="132"/>
        <v>5670701</v>
      </c>
      <c r="BL173" s="67"/>
      <c r="BM173" s="156">
        <f t="shared" si="133"/>
        <v>5.2633175334054823E-2</v>
      </c>
      <c r="BN173" s="66">
        <f t="shared" si="134"/>
        <v>498963.89634146343</v>
      </c>
      <c r="BO173" s="67"/>
      <c r="BP173" s="67">
        <f t="shared" si="135"/>
        <v>5880463</v>
      </c>
      <c r="BQ173" s="67"/>
      <c r="BR173" s="478">
        <f t="shared" si="136"/>
        <v>7.1861876120148924E-2</v>
      </c>
      <c r="BS173" s="67"/>
      <c r="BT173" s="86"/>
      <c r="BU173" s="183"/>
      <c r="BV173" s="1"/>
      <c r="BW173" s="61">
        <f t="shared" si="53"/>
        <v>164</v>
      </c>
    </row>
    <row r="174" spans="2:75" x14ac:dyDescent="0.3">
      <c r="B174" s="171">
        <f t="shared" si="52"/>
        <v>44074</v>
      </c>
      <c r="C174" s="61"/>
      <c r="D174" s="17">
        <v>38560</v>
      </c>
      <c r="E174" s="16"/>
      <c r="F174" s="16"/>
      <c r="G174" s="16"/>
      <c r="H174" s="16">
        <f t="shared" si="115"/>
        <v>6261670</v>
      </c>
      <c r="I174" s="16"/>
      <c r="J174" s="479">
        <f t="shared" si="116"/>
        <v>6.1962587837913839E-3</v>
      </c>
      <c r="K174" s="16"/>
      <c r="L174" s="16"/>
      <c r="M174" s="16"/>
      <c r="N174" s="469">
        <f>SUM(D144:D174)</f>
        <v>1493931</v>
      </c>
      <c r="O174" s="16">
        <f t="shared" si="137"/>
        <v>37949.515151515152</v>
      </c>
      <c r="P174" s="41"/>
      <c r="Q174" s="17">
        <f t="shared" si="118"/>
        <v>295543</v>
      </c>
      <c r="R174" s="16"/>
      <c r="S174" s="60">
        <f t="shared" si="119"/>
        <v>-2.4098454304403962E-2</v>
      </c>
      <c r="T174" s="16"/>
      <c r="U174" s="41"/>
      <c r="V174" s="10">
        <f t="shared" si="109"/>
        <v>66</v>
      </c>
      <c r="W174" s="34">
        <v>512</v>
      </c>
      <c r="X174" s="33"/>
      <c r="Y174" s="33"/>
      <c r="Z174" s="33"/>
      <c r="AA174" s="33">
        <f t="shared" si="120"/>
        <v>187782</v>
      </c>
      <c r="AB174" s="33"/>
      <c r="AC174" s="46">
        <f t="shared" si="121"/>
        <v>2.9989124307093794E-2</v>
      </c>
      <c r="AD174" s="33"/>
      <c r="AE174" s="33">
        <f t="shared" si="122"/>
        <v>1138.0727272727272</v>
      </c>
      <c r="AF174" s="50"/>
      <c r="AG174" s="33">
        <f t="shared" si="123"/>
        <v>6653</v>
      </c>
      <c r="AH174" s="33">
        <f>SUM(D145:D280)</f>
        <v>460754359.35152841</v>
      </c>
      <c r="AI174" s="231">
        <f t="shared" si="124"/>
        <v>-2.4915726220137768E-2</v>
      </c>
      <c r="AJ174" s="50"/>
      <c r="AK174" s="10"/>
      <c r="AL174" s="23">
        <f t="shared" si="125"/>
        <v>30540</v>
      </c>
      <c r="AM174" s="24"/>
      <c r="AN174" s="24"/>
      <c r="AO174" s="24">
        <v>178263</v>
      </c>
      <c r="AP174" s="24">
        <v>3456263</v>
      </c>
      <c r="AQ174" s="24"/>
      <c r="AR174" s="504">
        <f t="shared" si="126"/>
        <v>8.9149064299711336E-3</v>
      </c>
      <c r="AS174" s="25"/>
      <c r="AT174" s="25"/>
      <c r="AU174" s="24"/>
      <c r="AV174" s="341">
        <f t="shared" si="127"/>
        <v>0.55197143892923128</v>
      </c>
      <c r="AW174" s="341"/>
      <c r="AX174" s="24">
        <f t="shared" si="128"/>
        <v>20947.048484848485</v>
      </c>
      <c r="AY174" s="351"/>
      <c r="AZ174" s="10"/>
      <c r="BA174" s="66">
        <f t="shared" si="129"/>
        <v>794762</v>
      </c>
      <c r="BB174" s="67"/>
      <c r="BC174" s="67">
        <v>82624841</v>
      </c>
      <c r="BD174" s="67"/>
      <c r="BE174" s="67">
        <f t="shared" si="130"/>
        <v>38560</v>
      </c>
      <c r="BF174" s="67"/>
      <c r="BG174" s="156">
        <f t="shared" si="131"/>
        <v>4.8517669440662742E-2</v>
      </c>
      <c r="BH174" s="67"/>
      <c r="BI174" s="183"/>
      <c r="BJ174" s="67"/>
      <c r="BK174" s="67">
        <f t="shared" si="132"/>
        <v>5741362</v>
      </c>
      <c r="BL174" s="67"/>
      <c r="BM174" s="156">
        <f t="shared" si="133"/>
        <v>5.147611315921205E-2</v>
      </c>
      <c r="BN174" s="66">
        <f t="shared" si="134"/>
        <v>500756.61212121212</v>
      </c>
      <c r="BO174" s="67"/>
      <c r="BP174" s="67">
        <f t="shared" si="135"/>
        <v>5919023</v>
      </c>
      <c r="BQ174" s="67"/>
      <c r="BR174" s="478">
        <f t="shared" si="136"/>
        <v>7.1637329988931533E-2</v>
      </c>
      <c r="BS174" s="67"/>
      <c r="BT174" s="86"/>
      <c r="BU174" s="183"/>
      <c r="BV174" s="1"/>
      <c r="BW174" s="61">
        <f t="shared" si="53"/>
        <v>165</v>
      </c>
    </row>
    <row r="175" spans="2:75" x14ac:dyDescent="0.3">
      <c r="B175" s="171">
        <f t="shared" si="52"/>
        <v>44075</v>
      </c>
      <c r="C175" s="61"/>
      <c r="D175" s="17">
        <v>41979</v>
      </c>
      <c r="E175" s="16"/>
      <c r="F175" s="16"/>
      <c r="G175" s="16"/>
      <c r="H175" s="16">
        <f t="shared" si="115"/>
        <v>6303649</v>
      </c>
      <c r="I175" s="16"/>
      <c r="J175" s="479">
        <f t="shared" si="116"/>
        <v>6.7041220632834374E-3</v>
      </c>
      <c r="K175" s="16"/>
      <c r="L175" s="16"/>
      <c r="M175" s="16"/>
      <c r="N175" s="16">
        <f t="shared" si="117"/>
        <v>297424</v>
      </c>
      <c r="O175" s="16">
        <f t="shared" si="137"/>
        <v>37973.789156626503</v>
      </c>
      <c r="P175" s="41"/>
      <c r="Q175" s="17">
        <f t="shared" si="118"/>
        <v>297424</v>
      </c>
      <c r="R175" s="16"/>
      <c r="S175" s="60">
        <f t="shared" si="119"/>
        <v>-5.0712517562052587E-3</v>
      </c>
      <c r="T175" s="16"/>
      <c r="U175" s="41"/>
      <c r="V175" s="10">
        <f t="shared" si="109"/>
        <v>67</v>
      </c>
      <c r="W175" s="34">
        <v>1164</v>
      </c>
      <c r="X175" s="33"/>
      <c r="Y175" s="33"/>
      <c r="Z175" s="33"/>
      <c r="AA175" s="33">
        <f t="shared" si="120"/>
        <v>188946</v>
      </c>
      <c r="AB175" s="33"/>
      <c r="AC175" s="46">
        <f t="shared" si="121"/>
        <v>2.9974067401278212E-2</v>
      </c>
      <c r="AD175" s="33"/>
      <c r="AE175" s="33">
        <f t="shared" si="122"/>
        <v>1138.2289156626507</v>
      </c>
      <c r="AF175" s="50"/>
      <c r="AG175" s="33">
        <f t="shared" si="123"/>
        <v>6527</v>
      </c>
      <c r="AH175" s="33">
        <f>SUM(D146:D281)</f>
        <v>460705321.35152841</v>
      </c>
      <c r="AI175" s="231">
        <f t="shared" si="124"/>
        <v>-3.3752775721687639E-2</v>
      </c>
      <c r="AJ175" s="50"/>
      <c r="AK175" s="10"/>
      <c r="AL175" s="23">
        <f t="shared" si="125"/>
        <v>40650</v>
      </c>
      <c r="AM175" s="24"/>
      <c r="AN175" s="24"/>
      <c r="AO175" s="24">
        <v>178263</v>
      </c>
      <c r="AP175" s="24">
        <v>3496913</v>
      </c>
      <c r="AQ175" s="24"/>
      <c r="AR175" s="504">
        <f t="shared" si="126"/>
        <v>1.1761257751507916E-2</v>
      </c>
      <c r="AS175" s="25"/>
      <c r="AT175" s="25"/>
      <c r="AU175" s="24"/>
      <c r="AV175" s="341">
        <f t="shared" si="127"/>
        <v>0.55474424416714829</v>
      </c>
      <c r="AW175" s="341"/>
      <c r="AX175" s="24">
        <f t="shared" si="128"/>
        <v>21065.74096385542</v>
      </c>
      <c r="AY175" s="351"/>
      <c r="AZ175" s="10"/>
      <c r="BA175" s="66">
        <f t="shared" si="129"/>
        <v>725278</v>
      </c>
      <c r="BB175" s="67"/>
      <c r="BC175" s="67">
        <v>83350119</v>
      </c>
      <c r="BD175" s="67"/>
      <c r="BE175" s="67">
        <f t="shared" si="130"/>
        <v>41979</v>
      </c>
      <c r="BF175" s="67"/>
      <c r="BG175" s="156">
        <f t="shared" si="131"/>
        <v>5.7879875027230937E-2</v>
      </c>
      <c r="BH175" s="67"/>
      <c r="BI175" s="183"/>
      <c r="BJ175" s="67"/>
      <c r="BK175" s="67">
        <f t="shared" si="132"/>
        <v>5418712</v>
      </c>
      <c r="BL175" s="67"/>
      <c r="BM175" s="156">
        <f t="shared" si="133"/>
        <v>5.4888320324091779E-2</v>
      </c>
      <c r="BN175" s="66">
        <f t="shared" si="134"/>
        <v>502109.15060240962</v>
      </c>
      <c r="BO175" s="67"/>
      <c r="BP175" s="67">
        <f t="shared" si="135"/>
        <v>5961002</v>
      </c>
      <c r="BQ175" s="67"/>
      <c r="BR175" s="478">
        <f t="shared" si="136"/>
        <v>7.1517618349171169E-2</v>
      </c>
      <c r="BS175" s="67"/>
      <c r="BT175" s="86"/>
      <c r="BU175" s="183"/>
      <c r="BV175" s="1"/>
      <c r="BW175" s="61">
        <f t="shared" si="53"/>
        <v>166</v>
      </c>
    </row>
    <row r="176" spans="2:75" x14ac:dyDescent="0.3">
      <c r="B176" s="171">
        <f t="shared" si="52"/>
        <v>44076</v>
      </c>
      <c r="C176" s="61"/>
      <c r="D176" s="17">
        <v>41211</v>
      </c>
      <c r="E176" s="16"/>
      <c r="F176" s="16"/>
      <c r="G176" s="16"/>
      <c r="H176" s="16">
        <f t="shared" si="115"/>
        <v>6344860</v>
      </c>
      <c r="I176" s="16"/>
      <c r="J176" s="479">
        <f t="shared" si="116"/>
        <v>6.537641927715201E-3</v>
      </c>
      <c r="K176" s="16"/>
      <c r="L176" s="16"/>
      <c r="M176" s="16"/>
      <c r="N176" s="16">
        <f t="shared" si="117"/>
        <v>293998</v>
      </c>
      <c r="O176" s="16">
        <f t="shared" si="137"/>
        <v>37993.173652694612</v>
      </c>
      <c r="P176" s="41"/>
      <c r="Q176" s="17">
        <f t="shared" si="118"/>
        <v>293998</v>
      </c>
      <c r="R176" s="16"/>
      <c r="S176" s="60">
        <f t="shared" si="119"/>
        <v>-1.5425111518934777E-2</v>
      </c>
      <c r="T176" s="16"/>
      <c r="U176" s="41"/>
      <c r="V176" s="10">
        <f t="shared" si="109"/>
        <v>68</v>
      </c>
      <c r="W176" s="34">
        <v>1090</v>
      </c>
      <c r="X176" s="33"/>
      <c r="Y176" s="33"/>
      <c r="Z176" s="33"/>
      <c r="AA176" s="33">
        <f t="shared" si="120"/>
        <v>190036</v>
      </c>
      <c r="AB176" s="33"/>
      <c r="AC176" s="46">
        <f t="shared" si="121"/>
        <v>2.9951173075528852E-2</v>
      </c>
      <c r="AD176" s="33"/>
      <c r="AE176" s="33">
        <f t="shared" si="122"/>
        <v>1137.9401197604791</v>
      </c>
      <c r="AF176" s="50"/>
      <c r="AG176" s="33">
        <f t="shared" si="123"/>
        <v>6337</v>
      </c>
      <c r="AH176" s="33">
        <f>SUM(D147:D282)</f>
        <v>460656675.35152841</v>
      </c>
      <c r="AI176" s="231">
        <f t="shared" si="124"/>
        <v>-6.1324248259517107E-2</v>
      </c>
      <c r="AJ176" s="50"/>
      <c r="AK176" s="10"/>
      <c r="AL176" s="23">
        <f t="shared" si="125"/>
        <v>50119</v>
      </c>
      <c r="AM176" s="24"/>
      <c r="AN176" s="24"/>
      <c r="AO176" s="24">
        <v>178263</v>
      </c>
      <c r="AP176" s="24">
        <v>3547032</v>
      </c>
      <c r="AQ176" s="24"/>
      <c r="AR176" s="504">
        <f t="shared" si="126"/>
        <v>1.4332355423197546E-2</v>
      </c>
      <c r="AS176" s="25"/>
      <c r="AT176" s="25"/>
      <c r="AU176" s="24"/>
      <c r="AV176" s="341">
        <f t="shared" si="127"/>
        <v>0.55904023099012434</v>
      </c>
      <c r="AW176" s="341"/>
      <c r="AX176" s="24">
        <f t="shared" si="128"/>
        <v>21239.712574850299</v>
      </c>
      <c r="AY176" s="351"/>
      <c r="AZ176" s="10"/>
      <c r="BA176" s="66">
        <f t="shared" si="129"/>
        <v>748292</v>
      </c>
      <c r="BB176" s="67"/>
      <c r="BC176" s="67">
        <v>84098411</v>
      </c>
      <c r="BD176" s="67"/>
      <c r="BE176" s="67">
        <f t="shared" si="130"/>
        <v>41211</v>
      </c>
      <c r="BF176" s="67"/>
      <c r="BG176" s="156">
        <f t="shared" si="131"/>
        <v>5.5073420536368156E-2</v>
      </c>
      <c r="BH176" s="67"/>
      <c r="BI176" s="183"/>
      <c r="BJ176" s="67"/>
      <c r="BK176" s="67">
        <f t="shared" si="132"/>
        <v>5465845</v>
      </c>
      <c r="BL176" s="67"/>
      <c r="BM176" s="156">
        <f t="shared" si="133"/>
        <v>5.3788206581050137E-2</v>
      </c>
      <c r="BN176" s="66">
        <f t="shared" si="134"/>
        <v>503583.29940119758</v>
      </c>
      <c r="BO176" s="67"/>
      <c r="BP176" s="67">
        <f t="shared" si="135"/>
        <v>6002213</v>
      </c>
      <c r="BQ176" s="67"/>
      <c r="BR176" s="478">
        <f t="shared" si="136"/>
        <v>7.137130093932452E-2</v>
      </c>
      <c r="BS176" s="67"/>
      <c r="BT176" s="86"/>
      <c r="BU176" s="183"/>
      <c r="BV176" s="1"/>
      <c r="BW176" s="61">
        <f t="shared" si="53"/>
        <v>167</v>
      </c>
    </row>
    <row r="177" spans="2:75" x14ac:dyDescent="0.3">
      <c r="B177" s="171">
        <f t="shared" si="52"/>
        <v>44077</v>
      </c>
      <c r="C177" s="61"/>
      <c r="D177" s="17">
        <v>45464</v>
      </c>
      <c r="E177" s="16"/>
      <c r="F177" s="16"/>
      <c r="G177" s="16"/>
      <c r="H177" s="16">
        <f t="shared" si="115"/>
        <v>6390324</v>
      </c>
      <c r="I177" s="16"/>
      <c r="J177" s="479">
        <f t="shared" si="116"/>
        <v>7.1654851328476913E-3</v>
      </c>
      <c r="K177" s="16"/>
      <c r="L177" s="16"/>
      <c r="M177" s="16"/>
      <c r="N177" s="16">
        <f t="shared" si="117"/>
        <v>293456</v>
      </c>
      <c r="O177" s="16">
        <f t="shared" si="137"/>
        <v>38037.642857142855</v>
      </c>
      <c r="P177" s="41"/>
      <c r="Q177" s="17">
        <f t="shared" si="118"/>
        <v>293456</v>
      </c>
      <c r="R177" s="16"/>
      <c r="S177" s="60">
        <f t="shared" si="119"/>
        <v>-1.937156853899543E-2</v>
      </c>
      <c r="T177" s="16"/>
      <c r="U177" s="41"/>
      <c r="V177" s="10">
        <f t="shared" si="109"/>
        <v>69</v>
      </c>
      <c r="W177" s="34">
        <v>1114</v>
      </c>
      <c r="X177" s="33"/>
      <c r="Y177" s="33"/>
      <c r="Z177" s="33"/>
      <c r="AA177" s="33">
        <f t="shared" si="120"/>
        <v>191150</v>
      </c>
      <c r="AB177" s="33"/>
      <c r="AC177" s="46">
        <f t="shared" si="121"/>
        <v>2.9912411326874819E-2</v>
      </c>
      <c r="AD177" s="33"/>
      <c r="AE177" s="33">
        <f t="shared" si="122"/>
        <v>1137.797619047619</v>
      </c>
      <c r="AF177" s="50"/>
      <c r="AG177" s="33">
        <f t="shared" si="123"/>
        <v>6308</v>
      </c>
      <c r="AH177" s="33">
        <f>SUM(D148:D283)</f>
        <v>460602111.35152841</v>
      </c>
      <c r="AI177" s="231">
        <f t="shared" si="124"/>
        <v>-7.1943504487273796E-2</v>
      </c>
      <c r="AJ177" s="50"/>
      <c r="AK177" s="10"/>
      <c r="AL177" s="23">
        <f t="shared" si="125"/>
        <v>28064</v>
      </c>
      <c r="AM177" s="24"/>
      <c r="AN177" s="24"/>
      <c r="AO177" s="24">
        <v>178263</v>
      </c>
      <c r="AP177" s="24">
        <v>3575096</v>
      </c>
      <c r="AQ177" s="24"/>
      <c r="AR177" s="504">
        <f t="shared" si="126"/>
        <v>7.9119669628015758E-3</v>
      </c>
      <c r="AS177" s="25"/>
      <c r="AT177" s="25"/>
      <c r="AU177" s="24"/>
      <c r="AV177" s="341">
        <f t="shared" si="127"/>
        <v>0.55945457538616195</v>
      </c>
      <c r="AW177" s="341"/>
      <c r="AX177" s="24">
        <f t="shared" si="128"/>
        <v>21280.333333333332</v>
      </c>
      <c r="AY177" s="351"/>
      <c r="AZ177" s="10"/>
      <c r="BA177" s="66">
        <f t="shared" si="129"/>
        <v>783118</v>
      </c>
      <c r="BB177" s="67"/>
      <c r="BC177" s="67">
        <v>84881529</v>
      </c>
      <c r="BD177" s="67"/>
      <c r="BE177" s="67">
        <f t="shared" si="130"/>
        <v>45464</v>
      </c>
      <c r="BF177" s="67"/>
      <c r="BG177" s="156">
        <f t="shared" si="131"/>
        <v>5.8055107914771462E-2</v>
      </c>
      <c r="BH177" s="67"/>
      <c r="BI177" s="183"/>
      <c r="BJ177" s="67"/>
      <c r="BK177" s="67">
        <f t="shared" si="132"/>
        <v>5409043</v>
      </c>
      <c r="BL177" s="67"/>
      <c r="BM177" s="156">
        <f t="shared" si="133"/>
        <v>5.4252850273144436E-2</v>
      </c>
      <c r="BN177" s="66">
        <f t="shared" si="134"/>
        <v>505247.19642857142</v>
      </c>
      <c r="BO177" s="67"/>
      <c r="BP177" s="67">
        <f t="shared" si="135"/>
        <v>6047677</v>
      </c>
      <c r="BQ177" s="67"/>
      <c r="BR177" s="478">
        <f t="shared" si="136"/>
        <v>7.1248445583490846E-2</v>
      </c>
      <c r="BS177" s="67"/>
      <c r="BT177" s="86"/>
      <c r="BU177" s="183"/>
      <c r="BV177" s="1"/>
      <c r="BW177" s="61">
        <f t="shared" si="53"/>
        <v>168</v>
      </c>
    </row>
    <row r="178" spans="2:75" x14ac:dyDescent="0.3">
      <c r="B178" s="171">
        <f t="shared" si="52"/>
        <v>44078</v>
      </c>
      <c r="C178" s="61"/>
      <c r="D178" s="17">
        <v>52849</v>
      </c>
      <c r="E178" s="16"/>
      <c r="F178" s="16"/>
      <c r="G178" s="16"/>
      <c r="H178" s="16">
        <f t="shared" si="115"/>
        <v>6443173</v>
      </c>
      <c r="I178" s="16"/>
      <c r="J178" s="479">
        <f t="shared" si="116"/>
        <v>8.2701596976929494E-3</v>
      </c>
      <c r="K178" s="16"/>
      <c r="L178" s="16"/>
      <c r="M178" s="16"/>
      <c r="N178" s="16">
        <f t="shared" si="117"/>
        <v>296704</v>
      </c>
      <c r="O178" s="16">
        <f t="shared" si="137"/>
        <v>38125.284023668639</v>
      </c>
      <c r="P178" s="41"/>
      <c r="Q178" s="17">
        <f t="shared" si="118"/>
        <v>296704</v>
      </c>
      <c r="R178" s="16"/>
      <c r="S178" s="60">
        <f t="shared" si="119"/>
        <v>-5.5936696685021771E-3</v>
      </c>
      <c r="T178" s="16"/>
      <c r="U178" s="41"/>
      <c r="V178" s="10">
        <f t="shared" si="109"/>
        <v>70</v>
      </c>
      <c r="W178" s="34">
        <v>1033</v>
      </c>
      <c r="X178" s="33"/>
      <c r="Y178" s="33"/>
      <c r="Z178" s="33"/>
      <c r="AA178" s="33">
        <f t="shared" si="120"/>
        <v>192183</v>
      </c>
      <c r="AB178" s="33"/>
      <c r="AC178" s="46">
        <f t="shared" si="121"/>
        <v>2.9827384737302568E-2</v>
      </c>
      <c r="AD178" s="33"/>
      <c r="AE178" s="33">
        <f t="shared" si="122"/>
        <v>1137.1775147928995</v>
      </c>
      <c r="AF178" s="50"/>
      <c r="AG178" s="33">
        <f t="shared" si="123"/>
        <v>6236</v>
      </c>
      <c r="AH178" s="33">
        <f>SUM(D149:D284)</f>
        <v>460546963.35152841</v>
      </c>
      <c r="AI178" s="231">
        <f t="shared" si="124"/>
        <v>-7.3677956030897204E-2</v>
      </c>
      <c r="AJ178" s="50"/>
      <c r="AK178" s="10"/>
      <c r="AL178" s="23">
        <f t="shared" si="125"/>
        <v>101473</v>
      </c>
      <c r="AM178" s="24"/>
      <c r="AN178" s="24"/>
      <c r="AO178" s="24">
        <v>178263</v>
      </c>
      <c r="AP178" s="24">
        <v>3676569</v>
      </c>
      <c r="AQ178" s="24"/>
      <c r="AR178" s="504">
        <f t="shared" si="126"/>
        <v>2.8383293763300343E-2</v>
      </c>
      <c r="AS178" s="25"/>
      <c r="AT178" s="25"/>
      <c r="AU178" s="24"/>
      <c r="AV178" s="341">
        <f t="shared" si="127"/>
        <v>0.5706146645449377</v>
      </c>
      <c r="AW178" s="341"/>
      <c r="AX178" s="24">
        <f t="shared" si="128"/>
        <v>21754.846153846152</v>
      </c>
      <c r="AY178" s="351"/>
      <c r="AZ178" s="10"/>
      <c r="BA178" s="66">
        <f t="shared" si="129"/>
        <v>1014188</v>
      </c>
      <c r="BB178" s="67"/>
      <c r="BC178" s="67">
        <v>85895717</v>
      </c>
      <c r="BD178" s="67"/>
      <c r="BE178" s="67">
        <f t="shared" si="130"/>
        <v>52849</v>
      </c>
      <c r="BF178" s="67"/>
      <c r="BG178" s="156">
        <f t="shared" si="131"/>
        <v>5.2109668029990494E-2</v>
      </c>
      <c r="BH178" s="67"/>
      <c r="BI178" s="183"/>
      <c r="BJ178" s="67"/>
      <c r="BK178" s="67">
        <f t="shared" si="132"/>
        <v>5596047</v>
      </c>
      <c r="BL178" s="67"/>
      <c r="BM178" s="156">
        <f t="shared" si="133"/>
        <v>5.3020283782462874E-2</v>
      </c>
      <c r="BN178" s="66">
        <f t="shared" si="134"/>
        <v>508258.68047337281</v>
      </c>
      <c r="BO178" s="67"/>
      <c r="BP178" s="67">
        <f t="shared" si="135"/>
        <v>6100526</v>
      </c>
      <c r="BQ178" s="67"/>
      <c r="BR178" s="478">
        <f t="shared" si="136"/>
        <v>7.1022470189054943E-2</v>
      </c>
      <c r="BS178" s="67"/>
      <c r="BT178" s="86"/>
      <c r="BU178" s="183"/>
      <c r="BV178" s="1"/>
      <c r="BW178" s="61">
        <f t="shared" si="53"/>
        <v>169</v>
      </c>
    </row>
    <row r="179" spans="2:75" x14ac:dyDescent="0.3">
      <c r="B179" s="171">
        <f t="shared" si="52"/>
        <v>44079</v>
      </c>
      <c r="C179" s="61"/>
      <c r="D179" s="17">
        <v>42092</v>
      </c>
      <c r="E179" s="16"/>
      <c r="F179" s="16"/>
      <c r="G179" s="16"/>
      <c r="H179" s="16">
        <f t="shared" si="115"/>
        <v>6485265</v>
      </c>
      <c r="I179" s="16"/>
      <c r="J179" s="479">
        <f t="shared" si="116"/>
        <v>6.5328061189727487E-3</v>
      </c>
      <c r="K179" s="16"/>
      <c r="L179" s="16"/>
      <c r="M179" s="16"/>
      <c r="N179" s="16">
        <f t="shared" si="117"/>
        <v>296136</v>
      </c>
      <c r="O179" s="16">
        <f t="shared" si="137"/>
        <v>38148.617647058825</v>
      </c>
      <c r="P179" s="41"/>
      <c r="Q179" s="17">
        <f t="shared" si="118"/>
        <v>296136</v>
      </c>
      <c r="R179" s="16"/>
      <c r="S179" s="60">
        <f t="shared" si="119"/>
        <v>-3.5934913392821092E-3</v>
      </c>
      <c r="T179" s="16"/>
      <c r="U179" s="41"/>
      <c r="V179" s="10">
        <f t="shared" si="109"/>
        <v>71</v>
      </c>
      <c r="W179" s="34">
        <v>707</v>
      </c>
      <c r="X179" s="33"/>
      <c r="Y179" s="33"/>
      <c r="Z179" s="33"/>
      <c r="AA179" s="33">
        <f t="shared" si="120"/>
        <v>192890</v>
      </c>
      <c r="AB179" s="33"/>
      <c r="AC179" s="46">
        <f t="shared" si="121"/>
        <v>2.9742809276105141E-2</v>
      </c>
      <c r="AD179" s="33"/>
      <c r="AE179" s="33">
        <f t="shared" si="122"/>
        <v>1134.6470588235295</v>
      </c>
      <c r="AF179" s="50"/>
      <c r="AG179" s="33">
        <f t="shared" si="123"/>
        <v>5989</v>
      </c>
      <c r="AH179" s="33">
        <f>SUM(D150:D285)</f>
        <v>460488253.35152841</v>
      </c>
      <c r="AI179" s="231">
        <f t="shared" si="124"/>
        <v>-0.10771752085816448</v>
      </c>
      <c r="AJ179" s="50"/>
      <c r="AK179" s="10"/>
      <c r="AL179" s="23">
        <f t="shared" si="125"/>
        <v>30431</v>
      </c>
      <c r="AM179" s="24"/>
      <c r="AN179" s="24"/>
      <c r="AO179" s="24">
        <v>178263</v>
      </c>
      <c r="AP179" s="24">
        <v>3707000</v>
      </c>
      <c r="AQ179" s="24"/>
      <c r="AR179" s="504">
        <f t="shared" si="126"/>
        <v>8.2770104409845158E-3</v>
      </c>
      <c r="AS179" s="25"/>
      <c r="AT179" s="25"/>
      <c r="AU179" s="24"/>
      <c r="AV179" s="341">
        <f t="shared" si="127"/>
        <v>0.57160347341242035</v>
      </c>
      <c r="AW179" s="341"/>
      <c r="AX179" s="24">
        <f t="shared" si="128"/>
        <v>21805.882352941175</v>
      </c>
      <c r="AY179" s="351"/>
      <c r="AZ179" s="10"/>
      <c r="BA179" s="66">
        <f t="shared" si="129"/>
        <v>863485</v>
      </c>
      <c r="BB179" s="67"/>
      <c r="BC179" s="67">
        <v>86759202</v>
      </c>
      <c r="BD179" s="67"/>
      <c r="BE179" s="67">
        <f t="shared" si="130"/>
        <v>42092</v>
      </c>
      <c r="BF179" s="67"/>
      <c r="BG179" s="156">
        <f t="shared" si="131"/>
        <v>4.8746648754755435E-2</v>
      </c>
      <c r="BH179" s="67"/>
      <c r="BI179" s="183"/>
      <c r="BJ179" s="67"/>
      <c r="BK179" s="67">
        <f t="shared" si="132"/>
        <v>5656805</v>
      </c>
      <c r="BL179" s="67"/>
      <c r="BM179" s="156">
        <f t="shared" si="133"/>
        <v>5.2350399209447736E-2</v>
      </c>
      <c r="BN179" s="66">
        <f t="shared" si="134"/>
        <v>510348.24705882353</v>
      </c>
      <c r="BO179" s="67"/>
      <c r="BP179" s="67">
        <f t="shared" si="135"/>
        <v>6142618</v>
      </c>
      <c r="BQ179" s="67"/>
      <c r="BR179" s="478">
        <f t="shared" si="136"/>
        <v>7.0800766470858048E-2</v>
      </c>
      <c r="BS179" s="67"/>
      <c r="BT179" s="86"/>
      <c r="BU179" s="183"/>
      <c r="BV179" s="1"/>
      <c r="BW179" s="61">
        <f t="shared" si="53"/>
        <v>170</v>
      </c>
    </row>
    <row r="180" spans="2:75" x14ac:dyDescent="0.3">
      <c r="B180" s="390">
        <f t="shared" si="52"/>
        <v>44080</v>
      </c>
      <c r="C180" s="61"/>
      <c r="D180" s="17">
        <v>31110</v>
      </c>
      <c r="E180" s="16"/>
      <c r="F180" s="16"/>
      <c r="G180" s="16"/>
      <c r="H180" s="16">
        <f t="shared" si="115"/>
        <v>6516375</v>
      </c>
      <c r="I180" s="16"/>
      <c r="J180" s="479">
        <f t="shared" si="116"/>
        <v>4.7970283403993511E-3</v>
      </c>
      <c r="K180" s="16"/>
      <c r="L180" s="16"/>
      <c r="M180" s="16"/>
      <c r="N180" s="16">
        <f t="shared" si="117"/>
        <v>293265</v>
      </c>
      <c r="O180" s="16">
        <f t="shared" si="137"/>
        <v>38107.456140350878</v>
      </c>
      <c r="P180" s="41"/>
      <c r="Q180" s="17">
        <f t="shared" si="118"/>
        <v>293265</v>
      </c>
      <c r="R180" s="16"/>
      <c r="S180" s="60">
        <f t="shared" si="119"/>
        <v>-1.7429062509423152E-2</v>
      </c>
      <c r="T180" s="16"/>
      <c r="U180" s="41"/>
      <c r="V180" s="10">
        <f t="shared" si="109"/>
        <v>72</v>
      </c>
      <c r="W180" s="34">
        <v>430</v>
      </c>
      <c r="X180" s="33"/>
      <c r="Y180" s="33"/>
      <c r="Z180" s="33"/>
      <c r="AA180" s="33">
        <f t="shared" si="120"/>
        <v>193320</v>
      </c>
      <c r="AB180" s="33"/>
      <c r="AC180" s="46">
        <f t="shared" si="121"/>
        <v>2.9666800943776255E-2</v>
      </c>
      <c r="AD180" s="33"/>
      <c r="AE180" s="33">
        <f t="shared" si="122"/>
        <v>1130.5263157894738</v>
      </c>
      <c r="AF180" s="50"/>
      <c r="AG180" s="33">
        <f t="shared" si="123"/>
        <v>6050</v>
      </c>
      <c r="AH180" s="33">
        <f>SUM(D151:D286)</f>
        <v>460425007.35152841</v>
      </c>
      <c r="AI180" s="231">
        <f t="shared" si="124"/>
        <v>-9.0362351526086307E-2</v>
      </c>
      <c r="AJ180" s="50"/>
      <c r="AK180" s="10"/>
      <c r="AL180" s="23">
        <f t="shared" si="125"/>
        <v>18970</v>
      </c>
      <c r="AM180" s="24"/>
      <c r="AN180" s="24"/>
      <c r="AO180" s="24">
        <v>178263</v>
      </c>
      <c r="AP180" s="24">
        <v>3725970</v>
      </c>
      <c r="AQ180" s="24"/>
      <c r="AR180" s="504">
        <f t="shared" si="126"/>
        <v>5.1173455624494201E-3</v>
      </c>
      <c r="AS180" s="25"/>
      <c r="AT180" s="25"/>
      <c r="AU180" s="24"/>
      <c r="AV180" s="341">
        <f t="shared" si="127"/>
        <v>0.57178569373309551</v>
      </c>
      <c r="AW180" s="341"/>
      <c r="AX180" s="24">
        <f t="shared" si="128"/>
        <v>21789.298245614034</v>
      </c>
      <c r="AY180" s="351"/>
      <c r="AZ180" s="391"/>
      <c r="BA180" s="66">
        <f t="shared" si="129"/>
        <v>715717</v>
      </c>
      <c r="BB180" s="67"/>
      <c r="BC180" s="67">
        <v>87474919</v>
      </c>
      <c r="BD180" s="67"/>
      <c r="BE180" s="67">
        <f t="shared" si="130"/>
        <v>31110</v>
      </c>
      <c r="BF180" s="67"/>
      <c r="BG180" s="156">
        <f t="shared" si="131"/>
        <v>4.3466901023728653E-2</v>
      </c>
      <c r="BH180" s="67"/>
      <c r="BI180" s="183"/>
      <c r="BJ180" s="67"/>
      <c r="BK180" s="67">
        <f t="shared" si="132"/>
        <v>5644840</v>
      </c>
      <c r="BL180" s="67"/>
      <c r="BM180" s="156">
        <f t="shared" si="133"/>
        <v>5.1952756854047238E-2</v>
      </c>
      <c r="BN180" s="66">
        <f t="shared" si="134"/>
        <v>511549.23391812865</v>
      </c>
      <c r="BO180" s="67"/>
      <c r="BP180" s="67">
        <f t="shared" si="135"/>
        <v>6173728</v>
      </c>
      <c r="BQ180" s="67"/>
      <c r="BR180" s="478">
        <f t="shared" si="136"/>
        <v>7.0577121654722533E-2</v>
      </c>
      <c r="BS180" s="67"/>
      <c r="BT180" s="86"/>
      <c r="BU180" s="183"/>
      <c r="BV180" s="1"/>
      <c r="BW180" s="61">
        <f t="shared" si="53"/>
        <v>171</v>
      </c>
    </row>
    <row r="181" spans="2:75" x14ac:dyDescent="0.3">
      <c r="B181" s="171">
        <f t="shared" si="52"/>
        <v>44081</v>
      </c>
      <c r="C181" s="61"/>
      <c r="D181" s="17">
        <v>25420</v>
      </c>
      <c r="E181" s="16"/>
      <c r="F181" s="16"/>
      <c r="G181" s="16"/>
      <c r="H181" s="16">
        <f t="shared" si="115"/>
        <v>6541795</v>
      </c>
      <c r="I181" s="16"/>
      <c r="J181" s="479">
        <f t="shared" si="116"/>
        <v>3.9009418580115479E-3</v>
      </c>
      <c r="K181" s="16"/>
      <c r="L181" s="16"/>
      <c r="M181" s="16"/>
      <c r="N181" s="16">
        <f t="shared" si="117"/>
        <v>280125</v>
      </c>
      <c r="O181" s="16">
        <f t="shared" si="137"/>
        <v>38033.691860465115</v>
      </c>
      <c r="P181" s="41"/>
      <c r="Q181" s="17">
        <f t="shared" si="118"/>
        <v>280125</v>
      </c>
      <c r="R181" s="16"/>
      <c r="S181" s="60">
        <f t="shared" si="119"/>
        <v>-5.21683815891427E-2</v>
      </c>
      <c r="T181" s="16"/>
      <c r="U181" s="41"/>
      <c r="V181" s="10">
        <f t="shared" si="109"/>
        <v>73</v>
      </c>
      <c r="W181" s="34">
        <v>286</v>
      </c>
      <c r="X181" s="33"/>
      <c r="Y181" s="33"/>
      <c r="Z181" s="33"/>
      <c r="AA181" s="33">
        <f t="shared" si="120"/>
        <v>193606</v>
      </c>
      <c r="AB181" s="33"/>
      <c r="AC181" s="46">
        <f t="shared" si="121"/>
        <v>2.9595241061512935E-2</v>
      </c>
      <c r="AD181" s="33"/>
      <c r="AE181" s="33">
        <f t="shared" si="122"/>
        <v>1125.6162790697674</v>
      </c>
      <c r="AF181" s="50"/>
      <c r="AG181" s="33">
        <f t="shared" si="123"/>
        <v>5824</v>
      </c>
      <c r="AH181" s="33">
        <f>SUM(D152:D287)</f>
        <v>460370808.35152841</v>
      </c>
      <c r="AI181" s="231">
        <f t="shared" si="124"/>
        <v>-0.12460544115436645</v>
      </c>
      <c r="AJ181" s="50"/>
      <c r="AK181" s="10"/>
      <c r="AL181" s="23">
        <f t="shared" si="125"/>
        <v>32659</v>
      </c>
      <c r="AM181" s="24"/>
      <c r="AN181" s="24"/>
      <c r="AO181" s="24">
        <v>178263</v>
      </c>
      <c r="AP181" s="24">
        <v>3758629</v>
      </c>
      <c r="AQ181" s="24"/>
      <c r="AR181" s="504">
        <f t="shared" si="126"/>
        <v>8.7652342879840691E-3</v>
      </c>
      <c r="AS181" s="25"/>
      <c r="AT181" s="25"/>
      <c r="AU181" s="24"/>
      <c r="AV181" s="341">
        <f t="shared" si="127"/>
        <v>0.57455621889710695</v>
      </c>
      <c r="AW181" s="341"/>
      <c r="AX181" s="24">
        <f t="shared" si="128"/>
        <v>21852.494186046511</v>
      </c>
      <c r="AY181" s="351"/>
      <c r="AZ181" s="10"/>
      <c r="BA181" s="66">
        <f t="shared" si="129"/>
        <v>592931</v>
      </c>
      <c r="BB181" s="67"/>
      <c r="BC181" s="67">
        <v>88067850</v>
      </c>
      <c r="BD181" s="67"/>
      <c r="BE181" s="67">
        <f t="shared" si="130"/>
        <v>25420</v>
      </c>
      <c r="BF181" s="67"/>
      <c r="BG181" s="156">
        <f t="shared" si="131"/>
        <v>4.2871767541248475E-2</v>
      </c>
      <c r="BH181" s="67"/>
      <c r="BI181" s="183"/>
      <c r="BJ181" s="67"/>
      <c r="BK181" s="67">
        <f t="shared" si="132"/>
        <v>5443009</v>
      </c>
      <c r="BL181" s="67"/>
      <c r="BM181" s="156">
        <f t="shared" si="133"/>
        <v>5.1465099543285708E-2</v>
      </c>
      <c r="BN181" s="66">
        <f t="shared" si="134"/>
        <v>512022.38372093026</v>
      </c>
      <c r="BO181" s="67"/>
      <c r="BP181" s="67">
        <f t="shared" si="135"/>
        <v>6199148</v>
      </c>
      <c r="BQ181" s="67"/>
      <c r="BR181" s="478">
        <f t="shared" si="136"/>
        <v>7.0390590891000512E-2</v>
      </c>
      <c r="BS181" s="67"/>
      <c r="BT181" s="86"/>
      <c r="BU181" s="183"/>
      <c r="BV181" s="1"/>
      <c r="BW181" s="61">
        <f t="shared" si="53"/>
        <v>172</v>
      </c>
    </row>
    <row r="182" spans="2:75" x14ac:dyDescent="0.3">
      <c r="B182" s="171">
        <f t="shared" si="52"/>
        <v>44082</v>
      </c>
      <c r="C182" s="61"/>
      <c r="D182" s="17">
        <v>28439</v>
      </c>
      <c r="E182" s="16"/>
      <c r="F182" s="16"/>
      <c r="G182" s="16"/>
      <c r="H182" s="16">
        <f t="shared" si="115"/>
        <v>6570234</v>
      </c>
      <c r="I182" s="16"/>
      <c r="J182" s="479">
        <f t="shared" si="116"/>
        <v>4.3472777731494187E-3</v>
      </c>
      <c r="K182" s="16"/>
      <c r="L182" s="16"/>
      <c r="M182" s="16"/>
      <c r="N182" s="16">
        <f t="shared" si="117"/>
        <v>266585</v>
      </c>
      <c r="O182" s="16">
        <f t="shared" si="137"/>
        <v>37978.23121387283</v>
      </c>
      <c r="P182" s="41"/>
      <c r="Q182" s="17">
        <f t="shared" si="118"/>
        <v>266585</v>
      </c>
      <c r="R182" s="16"/>
      <c r="S182" s="60">
        <f t="shared" si="119"/>
        <v>-0.1036869923072785</v>
      </c>
      <c r="T182" s="16"/>
      <c r="U182" s="41"/>
      <c r="V182" s="10">
        <f t="shared" si="109"/>
        <v>74</v>
      </c>
      <c r="W182" s="34">
        <v>496</v>
      </c>
      <c r="X182" s="33"/>
      <c r="Y182" s="33"/>
      <c r="Z182" s="33"/>
      <c r="AA182" s="33">
        <f t="shared" si="120"/>
        <v>194102</v>
      </c>
      <c r="AB182" s="33"/>
      <c r="AC182" s="46">
        <f t="shared" si="121"/>
        <v>2.9542631206133603E-2</v>
      </c>
      <c r="AD182" s="33"/>
      <c r="AE182" s="33">
        <f t="shared" si="122"/>
        <v>1121.9768786127167</v>
      </c>
      <c r="AF182" s="50"/>
      <c r="AG182" s="33">
        <f t="shared" si="123"/>
        <v>5156</v>
      </c>
      <c r="AH182" s="33">
        <f>SUM(D153:D288)</f>
        <v>460322959.35152841</v>
      </c>
      <c r="AI182" s="231">
        <f t="shared" si="124"/>
        <v>-0.21005055921556612</v>
      </c>
      <c r="AJ182" s="50"/>
      <c r="AK182" s="10"/>
      <c r="AL182" s="23">
        <f t="shared" si="125"/>
        <v>38131</v>
      </c>
      <c r="AM182" s="24"/>
      <c r="AN182" s="24"/>
      <c r="AO182" s="24">
        <v>178263</v>
      </c>
      <c r="AP182" s="24">
        <v>3796760</v>
      </c>
      <c r="AQ182" s="24"/>
      <c r="AR182" s="504">
        <f t="shared" si="126"/>
        <v>1.0144922523611669E-2</v>
      </c>
      <c r="AS182" s="25"/>
      <c r="AT182" s="25"/>
      <c r="AU182" s="24"/>
      <c r="AV182" s="341">
        <f t="shared" si="127"/>
        <v>0.57787287332536408</v>
      </c>
      <c r="AW182" s="341"/>
      <c r="AX182" s="24">
        <f t="shared" si="128"/>
        <v>21946.589595375721</v>
      </c>
      <c r="AY182" s="351"/>
      <c r="AZ182" s="10"/>
      <c r="BA182" s="66">
        <f t="shared" si="129"/>
        <v>589124</v>
      </c>
      <c r="BB182" s="67"/>
      <c r="BC182" s="67">
        <v>88656974</v>
      </c>
      <c r="BD182" s="67"/>
      <c r="BE182" s="67">
        <f t="shared" si="130"/>
        <v>28439</v>
      </c>
      <c r="BF182" s="67"/>
      <c r="BG182" s="156">
        <f t="shared" si="131"/>
        <v>4.8273368594727084E-2</v>
      </c>
      <c r="BH182" s="67"/>
      <c r="BI182" s="183"/>
      <c r="BJ182" s="67"/>
      <c r="BK182" s="67">
        <f t="shared" si="132"/>
        <v>5306855</v>
      </c>
      <c r="BL182" s="67"/>
      <c r="BM182" s="156">
        <f t="shared" si="133"/>
        <v>5.0234084029052987E-2</v>
      </c>
      <c r="BN182" s="66">
        <f t="shared" si="134"/>
        <v>512468.0578034682</v>
      </c>
      <c r="BO182" s="67"/>
      <c r="BP182" s="67">
        <f t="shared" si="135"/>
        <v>6227587</v>
      </c>
      <c r="BQ182" s="67"/>
      <c r="BR182" s="478">
        <f t="shared" si="136"/>
        <v>7.0243622346054801E-2</v>
      </c>
      <c r="BS182" s="67"/>
      <c r="BT182" s="86"/>
      <c r="BU182" s="183"/>
      <c r="BV182" s="1"/>
      <c r="BW182" s="61">
        <f t="shared" si="53"/>
        <v>173</v>
      </c>
    </row>
    <row r="183" spans="2:75" x14ac:dyDescent="0.3">
      <c r="B183" s="171">
        <f t="shared" si="52"/>
        <v>44083</v>
      </c>
      <c r="C183" s="61"/>
      <c r="D183" s="17">
        <v>35243</v>
      </c>
      <c r="E183" s="16"/>
      <c r="F183" s="16"/>
      <c r="G183" s="16"/>
      <c r="H183" s="16">
        <f t="shared" ref="H183:H212" si="138">+H182+D183</f>
        <v>6605477</v>
      </c>
      <c r="I183" s="16"/>
      <c r="J183" s="479">
        <f t="shared" ref="J183:J212" si="139">+D183/H182</f>
        <v>5.3640403066313926E-3</v>
      </c>
      <c r="K183" s="16"/>
      <c r="L183" s="16"/>
      <c r="M183" s="16"/>
      <c r="N183" s="16">
        <f t="shared" ref="N183:N212" si="140">SUM(D177:D183)</f>
        <v>260617</v>
      </c>
      <c r="O183" s="16">
        <f t="shared" ref="O183:O212" si="141">+H183/BW183</f>
        <v>37962.511494252874</v>
      </c>
      <c r="P183" s="41"/>
      <c r="Q183" s="17">
        <f>SUM(D177:D183)</f>
        <v>260617</v>
      </c>
      <c r="R183" s="16"/>
      <c r="S183" s="60">
        <f>+(Q183-Q176)/Q176</f>
        <v>-0.11354158871829061</v>
      </c>
      <c r="T183" s="16"/>
      <c r="U183" s="41"/>
      <c r="V183" s="10">
        <f t="shared" si="109"/>
        <v>75</v>
      </c>
      <c r="W183" s="34">
        <v>1208</v>
      </c>
      <c r="X183" s="33"/>
      <c r="Y183" s="33"/>
      <c r="Z183" s="33"/>
      <c r="AA183" s="33">
        <f t="shared" ref="AA183:AA212" si="142">+AA182+W183</f>
        <v>195310</v>
      </c>
      <c r="AB183" s="33"/>
      <c r="AC183" s="46">
        <f t="shared" ref="AC183:AC212" si="143">+AA183/H183</f>
        <v>2.9567887375885192E-2</v>
      </c>
      <c r="AD183" s="33"/>
      <c r="AE183" s="33">
        <f t="shared" ref="AE183:AE212" si="144">+AA183/BW183</f>
        <v>1122.471264367816</v>
      </c>
      <c r="AF183" s="50"/>
      <c r="AG183" s="33">
        <f t="shared" ref="AG183:AG195" si="145">SUM(W177:W183)</f>
        <v>5274</v>
      </c>
      <c r="AH183" s="33">
        <f>SUM(D154:D289)</f>
        <v>460273159.35152841</v>
      </c>
      <c r="AI183" s="231">
        <f t="shared" ref="AI183:AI212" si="146">+(AG183-AG176)/AG176</f>
        <v>-0.16774498974278049</v>
      </c>
      <c r="AJ183" s="50"/>
      <c r="AK183" s="10"/>
      <c r="AL183" s="23">
        <f t="shared" ref="AL183:AL212" si="147">+AP183-AP182</f>
        <v>49335</v>
      </c>
      <c r="AM183" s="24"/>
      <c r="AN183" s="24"/>
      <c r="AO183" s="24">
        <v>178263</v>
      </c>
      <c r="AP183" s="24">
        <v>3846095</v>
      </c>
      <c r="AQ183" s="24"/>
      <c r="AR183" s="504">
        <f t="shared" ref="AR183:AR212" si="148">+AL183/AP182</f>
        <v>1.2993973809247885E-2</v>
      </c>
      <c r="AS183" s="25"/>
      <c r="AT183" s="25"/>
      <c r="AU183" s="24"/>
      <c r="AV183" s="341">
        <f t="shared" ref="AV183:AV212" si="149">+AP183/H183</f>
        <v>0.58225848034895888</v>
      </c>
      <c r="AW183" s="341"/>
      <c r="AX183" s="24">
        <f t="shared" ref="AX183:AX212" si="150">+AP183/BW183</f>
        <v>22103.994252873563</v>
      </c>
      <c r="AY183" s="351"/>
      <c r="AZ183" s="10"/>
      <c r="BA183" s="66">
        <f t="shared" ref="BA183:BA212" si="151">+BC183-BC182</f>
        <v>626098</v>
      </c>
      <c r="BB183" s="67"/>
      <c r="BC183" s="67">
        <v>89283072</v>
      </c>
      <c r="BD183" s="67"/>
      <c r="BE183" s="67">
        <f t="shared" ref="BE183:BE212" si="152">+D183</f>
        <v>35243</v>
      </c>
      <c r="BF183" s="67"/>
      <c r="BG183" s="156">
        <f t="shared" ref="BG183:BG212" si="153">+BE183/BA183</f>
        <v>5.6289909886311724E-2</v>
      </c>
      <c r="BH183" s="67"/>
      <c r="BI183" s="183"/>
      <c r="BJ183" s="67"/>
      <c r="BK183" s="67">
        <f t="shared" ref="BK183:BK212" si="154">SUM(BA177:BA183)</f>
        <v>5184661</v>
      </c>
      <c r="BL183" s="67"/>
      <c r="BM183" s="156">
        <f t="shared" ref="BM183:BM212" si="155">+Q183/BK183</f>
        <v>5.026693162773805E-2</v>
      </c>
      <c r="BN183" s="66">
        <f t="shared" ref="BN183:BN212" si="156">+BC183/BW183</f>
        <v>513121.10344827588</v>
      </c>
      <c r="BO183" s="67"/>
      <c r="BP183" s="67">
        <f t="shared" ref="BP183:BP212" si="157">+BP182+BE183</f>
        <v>6262830</v>
      </c>
      <c r="BQ183" s="67"/>
      <c r="BR183" s="478">
        <f t="shared" ref="BR183:BR212" si="158">+BP183/BC183</f>
        <v>7.0145771865914294E-2</v>
      </c>
      <c r="BS183" s="67"/>
      <c r="BT183" s="86"/>
      <c r="BU183" s="183"/>
      <c r="BV183" s="1"/>
      <c r="BW183" s="61">
        <f t="shared" si="53"/>
        <v>174</v>
      </c>
    </row>
    <row r="184" spans="2:75" x14ac:dyDescent="0.3">
      <c r="B184" s="171">
        <f t="shared" si="52"/>
        <v>44084</v>
      </c>
      <c r="C184" s="61"/>
      <c r="D184" s="17">
        <v>38811</v>
      </c>
      <c r="E184" s="16"/>
      <c r="F184" s="16"/>
      <c r="G184" s="16"/>
      <c r="H184" s="16">
        <f t="shared" si="138"/>
        <v>6644288</v>
      </c>
      <c r="I184" s="16"/>
      <c r="J184" s="479">
        <f t="shared" si="139"/>
        <v>5.8755787053682874E-3</v>
      </c>
      <c r="K184" s="16"/>
      <c r="L184" s="16"/>
      <c r="M184" s="16"/>
      <c r="N184" s="16">
        <f t="shared" si="140"/>
        <v>253964</v>
      </c>
      <c r="O184" s="16">
        <f t="shared" si="141"/>
        <v>37967.360000000001</v>
      </c>
      <c r="P184" s="41"/>
      <c r="Q184" s="17">
        <f>SUM(D178:D184)</f>
        <v>253964</v>
      </c>
      <c r="R184" s="16"/>
      <c r="S184" s="60">
        <f>+(Q184-Q177)/Q177</f>
        <v>-0.13457554113734257</v>
      </c>
      <c r="T184" s="16"/>
      <c r="U184" s="41"/>
      <c r="V184" s="10">
        <f t="shared" si="109"/>
        <v>76</v>
      </c>
      <c r="W184" s="34">
        <v>1089</v>
      </c>
      <c r="X184" s="33"/>
      <c r="Y184" s="33"/>
      <c r="Z184" s="33"/>
      <c r="AA184" s="33">
        <f t="shared" si="142"/>
        <v>196399</v>
      </c>
      <c r="AB184" s="33"/>
      <c r="AC184" s="46">
        <f t="shared" si="143"/>
        <v>2.9559073899265053E-2</v>
      </c>
      <c r="AD184" s="33"/>
      <c r="AE184" s="33">
        <f t="shared" si="144"/>
        <v>1122.28</v>
      </c>
      <c r="AF184" s="50"/>
      <c r="AG184" s="33">
        <f t="shared" si="145"/>
        <v>5249</v>
      </c>
      <c r="AH184" s="33">
        <f>SUM(D155:D290)</f>
        <v>460218640.35152841</v>
      </c>
      <c r="AI184" s="231">
        <f t="shared" si="146"/>
        <v>-0.16788205453392518</v>
      </c>
      <c r="AJ184" s="50"/>
      <c r="AK184" s="10"/>
      <c r="AL184" s="23">
        <f t="shared" si="147"/>
        <v>33865</v>
      </c>
      <c r="AM184" s="24"/>
      <c r="AN184" s="24"/>
      <c r="AO184" s="24">
        <v>178263</v>
      </c>
      <c r="AP184" s="24">
        <v>3879960</v>
      </c>
      <c r="AQ184" s="24"/>
      <c r="AR184" s="504">
        <f t="shared" si="148"/>
        <v>8.8050347170311703E-3</v>
      </c>
      <c r="AS184" s="25"/>
      <c r="AT184" s="25"/>
      <c r="AU184" s="24"/>
      <c r="AV184" s="341">
        <f t="shared" si="149"/>
        <v>0.58395421751736232</v>
      </c>
      <c r="AW184" s="341"/>
      <c r="AX184" s="24">
        <f t="shared" si="150"/>
        <v>22171.200000000001</v>
      </c>
      <c r="AY184" s="351"/>
      <c r="AZ184" s="10"/>
      <c r="BA184" s="66">
        <f t="shared" si="151"/>
        <v>701717</v>
      </c>
      <c r="BB184" s="67"/>
      <c r="BC184" s="67">
        <v>89984789</v>
      </c>
      <c r="BD184" s="67"/>
      <c r="BE184" s="67">
        <f t="shared" si="152"/>
        <v>38811</v>
      </c>
      <c r="BF184" s="67"/>
      <c r="BG184" s="156">
        <f t="shared" si="153"/>
        <v>5.5308621566813973E-2</v>
      </c>
      <c r="BH184" s="67"/>
      <c r="BI184" s="183"/>
      <c r="BJ184" s="67"/>
      <c r="BK184" s="67">
        <f t="shared" si="154"/>
        <v>5103260</v>
      </c>
      <c r="BL184" s="67"/>
      <c r="BM184" s="156">
        <f t="shared" si="155"/>
        <v>4.9765052143139872E-2</v>
      </c>
      <c r="BN184" s="66">
        <f t="shared" si="156"/>
        <v>514198.79428571428</v>
      </c>
      <c r="BO184" s="67"/>
      <c r="BP184" s="67">
        <f t="shared" si="157"/>
        <v>6301641</v>
      </c>
      <c r="BQ184" s="67"/>
      <c r="BR184" s="478">
        <f t="shared" si="158"/>
        <v>7.0030069193138852E-2</v>
      </c>
      <c r="BS184" s="67"/>
      <c r="BT184" s="86"/>
      <c r="BU184" s="183"/>
      <c r="BV184" s="1"/>
      <c r="BW184" s="61">
        <f t="shared" si="53"/>
        <v>175</v>
      </c>
    </row>
    <row r="185" spans="2:75" x14ac:dyDescent="0.3">
      <c r="B185" s="171">
        <f t="shared" si="52"/>
        <v>44085</v>
      </c>
      <c r="C185" s="61"/>
      <c r="D185" s="17">
        <v>46600</v>
      </c>
      <c r="E185" s="16"/>
      <c r="F185" s="16"/>
      <c r="G185" s="16"/>
      <c r="H185" s="16">
        <f t="shared" si="138"/>
        <v>6690888</v>
      </c>
      <c r="I185" s="16"/>
      <c r="J185" s="479">
        <f t="shared" si="139"/>
        <v>7.0135430613483341E-3</v>
      </c>
      <c r="K185" s="16"/>
      <c r="L185" s="16"/>
      <c r="M185" s="16"/>
      <c r="N185" s="16">
        <f t="shared" si="140"/>
        <v>247715</v>
      </c>
      <c r="O185" s="16">
        <f t="shared" si="141"/>
        <v>38016.409090909088</v>
      </c>
      <c r="P185" s="41"/>
      <c r="Q185" s="17">
        <f>SUM(D179:D185)</f>
        <v>247715</v>
      </c>
      <c r="R185" s="16"/>
      <c r="S185" s="60">
        <f>+(Q185-Q178)/Q178</f>
        <v>-0.16511068270060397</v>
      </c>
      <c r="T185" s="16"/>
      <c r="U185" s="41"/>
      <c r="V185" s="10">
        <f t="shared" si="109"/>
        <v>77</v>
      </c>
      <c r="W185" s="34">
        <v>1094</v>
      </c>
      <c r="X185" s="33"/>
      <c r="Y185" s="33"/>
      <c r="Z185" s="33"/>
      <c r="AA185" s="33">
        <f t="shared" si="142"/>
        <v>197493</v>
      </c>
      <c r="AB185" s="33"/>
      <c r="AC185" s="46">
        <f t="shared" si="143"/>
        <v>2.9516709889629001E-2</v>
      </c>
      <c r="AD185" s="33"/>
      <c r="AE185" s="33">
        <f t="shared" si="144"/>
        <v>1122.1193181818182</v>
      </c>
      <c r="AF185" s="50"/>
      <c r="AG185" s="33">
        <f t="shared" si="145"/>
        <v>5310</v>
      </c>
      <c r="AH185" s="33">
        <f>SUM(D156:D291)</f>
        <v>460164295.35152841</v>
      </c>
      <c r="AI185" s="231">
        <f t="shared" si="146"/>
        <v>-0.14849262347658757</v>
      </c>
      <c r="AJ185" s="50"/>
      <c r="AK185" s="10"/>
      <c r="AL185" s="23">
        <f t="shared" si="147"/>
        <v>38002</v>
      </c>
      <c r="AM185" s="24"/>
      <c r="AN185" s="24"/>
      <c r="AO185" s="24">
        <v>178263</v>
      </c>
      <c r="AP185" s="24">
        <v>3917962</v>
      </c>
      <c r="AQ185" s="24"/>
      <c r="AR185" s="504">
        <f t="shared" si="148"/>
        <v>9.7944308704213442E-3</v>
      </c>
      <c r="AS185" s="25"/>
      <c r="AT185" s="25"/>
      <c r="AU185" s="24"/>
      <c r="AV185" s="341">
        <f t="shared" si="149"/>
        <v>0.58556681863453697</v>
      </c>
      <c r="AW185" s="341"/>
      <c r="AX185" s="24">
        <f t="shared" si="150"/>
        <v>22261.147727272728</v>
      </c>
      <c r="AY185" s="351"/>
      <c r="AZ185" s="10"/>
      <c r="BA185" s="66">
        <f t="shared" si="151"/>
        <v>860917</v>
      </c>
      <c r="BB185" s="67"/>
      <c r="BC185" s="67">
        <v>90845706</v>
      </c>
      <c r="BD185" s="67"/>
      <c r="BE185" s="67">
        <f t="shared" si="152"/>
        <v>46600</v>
      </c>
      <c r="BF185" s="67"/>
      <c r="BG185" s="156">
        <f t="shared" si="153"/>
        <v>5.412833060562168E-2</v>
      </c>
      <c r="BH185" s="67"/>
      <c r="BI185" s="183"/>
      <c r="BJ185" s="67"/>
      <c r="BK185" s="67">
        <f t="shared" si="154"/>
        <v>4949989</v>
      </c>
      <c r="BL185" s="67"/>
      <c r="BM185" s="156">
        <f t="shared" si="155"/>
        <v>5.0043545551313344E-2</v>
      </c>
      <c r="BN185" s="66">
        <f t="shared" si="156"/>
        <v>516168.78409090912</v>
      </c>
      <c r="BO185" s="67"/>
      <c r="BP185" s="67">
        <f t="shared" si="157"/>
        <v>6348241</v>
      </c>
      <c r="BQ185" s="67"/>
      <c r="BR185" s="478">
        <f t="shared" si="158"/>
        <v>6.9879373274945977E-2</v>
      </c>
      <c r="BS185" s="67"/>
      <c r="BT185" s="86"/>
      <c r="BU185" s="183"/>
      <c r="BV185" s="1"/>
      <c r="BW185" s="61">
        <f t="shared" si="53"/>
        <v>176</v>
      </c>
    </row>
    <row r="186" spans="2:75" x14ac:dyDescent="0.3">
      <c r="B186" s="171">
        <f t="shared" si="52"/>
        <v>44086</v>
      </c>
      <c r="C186" s="61"/>
      <c r="D186" s="17">
        <v>39282</v>
      </c>
      <c r="E186" s="16"/>
      <c r="F186" s="16"/>
      <c r="G186" s="16"/>
      <c r="H186" s="16">
        <f t="shared" si="138"/>
        <v>6730170</v>
      </c>
      <c r="I186" s="16"/>
      <c r="J186" s="479">
        <f t="shared" si="139"/>
        <v>5.8709695932737177E-3</v>
      </c>
      <c r="K186" s="16"/>
      <c r="L186" s="16"/>
      <c r="M186" s="16"/>
      <c r="N186" s="16">
        <f t="shared" si="140"/>
        <v>244905</v>
      </c>
      <c r="O186" s="16">
        <f t="shared" si="141"/>
        <v>38023.5593220339</v>
      </c>
      <c r="P186" s="41"/>
      <c r="Q186" s="17">
        <f>SUM(D180:D186)</f>
        <v>244905</v>
      </c>
      <c r="R186" s="16"/>
      <c r="S186" s="60">
        <f>+(Q186-Q179)/Q179</f>
        <v>-0.17299821703541615</v>
      </c>
      <c r="T186" s="16"/>
      <c r="U186" s="41"/>
      <c r="V186" s="10">
        <f t="shared" si="109"/>
        <v>78</v>
      </c>
      <c r="W186" s="34">
        <v>707</v>
      </c>
      <c r="X186" s="33"/>
      <c r="Y186" s="33"/>
      <c r="Z186" s="33"/>
      <c r="AA186" s="33">
        <f t="shared" si="142"/>
        <v>198200</v>
      </c>
      <c r="AB186" s="33"/>
      <c r="AC186" s="46">
        <f t="shared" si="143"/>
        <v>2.9449478987900752E-2</v>
      </c>
      <c r="AD186" s="33"/>
      <c r="AE186" s="33">
        <f t="shared" si="144"/>
        <v>1119.774011299435</v>
      </c>
      <c r="AF186" s="50"/>
      <c r="AG186" s="33">
        <f t="shared" si="145"/>
        <v>5310</v>
      </c>
      <c r="AH186" s="33">
        <f>SUM(D157:D292)</f>
        <v>460108931.35152841</v>
      </c>
      <c r="AI186" s="231">
        <f t="shared" si="146"/>
        <v>-0.11337451995324763</v>
      </c>
      <c r="AJ186" s="50"/>
      <c r="AK186" s="10"/>
      <c r="AL186" s="23">
        <f t="shared" si="147"/>
        <v>32392</v>
      </c>
      <c r="AM186" s="24"/>
      <c r="AN186" s="24"/>
      <c r="AO186" s="24">
        <v>178263</v>
      </c>
      <c r="AP186" s="24">
        <v>3950354</v>
      </c>
      <c r="AQ186" s="24"/>
      <c r="AR186" s="504">
        <f t="shared" si="148"/>
        <v>8.2675635955632033E-3</v>
      </c>
      <c r="AS186" s="25"/>
      <c r="AT186" s="25"/>
      <c r="AU186" s="24"/>
      <c r="AV186" s="341">
        <f t="shared" si="149"/>
        <v>0.58696199353062406</v>
      </c>
      <c r="AW186" s="341"/>
      <c r="AX186" s="24">
        <f t="shared" si="150"/>
        <v>22318.384180790959</v>
      </c>
      <c r="AY186" s="351"/>
      <c r="AZ186" s="10"/>
      <c r="BA186" s="66">
        <f t="shared" si="151"/>
        <v>857797</v>
      </c>
      <c r="BB186" s="67"/>
      <c r="BC186" s="67">
        <v>91703503</v>
      </c>
      <c r="BD186" s="67"/>
      <c r="BE186" s="67">
        <f t="shared" si="152"/>
        <v>39282</v>
      </c>
      <c r="BF186" s="67"/>
      <c r="BG186" s="156">
        <f t="shared" si="153"/>
        <v>4.5794051506358728E-2</v>
      </c>
      <c r="BH186" s="67"/>
      <c r="BI186" s="183"/>
      <c r="BJ186" s="67"/>
      <c r="BK186" s="67">
        <f t="shared" si="154"/>
        <v>4944301</v>
      </c>
      <c r="BL186" s="67"/>
      <c r="BM186" s="156">
        <f t="shared" si="155"/>
        <v>4.9532785321929229E-2</v>
      </c>
      <c r="BN186" s="66">
        <f t="shared" si="156"/>
        <v>518098.88700564974</v>
      </c>
      <c r="BO186" s="67"/>
      <c r="BP186" s="67">
        <f t="shared" si="157"/>
        <v>6387523</v>
      </c>
      <c r="BQ186" s="67"/>
      <c r="BR186" s="478">
        <f t="shared" si="158"/>
        <v>6.9654078536127456E-2</v>
      </c>
      <c r="BS186" s="67"/>
      <c r="BT186" s="86"/>
      <c r="BU186" s="183"/>
      <c r="BV186" s="1"/>
      <c r="BW186" s="61">
        <f t="shared" si="53"/>
        <v>177</v>
      </c>
    </row>
    <row r="187" spans="2:75" x14ac:dyDescent="0.3">
      <c r="B187" s="390">
        <f t="shared" si="52"/>
        <v>44087</v>
      </c>
      <c r="C187" s="61"/>
      <c r="D187" s="17">
        <v>31857</v>
      </c>
      <c r="E187" s="16"/>
      <c r="F187" s="16"/>
      <c r="G187" s="16"/>
      <c r="H187" s="16">
        <f t="shared" si="138"/>
        <v>6762027</v>
      </c>
      <c r="I187" s="16"/>
      <c r="J187" s="479">
        <f t="shared" si="139"/>
        <v>4.7334614133075388E-3</v>
      </c>
      <c r="K187" s="16"/>
      <c r="L187" s="16"/>
      <c r="M187" s="16"/>
      <c r="N187" s="16">
        <f t="shared" si="140"/>
        <v>245652</v>
      </c>
      <c r="O187" s="16">
        <f t="shared" si="141"/>
        <v>37988.915730337081</v>
      </c>
      <c r="P187" s="41"/>
      <c r="Q187" s="453"/>
      <c r="R187" s="16"/>
      <c r="S187" s="60"/>
      <c r="T187" s="16"/>
      <c r="U187" s="41"/>
      <c r="V187" s="10">
        <f t="shared" si="109"/>
        <v>79</v>
      </c>
      <c r="W187" s="34">
        <v>392</v>
      </c>
      <c r="X187" s="33"/>
      <c r="Y187" s="33"/>
      <c r="Z187" s="33"/>
      <c r="AA187" s="33">
        <f t="shared" si="142"/>
        <v>198592</v>
      </c>
      <c r="AB187" s="33"/>
      <c r="AC187" s="46">
        <f t="shared" si="143"/>
        <v>2.9368708524825472E-2</v>
      </c>
      <c r="AD187" s="33"/>
      <c r="AE187" s="33">
        <f t="shared" si="144"/>
        <v>1115.685393258427</v>
      </c>
      <c r="AF187" s="50"/>
      <c r="AG187" s="33">
        <f t="shared" si="145"/>
        <v>5272</v>
      </c>
      <c r="AH187" s="33">
        <f>SUM(D158:D293)</f>
        <v>460048331.35152841</v>
      </c>
      <c r="AI187" s="231">
        <f t="shared" si="146"/>
        <v>-0.12859504132231406</v>
      </c>
      <c r="AJ187" s="50"/>
      <c r="AK187" s="10"/>
      <c r="AL187" s="23">
        <f t="shared" si="147"/>
        <v>24595</v>
      </c>
      <c r="AM187" s="24"/>
      <c r="AN187" s="24"/>
      <c r="AO187" s="24">
        <v>178263</v>
      </c>
      <c r="AP187" s="24">
        <v>3974949</v>
      </c>
      <c r="AQ187" s="24"/>
      <c r="AR187" s="504">
        <f t="shared" si="148"/>
        <v>6.2260243006069839E-3</v>
      </c>
      <c r="AS187" s="25"/>
      <c r="AT187" s="25"/>
      <c r="AU187" s="24"/>
      <c r="AV187" s="341">
        <f t="shared" si="149"/>
        <v>0.58783394387511323</v>
      </c>
      <c r="AW187" s="341"/>
      <c r="AX187" s="24">
        <f t="shared" si="150"/>
        <v>22331.174157303372</v>
      </c>
      <c r="AY187" s="351"/>
      <c r="AZ187" s="391"/>
      <c r="BA187" s="66">
        <f t="shared" si="151"/>
        <v>699997</v>
      </c>
      <c r="BB187" s="67"/>
      <c r="BC187" s="67">
        <v>92403500</v>
      </c>
      <c r="BD187" s="67"/>
      <c r="BE187" s="67">
        <f t="shared" si="152"/>
        <v>31857</v>
      </c>
      <c r="BF187" s="67"/>
      <c r="BG187" s="156">
        <f t="shared" si="153"/>
        <v>4.5510195043693046E-2</v>
      </c>
      <c r="BH187" s="67"/>
      <c r="BI187" s="183"/>
      <c r="BJ187" s="67"/>
      <c r="BK187" s="67">
        <f t="shared" si="154"/>
        <v>4928581</v>
      </c>
      <c r="BL187" s="67"/>
      <c r="BM187" s="156">
        <f t="shared" si="155"/>
        <v>0</v>
      </c>
      <c r="BN187" s="66">
        <f t="shared" si="156"/>
        <v>519120.78651685396</v>
      </c>
      <c r="BO187" s="67"/>
      <c r="BP187" s="67">
        <f t="shared" si="157"/>
        <v>6419380</v>
      </c>
      <c r="BQ187" s="67"/>
      <c r="BR187" s="478">
        <f t="shared" si="158"/>
        <v>6.9471178039792872E-2</v>
      </c>
      <c r="BS187" s="67"/>
      <c r="BT187" s="86"/>
      <c r="BU187" s="183"/>
      <c r="BV187" s="1"/>
      <c r="BW187" s="61">
        <f t="shared" si="53"/>
        <v>178</v>
      </c>
    </row>
    <row r="188" spans="2:75" x14ac:dyDescent="0.3">
      <c r="B188" s="171">
        <f t="shared" ref="B188:B236" si="159">1+B187</f>
        <v>44088</v>
      </c>
      <c r="C188" s="61"/>
      <c r="D188" s="17">
        <v>38072</v>
      </c>
      <c r="E188" s="16"/>
      <c r="F188" s="16"/>
      <c r="G188" s="16"/>
      <c r="H188" s="16">
        <f t="shared" si="138"/>
        <v>6800099</v>
      </c>
      <c r="I188" s="16"/>
      <c r="J188" s="479">
        <f t="shared" si="139"/>
        <v>5.6302644162763617E-3</v>
      </c>
      <c r="K188" s="16"/>
      <c r="L188" s="16"/>
      <c r="M188" s="16"/>
      <c r="N188" s="16">
        <f t="shared" si="140"/>
        <v>258304</v>
      </c>
      <c r="O188" s="16">
        <f t="shared" si="141"/>
        <v>37989.379888268159</v>
      </c>
      <c r="P188" s="41"/>
      <c r="Q188" s="453"/>
      <c r="R188" s="16"/>
      <c r="S188" s="60"/>
      <c r="T188" s="16"/>
      <c r="U188" s="41"/>
      <c r="V188" s="10">
        <f t="shared" si="109"/>
        <v>80</v>
      </c>
      <c r="W188" s="34">
        <v>480</v>
      </c>
      <c r="X188" s="33"/>
      <c r="Y188" s="33"/>
      <c r="Z188" s="33"/>
      <c r="AA188" s="33">
        <f t="shared" si="142"/>
        <v>199072</v>
      </c>
      <c r="AB188" s="33"/>
      <c r="AC188" s="46">
        <f t="shared" si="143"/>
        <v>2.9274867910011309E-2</v>
      </c>
      <c r="AD188" s="33"/>
      <c r="AE188" s="33">
        <f t="shared" si="144"/>
        <v>1112.1340782122904</v>
      </c>
      <c r="AF188" s="50"/>
      <c r="AG188" s="33">
        <f t="shared" si="145"/>
        <v>5466</v>
      </c>
      <c r="AH188" s="33">
        <f>SUM(D159:D294)</f>
        <v>459994808.35152841</v>
      </c>
      <c r="AI188" s="231">
        <f t="shared" si="146"/>
        <v>-6.1469780219780217E-2</v>
      </c>
      <c r="AJ188" s="50"/>
      <c r="AK188" s="10"/>
      <c r="AL188" s="23">
        <f t="shared" si="147"/>
        <v>52877</v>
      </c>
      <c r="AM188" s="24"/>
      <c r="AN188" s="24"/>
      <c r="AO188" s="24">
        <v>178263</v>
      </c>
      <c r="AP188" s="24">
        <v>4027826</v>
      </c>
      <c r="AQ188" s="24"/>
      <c r="AR188" s="504">
        <f t="shared" si="148"/>
        <v>1.3302560611469481E-2</v>
      </c>
      <c r="AS188" s="25"/>
      <c r="AT188" s="25"/>
      <c r="AU188" s="24"/>
      <c r="AV188" s="341">
        <f t="shared" si="149"/>
        <v>0.59231872947732089</v>
      </c>
      <c r="AW188" s="341"/>
      <c r="AX188" s="24">
        <f t="shared" si="150"/>
        <v>22501.821229050278</v>
      </c>
      <c r="AY188" s="351"/>
      <c r="AZ188" s="10"/>
      <c r="BA188" s="66">
        <f t="shared" si="151"/>
        <v>486822</v>
      </c>
      <c r="BB188" s="67"/>
      <c r="BC188" s="67">
        <v>92890322</v>
      </c>
      <c r="BD188" s="67"/>
      <c r="BE188" s="67">
        <f t="shared" si="152"/>
        <v>38072</v>
      </c>
      <c r="BF188" s="67"/>
      <c r="BG188" s="156">
        <f t="shared" si="153"/>
        <v>7.8205175608333233E-2</v>
      </c>
      <c r="BH188" s="67"/>
      <c r="BI188" s="183"/>
      <c r="BJ188" s="67"/>
      <c r="BK188" s="67">
        <f t="shared" si="154"/>
        <v>4822472</v>
      </c>
      <c r="BL188" s="67"/>
      <c r="BM188" s="156">
        <f t="shared" si="155"/>
        <v>0</v>
      </c>
      <c r="BN188" s="66">
        <f t="shared" si="156"/>
        <v>518940.34636871511</v>
      </c>
      <c r="BO188" s="67"/>
      <c r="BP188" s="67">
        <f t="shared" si="157"/>
        <v>6457452</v>
      </c>
      <c r="BQ188" s="67"/>
      <c r="BR188" s="478">
        <f t="shared" si="158"/>
        <v>6.9516951399953161E-2</v>
      </c>
      <c r="BS188" s="67"/>
      <c r="BT188" s="86"/>
      <c r="BU188" s="183"/>
      <c r="BV188" s="1"/>
      <c r="BW188" s="61">
        <f t="shared" si="53"/>
        <v>179</v>
      </c>
    </row>
    <row r="189" spans="2:75" x14ac:dyDescent="0.3">
      <c r="B189" s="171">
        <f t="shared" si="159"/>
        <v>44089</v>
      </c>
      <c r="C189" s="61"/>
      <c r="D189" s="17">
        <v>36447</v>
      </c>
      <c r="E189" s="16"/>
      <c r="F189" s="16"/>
      <c r="G189" s="16"/>
      <c r="H189" s="16">
        <f t="shared" si="138"/>
        <v>6836546</v>
      </c>
      <c r="I189" s="16"/>
      <c r="J189" s="479">
        <f t="shared" si="139"/>
        <v>5.3597749091594104E-3</v>
      </c>
      <c r="K189" s="16"/>
      <c r="L189" s="16"/>
      <c r="M189" s="16"/>
      <c r="N189" s="16">
        <f t="shared" si="140"/>
        <v>266312</v>
      </c>
      <c r="O189" s="16">
        <f t="shared" si="141"/>
        <v>37980.811111111114</v>
      </c>
      <c r="P189" s="41"/>
      <c r="Q189" s="453"/>
      <c r="R189" s="16"/>
      <c r="S189" s="60"/>
      <c r="T189" s="16"/>
      <c r="U189" s="41"/>
      <c r="V189" s="10">
        <f t="shared" si="109"/>
        <v>81</v>
      </c>
      <c r="W189" s="34">
        <v>1197</v>
      </c>
      <c r="X189" s="33"/>
      <c r="Y189" s="33"/>
      <c r="Z189" s="33"/>
      <c r="AA189" s="33">
        <f t="shared" si="142"/>
        <v>200269</v>
      </c>
      <c r="AB189" s="33"/>
      <c r="AC189" s="46">
        <f t="shared" si="143"/>
        <v>2.9293886123197298E-2</v>
      </c>
      <c r="AD189" s="33"/>
      <c r="AE189" s="33">
        <f t="shared" si="144"/>
        <v>1112.6055555555556</v>
      </c>
      <c r="AF189" s="50"/>
      <c r="AG189" s="33">
        <f t="shared" si="145"/>
        <v>6167</v>
      </c>
      <c r="AH189" s="33">
        <f>SUM(D160:D295)</f>
        <v>459957965.35152841</v>
      </c>
      <c r="AI189" s="231">
        <f t="shared" si="146"/>
        <v>0.1960822342901474</v>
      </c>
      <c r="AJ189" s="50"/>
      <c r="AK189" s="10"/>
      <c r="AL189" s="23">
        <f t="shared" si="147"/>
        <v>40260</v>
      </c>
      <c r="AM189" s="24"/>
      <c r="AN189" s="24"/>
      <c r="AO189" s="24">
        <v>178263</v>
      </c>
      <c r="AP189" s="24">
        <v>4068086</v>
      </c>
      <c r="AQ189" s="24"/>
      <c r="AR189" s="504">
        <f t="shared" si="148"/>
        <v>9.9954665370351158E-3</v>
      </c>
      <c r="AS189" s="25"/>
      <c r="AT189" s="25"/>
      <c r="AU189" s="24"/>
      <c r="AV189" s="341">
        <f t="shared" si="149"/>
        <v>0.59504989800405061</v>
      </c>
      <c r="AW189" s="341"/>
      <c r="AX189" s="24">
        <f t="shared" si="150"/>
        <v>22600.477777777778</v>
      </c>
      <c r="AY189" s="351"/>
      <c r="AZ189" s="10"/>
      <c r="BA189" s="66">
        <f t="shared" si="151"/>
        <v>741636</v>
      </c>
      <c r="BB189" s="67"/>
      <c r="BC189" s="67">
        <v>93631958</v>
      </c>
      <c r="BD189" s="67"/>
      <c r="BE189" s="67">
        <f t="shared" si="152"/>
        <v>36447</v>
      </c>
      <c r="BF189" s="67"/>
      <c r="BG189" s="156">
        <f t="shared" si="153"/>
        <v>4.9144054495736451E-2</v>
      </c>
      <c r="BH189" s="67"/>
      <c r="BI189" s="183"/>
      <c r="BJ189" s="67"/>
      <c r="BK189" s="67">
        <f t="shared" si="154"/>
        <v>4974984</v>
      </c>
      <c r="BL189" s="67"/>
      <c r="BM189" s="156">
        <f t="shared" si="155"/>
        <v>0</v>
      </c>
      <c r="BN189" s="66">
        <f t="shared" si="156"/>
        <v>520177.54444444447</v>
      </c>
      <c r="BO189" s="67"/>
      <c r="BP189" s="67">
        <f t="shared" si="157"/>
        <v>6493899</v>
      </c>
      <c r="BQ189" s="67"/>
      <c r="BR189" s="478">
        <f t="shared" si="158"/>
        <v>6.9355582631306284E-2</v>
      </c>
      <c r="BS189" s="67"/>
      <c r="BT189" s="86"/>
      <c r="BU189" s="183"/>
      <c r="BV189" s="1"/>
      <c r="BW189" s="61">
        <f t="shared" si="53"/>
        <v>180</v>
      </c>
    </row>
    <row r="190" spans="2:75" x14ac:dyDescent="0.3">
      <c r="B190" s="171">
        <f t="shared" si="159"/>
        <v>44090</v>
      </c>
      <c r="C190" s="61"/>
      <c r="D190" s="17">
        <v>40154</v>
      </c>
      <c r="E190" s="16"/>
      <c r="F190" s="16"/>
      <c r="G190" s="16"/>
      <c r="H190" s="16">
        <f t="shared" si="138"/>
        <v>6876700</v>
      </c>
      <c r="I190" s="16"/>
      <c r="J190" s="479">
        <f t="shared" si="139"/>
        <v>5.8734337485625053E-3</v>
      </c>
      <c r="K190" s="16"/>
      <c r="L190" s="16"/>
      <c r="M190" s="16"/>
      <c r="N190" s="16">
        <f t="shared" si="140"/>
        <v>271223</v>
      </c>
      <c r="O190" s="16">
        <f t="shared" si="141"/>
        <v>37992.817679558008</v>
      </c>
      <c r="P190" s="41"/>
      <c r="Q190" s="453"/>
      <c r="R190" s="16"/>
      <c r="S190" s="60"/>
      <c r="T190" s="16"/>
      <c r="U190" s="41"/>
      <c r="V190" s="10">
        <f t="shared" si="109"/>
        <v>82</v>
      </c>
      <c r="W190" s="34">
        <v>1151</v>
      </c>
      <c r="X190" s="33"/>
      <c r="Y190" s="33"/>
      <c r="Z190" s="33"/>
      <c r="AA190" s="33">
        <f t="shared" si="142"/>
        <v>201420</v>
      </c>
      <c r="AB190" s="33"/>
      <c r="AC190" s="46">
        <f t="shared" si="143"/>
        <v>2.9290211874881848E-2</v>
      </c>
      <c r="AD190" s="33"/>
      <c r="AE190" s="33">
        <f t="shared" si="144"/>
        <v>1112.8176795580112</v>
      </c>
      <c r="AF190" s="50"/>
      <c r="AG190" s="33">
        <f t="shared" si="145"/>
        <v>6110</v>
      </c>
      <c r="AH190" s="33">
        <f>SUM(D161:D296)</f>
        <v>459917353.35152841</v>
      </c>
      <c r="AI190" s="231">
        <f t="shared" si="146"/>
        <v>0.15851346226772847</v>
      </c>
      <c r="AJ190" s="50"/>
      <c r="AK190" s="10"/>
      <c r="AL190" s="23">
        <f t="shared" si="147"/>
        <v>51072</v>
      </c>
      <c r="AM190" s="24"/>
      <c r="AN190" s="24"/>
      <c r="AO190" s="24">
        <v>178263</v>
      </c>
      <c r="AP190" s="24">
        <v>4119158</v>
      </c>
      <c r="AQ190" s="24"/>
      <c r="AR190" s="504">
        <f t="shared" si="148"/>
        <v>1.2554306865685731E-2</v>
      </c>
      <c r="AS190" s="25"/>
      <c r="AT190" s="25"/>
      <c r="AU190" s="24"/>
      <c r="AV190" s="341">
        <f t="shared" si="149"/>
        <v>0.59900213765323485</v>
      </c>
      <c r="AW190" s="341"/>
      <c r="AX190" s="24">
        <f t="shared" si="150"/>
        <v>22757.779005524862</v>
      </c>
      <c r="AY190" s="351"/>
      <c r="AZ190" s="10"/>
      <c r="BA190" s="66">
        <f t="shared" si="151"/>
        <v>737109</v>
      </c>
      <c r="BB190" s="67"/>
      <c r="BC190" s="67">
        <v>94369067</v>
      </c>
      <c r="BD190" s="67"/>
      <c r="BE190" s="67">
        <f t="shared" si="152"/>
        <v>40154</v>
      </c>
      <c r="BF190" s="67"/>
      <c r="BG190" s="156">
        <f t="shared" si="153"/>
        <v>5.4474982668777615E-2</v>
      </c>
      <c r="BH190" s="67"/>
      <c r="BI190" s="183"/>
      <c r="BJ190" s="67"/>
      <c r="BK190" s="67">
        <f t="shared" si="154"/>
        <v>5085995</v>
      </c>
      <c r="BL190" s="67"/>
      <c r="BM190" s="156">
        <f t="shared" si="155"/>
        <v>0</v>
      </c>
      <c r="BN190" s="66">
        <f t="shared" si="156"/>
        <v>521376.06077348068</v>
      </c>
      <c r="BO190" s="67"/>
      <c r="BP190" s="67">
        <f t="shared" si="157"/>
        <v>6534053</v>
      </c>
      <c r="BQ190" s="67"/>
      <c r="BR190" s="478">
        <f t="shared" si="158"/>
        <v>6.9239351492157916E-2</v>
      </c>
      <c r="BS190" s="67"/>
      <c r="BT190" s="86"/>
      <c r="BU190" s="183"/>
      <c r="BV190" s="1"/>
      <c r="BW190" s="61">
        <f t="shared" ref="BW190:BW215" si="160">+BW189+1</f>
        <v>181</v>
      </c>
    </row>
    <row r="191" spans="2:75" x14ac:dyDescent="0.3">
      <c r="B191" s="171">
        <f t="shared" si="159"/>
        <v>44091</v>
      </c>
      <c r="C191" s="61"/>
      <c r="D191" s="17">
        <v>46295</v>
      </c>
      <c r="E191" s="16"/>
      <c r="F191" s="16"/>
      <c r="G191" s="16"/>
      <c r="H191" s="16">
        <f t="shared" si="138"/>
        <v>6922995</v>
      </c>
      <c r="I191" s="16"/>
      <c r="J191" s="479">
        <f t="shared" si="139"/>
        <v>6.7321535038608639E-3</v>
      </c>
      <c r="K191" s="16"/>
      <c r="L191" s="16"/>
      <c r="M191" s="16"/>
      <c r="N191" s="16">
        <f t="shared" si="140"/>
        <v>278707</v>
      </c>
      <c r="O191" s="16">
        <f t="shared" si="141"/>
        <v>38038.434065934067</v>
      </c>
      <c r="P191" s="41"/>
      <c r="Q191" s="453"/>
      <c r="R191" s="16"/>
      <c r="S191" s="60"/>
      <c r="T191" s="16"/>
      <c r="U191" s="41"/>
      <c r="V191" s="10">
        <f t="shared" si="109"/>
        <v>83</v>
      </c>
      <c r="W191" s="34">
        <v>879</v>
      </c>
      <c r="X191" s="33"/>
      <c r="Y191" s="33"/>
      <c r="Z191" s="33"/>
      <c r="AA191" s="33">
        <f t="shared" si="142"/>
        <v>202299</v>
      </c>
      <c r="AB191" s="33"/>
      <c r="AC191" s="46">
        <f t="shared" si="143"/>
        <v>2.9221312452197352E-2</v>
      </c>
      <c r="AD191" s="33"/>
      <c r="AE191" s="33">
        <f t="shared" si="144"/>
        <v>1111.532967032967</v>
      </c>
      <c r="AF191" s="50"/>
      <c r="AG191" s="33">
        <f t="shared" si="145"/>
        <v>5900</v>
      </c>
      <c r="AH191" s="33">
        <f>SUM(D162:D297)</f>
        <v>459873354.35152841</v>
      </c>
      <c r="AI191" s="231">
        <f t="shared" si="146"/>
        <v>0.12402362354734235</v>
      </c>
      <c r="AJ191" s="50"/>
      <c r="AK191" s="10"/>
      <c r="AL191" s="23">
        <f t="shared" si="147"/>
        <v>35881</v>
      </c>
      <c r="AM191" s="24"/>
      <c r="AN191" s="24"/>
      <c r="AO191" s="24">
        <v>178263</v>
      </c>
      <c r="AP191" s="24">
        <v>4155039</v>
      </c>
      <c r="AQ191" s="24"/>
      <c r="AR191" s="504">
        <f t="shared" si="148"/>
        <v>8.7107607914044573E-3</v>
      </c>
      <c r="AS191" s="25"/>
      <c r="AT191" s="25"/>
      <c r="AU191" s="24"/>
      <c r="AV191" s="341">
        <f t="shared" si="149"/>
        <v>0.60017940212292509</v>
      </c>
      <c r="AW191" s="341"/>
      <c r="AX191" s="24">
        <f t="shared" si="150"/>
        <v>22829.884615384617</v>
      </c>
      <c r="AY191" s="351"/>
      <c r="AZ191" s="10"/>
      <c r="BA191" s="66">
        <f t="shared" si="151"/>
        <v>865955</v>
      </c>
      <c r="BB191" s="67"/>
      <c r="BC191" s="67">
        <v>95235022</v>
      </c>
      <c r="BD191" s="67"/>
      <c r="BE191" s="67">
        <f t="shared" si="152"/>
        <v>46295</v>
      </c>
      <c r="BF191" s="67"/>
      <c r="BG191" s="156">
        <f t="shared" si="153"/>
        <v>5.3461207568522615E-2</v>
      </c>
      <c r="BH191" s="67"/>
      <c r="BI191" s="183"/>
      <c r="BJ191" s="67"/>
      <c r="BK191" s="67">
        <f t="shared" si="154"/>
        <v>5250233</v>
      </c>
      <c r="BL191" s="67"/>
      <c r="BM191" s="156">
        <f t="shared" si="155"/>
        <v>0</v>
      </c>
      <c r="BN191" s="66">
        <f t="shared" si="156"/>
        <v>523269.35164835164</v>
      </c>
      <c r="BO191" s="67"/>
      <c r="BP191" s="67">
        <f t="shared" si="157"/>
        <v>6580348</v>
      </c>
      <c r="BQ191" s="67"/>
      <c r="BR191" s="478">
        <f t="shared" si="158"/>
        <v>6.9095883655069662E-2</v>
      </c>
      <c r="BS191" s="67"/>
      <c r="BT191" s="86"/>
      <c r="BU191" s="183"/>
      <c r="BV191" s="1"/>
      <c r="BW191" s="61">
        <f t="shared" si="160"/>
        <v>182</v>
      </c>
    </row>
    <row r="192" spans="2:75" x14ac:dyDescent="0.3">
      <c r="B192" s="171">
        <f t="shared" si="159"/>
        <v>44092</v>
      </c>
      <c r="C192" s="61"/>
      <c r="D192" s="17">
        <v>51345</v>
      </c>
      <c r="E192" s="16"/>
      <c r="F192" s="16"/>
      <c r="G192" s="16"/>
      <c r="H192" s="16">
        <f t="shared" si="138"/>
        <v>6974340</v>
      </c>
      <c r="I192" s="16"/>
      <c r="J192" s="479">
        <f t="shared" si="139"/>
        <v>7.4165877629551952E-3</v>
      </c>
      <c r="K192" s="16"/>
      <c r="L192" s="16"/>
      <c r="M192" s="16"/>
      <c r="N192" s="16">
        <f t="shared" si="140"/>
        <v>283452</v>
      </c>
      <c r="O192" s="16">
        <f t="shared" si="141"/>
        <v>38111.147540983606</v>
      </c>
      <c r="P192" s="41"/>
      <c r="Q192" s="453"/>
      <c r="R192" s="16"/>
      <c r="S192" s="60"/>
      <c r="T192" s="16"/>
      <c r="U192" s="41"/>
      <c r="V192" s="10">
        <f t="shared" si="109"/>
        <v>84</v>
      </c>
      <c r="W192" s="34">
        <v>958</v>
      </c>
      <c r="X192" s="33"/>
      <c r="Y192" s="33"/>
      <c r="Z192" s="33"/>
      <c r="AA192" s="33">
        <f t="shared" si="142"/>
        <v>203257</v>
      </c>
      <c r="AB192" s="33"/>
      <c r="AC192" s="46">
        <f t="shared" si="143"/>
        <v>2.914354619935363E-2</v>
      </c>
      <c r="AD192" s="33"/>
      <c r="AE192" s="33">
        <f t="shared" si="144"/>
        <v>1110.6939890710382</v>
      </c>
      <c r="AF192" s="50"/>
      <c r="AG192" s="33">
        <f t="shared" si="145"/>
        <v>5764</v>
      </c>
      <c r="AH192" s="33">
        <f>SUM(D163:D298)</f>
        <v>459828381.35152841</v>
      </c>
      <c r="AI192" s="231">
        <f t="shared" si="146"/>
        <v>8.5499058380414314E-2</v>
      </c>
      <c r="AJ192" s="50"/>
      <c r="AK192" s="10"/>
      <c r="AL192" s="23">
        <f t="shared" si="147"/>
        <v>36855</v>
      </c>
      <c r="AM192" s="24"/>
      <c r="AN192" s="24"/>
      <c r="AO192" s="24">
        <v>178263</v>
      </c>
      <c r="AP192" s="24">
        <v>4191894</v>
      </c>
      <c r="AQ192" s="24"/>
      <c r="AR192" s="504">
        <f t="shared" si="148"/>
        <v>8.8699528452079509E-3</v>
      </c>
      <c r="AS192" s="25"/>
      <c r="AT192" s="25"/>
      <c r="AU192" s="24"/>
      <c r="AV192" s="341">
        <f t="shared" si="149"/>
        <v>0.60104526019666382</v>
      </c>
      <c r="AW192" s="341"/>
      <c r="AX192" s="24">
        <f t="shared" si="150"/>
        <v>22906.524590163935</v>
      </c>
      <c r="AY192" s="351"/>
      <c r="AZ192" s="10"/>
      <c r="BA192" s="66">
        <f t="shared" si="151"/>
        <v>988439</v>
      </c>
      <c r="BB192" s="67"/>
      <c r="BC192" s="67">
        <v>96223461</v>
      </c>
      <c r="BD192" s="67"/>
      <c r="BE192" s="67">
        <f t="shared" si="152"/>
        <v>51345</v>
      </c>
      <c r="BF192" s="67"/>
      <c r="BG192" s="156">
        <f t="shared" si="153"/>
        <v>5.1945542415869871E-2</v>
      </c>
      <c r="BH192" s="67"/>
      <c r="BI192" s="183"/>
      <c r="BJ192" s="67"/>
      <c r="BK192" s="67">
        <f t="shared" si="154"/>
        <v>5377755</v>
      </c>
      <c r="BL192" s="67"/>
      <c r="BM192" s="156">
        <f t="shared" si="155"/>
        <v>0</v>
      </c>
      <c r="BN192" s="66">
        <f t="shared" si="156"/>
        <v>525811.26229508198</v>
      </c>
      <c r="BO192" s="67"/>
      <c r="BP192" s="67">
        <f t="shared" si="157"/>
        <v>6631693</v>
      </c>
      <c r="BQ192" s="67"/>
      <c r="BR192" s="478">
        <f t="shared" si="158"/>
        <v>6.8919709716115912E-2</v>
      </c>
      <c r="BS192" s="67"/>
      <c r="BT192" s="86"/>
      <c r="BU192" s="183"/>
      <c r="BV192" s="1"/>
      <c r="BW192" s="61">
        <f t="shared" si="160"/>
        <v>183</v>
      </c>
    </row>
    <row r="193" spans="2:75" x14ac:dyDescent="0.3">
      <c r="B193" s="171">
        <f t="shared" si="159"/>
        <v>44093</v>
      </c>
      <c r="C193" s="61"/>
      <c r="D193" s="17">
        <v>43613</v>
      </c>
      <c r="E193" s="16"/>
      <c r="F193" s="16"/>
      <c r="G193" s="16"/>
      <c r="H193" s="16">
        <f t="shared" si="138"/>
        <v>7017953</v>
      </c>
      <c r="I193" s="16"/>
      <c r="J193" s="479">
        <f t="shared" si="139"/>
        <v>6.2533515716182465E-3</v>
      </c>
      <c r="K193" s="16"/>
      <c r="L193" s="16"/>
      <c r="M193" s="16"/>
      <c r="N193" s="16">
        <f t="shared" si="140"/>
        <v>287783</v>
      </c>
      <c r="O193" s="16">
        <f t="shared" si="141"/>
        <v>38141.04891304348</v>
      </c>
      <c r="P193" s="41"/>
      <c r="Q193" s="453"/>
      <c r="R193" s="16"/>
      <c r="S193" s="60"/>
      <c r="T193" s="16"/>
      <c r="U193" s="41"/>
      <c r="V193" s="10">
        <f t="shared" si="109"/>
        <v>85</v>
      </c>
      <c r="W193" s="34">
        <v>658</v>
      </c>
      <c r="X193" s="33"/>
      <c r="Y193" s="33"/>
      <c r="Z193" s="33"/>
      <c r="AA193" s="33">
        <f t="shared" si="142"/>
        <v>203915</v>
      </c>
      <c r="AB193" s="33"/>
      <c r="AC193" s="46">
        <f t="shared" si="143"/>
        <v>2.9056193451281305E-2</v>
      </c>
      <c r="AD193" s="33"/>
      <c r="AE193" s="33">
        <f t="shared" si="144"/>
        <v>1108.233695652174</v>
      </c>
      <c r="AF193" s="50"/>
      <c r="AG193" s="33">
        <f t="shared" si="145"/>
        <v>5715</v>
      </c>
      <c r="AH193" s="33">
        <f>SUM(D164:D299)</f>
        <v>459783024.35152841</v>
      </c>
      <c r="AI193" s="231">
        <f t="shared" si="146"/>
        <v>7.6271186440677971E-2</v>
      </c>
      <c r="AJ193" s="50"/>
      <c r="AK193" s="10"/>
      <c r="AL193" s="23">
        <f t="shared" si="147"/>
        <v>31799</v>
      </c>
      <c r="AM193" s="24"/>
      <c r="AN193" s="24"/>
      <c r="AO193" s="24">
        <v>178263</v>
      </c>
      <c r="AP193" s="24">
        <v>4223693</v>
      </c>
      <c r="AQ193" s="24"/>
      <c r="AR193" s="504">
        <f t="shared" si="148"/>
        <v>7.5858311302719013E-3</v>
      </c>
      <c r="AS193" s="25"/>
      <c r="AT193" s="25"/>
      <c r="AU193" s="24"/>
      <c r="AV193" s="341">
        <f t="shared" si="149"/>
        <v>0.60184116365555596</v>
      </c>
      <c r="AW193" s="341"/>
      <c r="AX193" s="24">
        <f t="shared" si="150"/>
        <v>22954.853260869564</v>
      </c>
      <c r="AY193" s="351"/>
      <c r="AZ193" s="10"/>
      <c r="BA193" s="66">
        <f t="shared" si="151"/>
        <v>1086851</v>
      </c>
      <c r="BB193" s="67"/>
      <c r="BC193" s="67">
        <v>97310312</v>
      </c>
      <c r="BD193" s="67"/>
      <c r="BE193" s="67">
        <f t="shared" si="152"/>
        <v>43613</v>
      </c>
      <c r="BF193" s="67"/>
      <c r="BG193" s="156">
        <f t="shared" si="153"/>
        <v>4.0127855612222832E-2</v>
      </c>
      <c r="BH193" s="67"/>
      <c r="BI193" s="183"/>
      <c r="BJ193" s="67"/>
      <c r="BK193" s="67">
        <f t="shared" si="154"/>
        <v>5606809</v>
      </c>
      <c r="BL193" s="67"/>
      <c r="BM193" s="156">
        <f t="shared" si="155"/>
        <v>0</v>
      </c>
      <c r="BN193" s="66">
        <f t="shared" si="156"/>
        <v>528860.39130434778</v>
      </c>
      <c r="BO193" s="67"/>
      <c r="BP193" s="67">
        <f t="shared" si="157"/>
        <v>6675306</v>
      </c>
      <c r="BQ193" s="67"/>
      <c r="BR193" s="478">
        <f t="shared" si="158"/>
        <v>6.8598135827578066E-2</v>
      </c>
      <c r="BS193" s="67"/>
      <c r="BT193" s="86"/>
      <c r="BU193" s="183"/>
      <c r="BV193" s="1"/>
      <c r="BW193" s="61">
        <f t="shared" si="160"/>
        <v>184</v>
      </c>
    </row>
    <row r="194" spans="2:75" x14ac:dyDescent="0.3">
      <c r="B194" s="390">
        <f t="shared" si="159"/>
        <v>44094</v>
      </c>
      <c r="C194" s="61"/>
      <c r="D194" s="17">
        <v>33386</v>
      </c>
      <c r="E194" s="16"/>
      <c r="F194" s="16"/>
      <c r="G194" s="16"/>
      <c r="H194" s="16">
        <f t="shared" si="138"/>
        <v>7051339</v>
      </c>
      <c r="I194" s="16"/>
      <c r="J194" s="479">
        <f t="shared" si="139"/>
        <v>4.7572276417354176E-3</v>
      </c>
      <c r="K194" s="16"/>
      <c r="L194" s="16"/>
      <c r="M194" s="16"/>
      <c r="N194" s="16">
        <f t="shared" si="140"/>
        <v>289312</v>
      </c>
      <c r="O194" s="16">
        <f t="shared" si="141"/>
        <v>38115.345945945948</v>
      </c>
      <c r="P194" s="41"/>
      <c r="Q194" s="453"/>
      <c r="R194" s="16"/>
      <c r="S194" s="60"/>
      <c r="T194" s="16"/>
      <c r="U194" s="41"/>
      <c r="V194" s="10">
        <f t="shared" si="109"/>
        <v>86</v>
      </c>
      <c r="W194" s="34">
        <v>294</v>
      </c>
      <c r="X194" s="33"/>
      <c r="Y194" s="33"/>
      <c r="Z194" s="33"/>
      <c r="AA194" s="33">
        <f t="shared" si="142"/>
        <v>204209</v>
      </c>
      <c r="AB194" s="33"/>
      <c r="AC194" s="46">
        <f t="shared" si="143"/>
        <v>2.8960315196872536E-2</v>
      </c>
      <c r="AD194" s="33"/>
      <c r="AE194" s="33">
        <f t="shared" si="144"/>
        <v>1103.8324324324324</v>
      </c>
      <c r="AF194" s="50"/>
      <c r="AG194" s="33">
        <f t="shared" si="145"/>
        <v>5617</v>
      </c>
      <c r="AH194" s="33">
        <f>SUM(D165:D300)</f>
        <v>459732543.35152841</v>
      </c>
      <c r="AI194" s="231">
        <f t="shared" si="146"/>
        <v>6.5440060698027311E-2</v>
      </c>
      <c r="AJ194" s="50"/>
      <c r="AK194" s="10"/>
      <c r="AL194" s="23">
        <f t="shared" si="147"/>
        <v>26447</v>
      </c>
      <c r="AM194" s="24"/>
      <c r="AN194" s="24"/>
      <c r="AO194" s="24">
        <v>178263</v>
      </c>
      <c r="AP194" s="24">
        <v>4250140</v>
      </c>
      <c r="AQ194" s="24"/>
      <c r="AR194" s="504">
        <f t="shared" si="148"/>
        <v>6.2615819852437195E-3</v>
      </c>
      <c r="AS194" s="25"/>
      <c r="AT194" s="25"/>
      <c r="AU194" s="24"/>
      <c r="AV194" s="341">
        <f t="shared" si="149"/>
        <v>0.60274225930706216</v>
      </c>
      <c r="AW194" s="341"/>
      <c r="AX194" s="24">
        <f t="shared" si="150"/>
        <v>22973.72972972973</v>
      </c>
      <c r="AY194" s="351"/>
      <c r="AZ194" s="391"/>
      <c r="BA194" s="66">
        <f t="shared" si="151"/>
        <v>856297</v>
      </c>
      <c r="BB194" s="67"/>
      <c r="BC194" s="67">
        <v>98166609</v>
      </c>
      <c r="BD194" s="67"/>
      <c r="BE194" s="67">
        <f t="shared" si="152"/>
        <v>33386</v>
      </c>
      <c r="BF194" s="67"/>
      <c r="BG194" s="156">
        <f t="shared" si="153"/>
        <v>3.8988808789473743E-2</v>
      </c>
      <c r="BH194" s="67"/>
      <c r="BI194" s="183"/>
      <c r="BJ194" s="67"/>
      <c r="BK194" s="67">
        <f t="shared" si="154"/>
        <v>5763109</v>
      </c>
      <c r="BL194" s="67"/>
      <c r="BM194" s="156">
        <f t="shared" si="155"/>
        <v>0</v>
      </c>
      <c r="BN194" s="66">
        <f t="shared" si="156"/>
        <v>530630.31891891896</v>
      </c>
      <c r="BO194" s="67"/>
      <c r="BP194" s="67">
        <f t="shared" si="157"/>
        <v>6708692</v>
      </c>
      <c r="BQ194" s="67"/>
      <c r="BR194" s="478">
        <f t="shared" si="158"/>
        <v>6.8339856783684969E-2</v>
      </c>
      <c r="BS194" s="67"/>
      <c r="BT194" s="86"/>
      <c r="BU194" s="183"/>
      <c r="BV194" s="1"/>
      <c r="BW194" s="61">
        <f t="shared" si="160"/>
        <v>185</v>
      </c>
    </row>
    <row r="195" spans="2:75" x14ac:dyDescent="0.3">
      <c r="B195" s="171">
        <f t="shared" si="159"/>
        <v>44095</v>
      </c>
      <c r="C195" s="61"/>
      <c r="D195" s="17">
        <v>36804</v>
      </c>
      <c r="E195" s="16"/>
      <c r="F195" s="16"/>
      <c r="G195" s="16"/>
      <c r="H195" s="16">
        <f t="shared" si="138"/>
        <v>7088143</v>
      </c>
      <c r="I195" s="16"/>
      <c r="J195" s="479">
        <f t="shared" si="139"/>
        <v>5.2194342095877111E-3</v>
      </c>
      <c r="K195" s="16"/>
      <c r="L195" s="16"/>
      <c r="M195" s="16"/>
      <c r="N195" s="16">
        <f t="shared" si="140"/>
        <v>288044</v>
      </c>
      <c r="O195" s="16">
        <f t="shared" si="141"/>
        <v>38108.295698924732</v>
      </c>
      <c r="P195" s="41"/>
      <c r="Q195" s="453"/>
      <c r="R195" s="16"/>
      <c r="S195" s="60"/>
      <c r="T195" s="16"/>
      <c r="U195" s="41"/>
      <c r="V195" s="10">
        <f t="shared" si="109"/>
        <v>87</v>
      </c>
      <c r="W195" s="34">
        <v>384</v>
      </c>
      <c r="X195" s="33"/>
      <c r="Y195" s="33"/>
      <c r="Z195" s="33"/>
      <c r="AA195" s="33">
        <f t="shared" si="142"/>
        <v>204593</v>
      </c>
      <c r="AB195" s="33"/>
      <c r="AC195" s="46">
        <f t="shared" si="143"/>
        <v>2.8864118570971268E-2</v>
      </c>
      <c r="AD195" s="33"/>
      <c r="AE195" s="33">
        <f t="shared" si="144"/>
        <v>1099.9623655913979</v>
      </c>
      <c r="AF195" s="50"/>
      <c r="AG195" s="33">
        <f t="shared" si="145"/>
        <v>5521</v>
      </c>
      <c r="AH195" s="33">
        <f>SUM(D166:D301)</f>
        <v>459688714.35152841</v>
      </c>
      <c r="AI195" s="231">
        <f t="shared" si="146"/>
        <v>1.0062202707647273E-2</v>
      </c>
      <c r="AJ195" s="50"/>
      <c r="AK195" s="10"/>
      <c r="AL195" s="23">
        <f t="shared" si="147"/>
        <v>49385</v>
      </c>
      <c r="AM195" s="24"/>
      <c r="AN195" s="24"/>
      <c r="AO195" s="24">
        <v>178263</v>
      </c>
      <c r="AP195" s="24">
        <v>4299525</v>
      </c>
      <c r="AQ195" s="24"/>
      <c r="AR195" s="504">
        <f t="shared" si="148"/>
        <v>1.1619617236138104E-2</v>
      </c>
      <c r="AS195" s="25"/>
      <c r="AT195" s="25"/>
      <c r="AU195" s="24"/>
      <c r="AV195" s="341">
        <f t="shared" si="149"/>
        <v>0.60657988982445754</v>
      </c>
      <c r="AW195" s="341"/>
      <c r="AX195" s="24">
        <f t="shared" si="150"/>
        <v>23115.725806451614</v>
      </c>
      <c r="AY195" s="351"/>
      <c r="AZ195" s="10"/>
      <c r="BA195" s="66">
        <f t="shared" si="151"/>
        <v>743166</v>
      </c>
      <c r="BB195" s="67"/>
      <c r="BC195" s="67">
        <v>98909775</v>
      </c>
      <c r="BD195" s="67"/>
      <c r="BE195" s="67">
        <f t="shared" si="152"/>
        <v>36804</v>
      </c>
      <c r="BF195" s="67"/>
      <c r="BG195" s="156">
        <f t="shared" si="153"/>
        <v>4.9523255907832166E-2</v>
      </c>
      <c r="BH195" s="67"/>
      <c r="BI195" s="183"/>
      <c r="BJ195" s="67"/>
      <c r="BK195" s="67">
        <f t="shared" si="154"/>
        <v>6019453</v>
      </c>
      <c r="BL195" s="67"/>
      <c r="BM195" s="156">
        <f t="shared" si="155"/>
        <v>0</v>
      </c>
      <c r="BN195" s="66">
        <f t="shared" si="156"/>
        <v>531772.98387096776</v>
      </c>
      <c r="BO195" s="67"/>
      <c r="BP195" s="67">
        <f t="shared" si="157"/>
        <v>6745496</v>
      </c>
      <c r="BQ195" s="67"/>
      <c r="BR195" s="478">
        <f t="shared" si="158"/>
        <v>6.8198476844174405E-2</v>
      </c>
      <c r="BS195" s="67"/>
      <c r="BT195" s="86"/>
      <c r="BU195" s="183"/>
      <c r="BV195" s="1"/>
      <c r="BW195" s="61">
        <f t="shared" si="160"/>
        <v>186</v>
      </c>
    </row>
    <row r="196" spans="2:75" x14ac:dyDescent="0.3">
      <c r="B196" s="171">
        <f t="shared" si="159"/>
        <v>44096</v>
      </c>
      <c r="C196" s="61"/>
      <c r="D196" s="17">
        <v>35696</v>
      </c>
      <c r="E196" s="16"/>
      <c r="F196" s="16"/>
      <c r="G196" s="16"/>
      <c r="H196" s="16">
        <f t="shared" si="138"/>
        <v>7123839</v>
      </c>
      <c r="I196" s="16"/>
      <c r="J196" s="479">
        <f t="shared" si="139"/>
        <v>5.0360157801556766E-3</v>
      </c>
      <c r="K196" s="16"/>
      <c r="L196" s="16"/>
      <c r="M196" s="16"/>
      <c r="N196" s="16">
        <f t="shared" si="140"/>
        <v>287293</v>
      </c>
      <c r="O196" s="16">
        <f t="shared" si="141"/>
        <v>38095.395721925132</v>
      </c>
      <c r="P196" s="41"/>
      <c r="Q196" s="453"/>
      <c r="R196" s="16"/>
      <c r="S196" s="60"/>
      <c r="T196" s="16"/>
      <c r="U196" s="41"/>
      <c r="V196" s="10">
        <f t="shared" si="109"/>
        <v>88</v>
      </c>
      <c r="W196" s="34">
        <v>979</v>
      </c>
      <c r="X196" s="33"/>
      <c r="Y196" s="33"/>
      <c r="Z196" s="33"/>
      <c r="AA196" s="33">
        <f t="shared" si="142"/>
        <v>205572</v>
      </c>
      <c r="AB196" s="33"/>
      <c r="AC196" s="46">
        <f t="shared" si="143"/>
        <v>2.8856912684298453E-2</v>
      </c>
      <c r="AD196" s="33"/>
      <c r="AE196" s="33">
        <f t="shared" si="144"/>
        <v>1099.3155080213903</v>
      </c>
      <c r="AF196" s="50"/>
      <c r="AG196" s="33">
        <f t="shared" ref="AG196:AG204" si="161">SUM(W190:W196)</f>
        <v>5303</v>
      </c>
      <c r="AH196" s="33">
        <f>SUM(D167:D302)</f>
        <v>459655996.35152841</v>
      </c>
      <c r="AI196" s="231">
        <f t="shared" si="146"/>
        <v>-0.14010053510621048</v>
      </c>
      <c r="AJ196" s="50"/>
      <c r="AK196" s="10"/>
      <c r="AL196" s="23">
        <f t="shared" si="147"/>
        <v>46585</v>
      </c>
      <c r="AM196" s="24"/>
      <c r="AN196" s="24"/>
      <c r="AO196" s="24">
        <v>178263</v>
      </c>
      <c r="AP196" s="24">
        <v>4346110</v>
      </c>
      <c r="AQ196" s="24"/>
      <c r="AR196" s="504">
        <f t="shared" si="148"/>
        <v>1.0834917810688389E-2</v>
      </c>
      <c r="AS196" s="25"/>
      <c r="AT196" s="25"/>
      <c r="AU196" s="24"/>
      <c r="AV196" s="341">
        <f t="shared" si="149"/>
        <v>0.61007976176890022</v>
      </c>
      <c r="AW196" s="341"/>
      <c r="AX196" s="24">
        <f t="shared" si="150"/>
        <v>23241.229946524065</v>
      </c>
      <c r="AY196" s="351"/>
      <c r="AZ196" s="10"/>
      <c r="BA196" s="66">
        <f t="shared" si="151"/>
        <v>772198</v>
      </c>
      <c r="BB196" s="67"/>
      <c r="BC196" s="67">
        <v>99681973</v>
      </c>
      <c r="BD196" s="67"/>
      <c r="BE196" s="67">
        <f t="shared" si="152"/>
        <v>35696</v>
      </c>
      <c r="BF196" s="67"/>
      <c r="BG196" s="156">
        <f t="shared" si="153"/>
        <v>4.6226485953084574E-2</v>
      </c>
      <c r="BH196" s="67"/>
      <c r="BI196" s="183"/>
      <c r="BJ196" s="67"/>
      <c r="BK196" s="67">
        <f t="shared" si="154"/>
        <v>6050015</v>
      </c>
      <c r="BL196" s="67"/>
      <c r="BM196" s="156">
        <f t="shared" si="155"/>
        <v>0</v>
      </c>
      <c r="BN196" s="66">
        <f t="shared" si="156"/>
        <v>533058.67914438504</v>
      </c>
      <c r="BO196" s="67"/>
      <c r="BP196" s="67">
        <f t="shared" si="157"/>
        <v>6781192</v>
      </c>
      <c r="BQ196" s="67"/>
      <c r="BR196" s="478">
        <f t="shared" si="158"/>
        <v>6.8028268260701463E-2</v>
      </c>
      <c r="BS196" s="67"/>
      <c r="BT196" s="86"/>
      <c r="BU196" s="183"/>
      <c r="BV196" s="1"/>
      <c r="BW196" s="61">
        <f t="shared" si="160"/>
        <v>187</v>
      </c>
    </row>
    <row r="197" spans="2:75" x14ac:dyDescent="0.3">
      <c r="B197" s="171">
        <f t="shared" si="159"/>
        <v>44097</v>
      </c>
      <c r="C197" s="61"/>
      <c r="D197" s="17">
        <v>41616</v>
      </c>
      <c r="E197" s="16"/>
      <c r="F197" s="16"/>
      <c r="G197" s="16"/>
      <c r="H197" s="16">
        <f t="shared" si="138"/>
        <v>7165455</v>
      </c>
      <c r="I197" s="16"/>
      <c r="J197" s="479">
        <f t="shared" si="139"/>
        <v>5.8417940102239814E-3</v>
      </c>
      <c r="K197" s="16"/>
      <c r="L197" s="16"/>
      <c r="M197" s="16"/>
      <c r="N197" s="16">
        <f t="shared" si="140"/>
        <v>288755</v>
      </c>
      <c r="O197" s="16">
        <f t="shared" si="141"/>
        <v>38114.122340425529</v>
      </c>
      <c r="P197" s="41"/>
      <c r="Q197" s="453"/>
      <c r="R197" s="16"/>
      <c r="S197" s="60"/>
      <c r="T197" s="16"/>
      <c r="U197" s="41"/>
      <c r="V197" s="10">
        <f t="shared" si="109"/>
        <v>89</v>
      </c>
      <c r="W197" s="34">
        <v>1115</v>
      </c>
      <c r="X197" s="33"/>
      <c r="Y197" s="33"/>
      <c r="Z197" s="33"/>
      <c r="AA197" s="33">
        <f t="shared" si="142"/>
        <v>206687</v>
      </c>
      <c r="AB197" s="33"/>
      <c r="AC197" s="46">
        <f t="shared" si="143"/>
        <v>2.8844923316104838E-2</v>
      </c>
      <c r="AD197" s="33"/>
      <c r="AE197" s="33">
        <f t="shared" si="144"/>
        <v>1099.3989361702127</v>
      </c>
      <c r="AF197" s="50"/>
      <c r="AG197" s="33">
        <f t="shared" si="161"/>
        <v>5267</v>
      </c>
      <c r="AH197" s="33">
        <f>SUM(D168:D303)</f>
        <v>459614512.35152841</v>
      </c>
      <c r="AI197" s="231">
        <f t="shared" si="146"/>
        <v>-0.13797054009819967</v>
      </c>
      <c r="AJ197" s="50"/>
      <c r="AK197" s="10"/>
      <c r="AL197" s="23">
        <f t="shared" si="147"/>
        <v>52797</v>
      </c>
      <c r="AM197" s="24"/>
      <c r="AN197" s="24"/>
      <c r="AO197" s="24">
        <v>178263</v>
      </c>
      <c r="AP197" s="24">
        <v>4398907</v>
      </c>
      <c r="AQ197" s="24"/>
      <c r="AR197" s="504">
        <f t="shared" si="148"/>
        <v>1.2148104856987052E-2</v>
      </c>
      <c r="AS197" s="25"/>
      <c r="AT197" s="25"/>
      <c r="AU197" s="24"/>
      <c r="AV197" s="341">
        <f t="shared" si="149"/>
        <v>0.61390476948079364</v>
      </c>
      <c r="AW197" s="341"/>
      <c r="AX197" s="24">
        <f t="shared" si="150"/>
        <v>23398.441489361703</v>
      </c>
      <c r="AY197" s="351"/>
      <c r="AZ197" s="10"/>
      <c r="BA197" s="66">
        <f t="shared" si="151"/>
        <v>900117</v>
      </c>
      <c r="BB197" s="67"/>
      <c r="BC197" s="67">
        <v>100582090</v>
      </c>
      <c r="BD197" s="67"/>
      <c r="BE197" s="67">
        <f t="shared" si="152"/>
        <v>41616</v>
      </c>
      <c r="BF197" s="67"/>
      <c r="BG197" s="156">
        <f t="shared" si="153"/>
        <v>4.6233989581354426E-2</v>
      </c>
      <c r="BH197" s="67"/>
      <c r="BI197" s="183"/>
      <c r="BJ197" s="67"/>
      <c r="BK197" s="67">
        <f t="shared" si="154"/>
        <v>6213023</v>
      </c>
      <c r="BL197" s="67"/>
      <c r="BM197" s="156">
        <f t="shared" si="155"/>
        <v>0</v>
      </c>
      <c r="BN197" s="66">
        <f t="shared" si="156"/>
        <v>535011.11702127662</v>
      </c>
      <c r="BO197" s="67"/>
      <c r="BP197" s="67">
        <f t="shared" si="157"/>
        <v>6822808</v>
      </c>
      <c r="BQ197" s="67"/>
      <c r="BR197" s="478">
        <f t="shared" si="158"/>
        <v>6.7833229554088603E-2</v>
      </c>
      <c r="BS197" s="67"/>
      <c r="BT197" s="86"/>
      <c r="BU197" s="183"/>
      <c r="BV197" s="1"/>
      <c r="BW197" s="61">
        <f t="shared" si="160"/>
        <v>188</v>
      </c>
    </row>
    <row r="198" spans="2:75" x14ac:dyDescent="0.3">
      <c r="B198" s="171">
        <f t="shared" si="159"/>
        <v>44098</v>
      </c>
      <c r="C198" s="61"/>
      <c r="D198" s="17">
        <v>45355</v>
      </c>
      <c r="E198" s="16"/>
      <c r="F198" s="16"/>
      <c r="G198" s="16"/>
      <c r="H198" s="16">
        <f t="shared" si="138"/>
        <v>7210810</v>
      </c>
      <c r="I198" s="16"/>
      <c r="J198" s="479">
        <f t="shared" si="139"/>
        <v>6.3296748078105298E-3</v>
      </c>
      <c r="K198" s="16"/>
      <c r="L198" s="16"/>
      <c r="M198" s="16"/>
      <c r="N198" s="16">
        <f t="shared" si="140"/>
        <v>287815</v>
      </c>
      <c r="O198" s="16">
        <f t="shared" si="141"/>
        <v>38152.433862433863</v>
      </c>
      <c r="P198" s="41"/>
      <c r="Q198" s="453"/>
      <c r="R198" s="16"/>
      <c r="S198" s="60"/>
      <c r="T198" s="16"/>
      <c r="U198" s="41"/>
      <c r="V198" s="10">
        <f t="shared" si="109"/>
        <v>90</v>
      </c>
      <c r="W198" s="34">
        <v>942</v>
      </c>
      <c r="X198" s="33"/>
      <c r="Y198" s="33"/>
      <c r="Z198" s="33"/>
      <c r="AA198" s="33">
        <f t="shared" si="142"/>
        <v>207629</v>
      </c>
      <c r="AB198" s="33"/>
      <c r="AC198" s="46">
        <f t="shared" si="143"/>
        <v>2.8794129924377427E-2</v>
      </c>
      <c r="AD198" s="33"/>
      <c r="AE198" s="33">
        <f t="shared" si="144"/>
        <v>1098.5661375661375</v>
      </c>
      <c r="AF198" s="50"/>
      <c r="AG198" s="33">
        <f t="shared" si="161"/>
        <v>5330</v>
      </c>
      <c r="AH198" s="33">
        <f>SUM(D169:D304)</f>
        <v>459574414.35152841</v>
      </c>
      <c r="AI198" s="231">
        <f t="shared" si="146"/>
        <v>-9.6610169491525427E-2</v>
      </c>
      <c r="AJ198" s="50"/>
      <c r="AK198" s="10"/>
      <c r="AL198" s="23">
        <f t="shared" si="147"/>
        <v>38643</v>
      </c>
      <c r="AM198" s="24"/>
      <c r="AN198" s="24"/>
      <c r="AO198" s="24">
        <v>178263</v>
      </c>
      <c r="AP198" s="24">
        <v>4437550</v>
      </c>
      <c r="AQ198" s="24"/>
      <c r="AR198" s="504">
        <f t="shared" si="148"/>
        <v>8.7846821949179657E-3</v>
      </c>
      <c r="AS198" s="25"/>
      <c r="AT198" s="25"/>
      <c r="AU198" s="24"/>
      <c r="AV198" s="341">
        <f t="shared" si="149"/>
        <v>0.61540243051751464</v>
      </c>
      <c r="AW198" s="341"/>
      <c r="AX198" s="24">
        <f t="shared" si="150"/>
        <v>23479.100529100528</v>
      </c>
      <c r="AY198" s="351"/>
      <c r="AZ198" s="10"/>
      <c r="BA198" s="66">
        <f t="shared" si="151"/>
        <v>990101</v>
      </c>
      <c r="BB198" s="67"/>
      <c r="BC198" s="67">
        <v>101572191</v>
      </c>
      <c r="BD198" s="67"/>
      <c r="BE198" s="67">
        <f t="shared" si="152"/>
        <v>45355</v>
      </c>
      <c r="BF198" s="67"/>
      <c r="BG198" s="156">
        <f t="shared" si="153"/>
        <v>4.5808457924999574E-2</v>
      </c>
      <c r="BH198" s="67"/>
      <c r="BI198" s="183"/>
      <c r="BJ198" s="67"/>
      <c r="BK198" s="67">
        <f t="shared" si="154"/>
        <v>6337169</v>
      </c>
      <c r="BL198" s="67"/>
      <c r="BM198" s="156">
        <f t="shared" si="155"/>
        <v>0</v>
      </c>
      <c r="BN198" s="66">
        <f t="shared" si="156"/>
        <v>537419</v>
      </c>
      <c r="BO198" s="67"/>
      <c r="BP198" s="67">
        <f t="shared" si="157"/>
        <v>6868163</v>
      </c>
      <c r="BQ198" s="67"/>
      <c r="BR198" s="478">
        <f t="shared" si="158"/>
        <v>6.7618537440036125E-2</v>
      </c>
      <c r="BS198" s="67"/>
      <c r="BT198" s="86"/>
      <c r="BU198" s="183"/>
      <c r="BV198" s="1"/>
      <c r="BW198" s="61">
        <f t="shared" si="160"/>
        <v>189</v>
      </c>
    </row>
    <row r="199" spans="2:75" x14ac:dyDescent="0.3">
      <c r="B199" s="171">
        <f t="shared" si="159"/>
        <v>44099</v>
      </c>
      <c r="C199" s="61"/>
      <c r="D199" s="17">
        <v>53629</v>
      </c>
      <c r="E199" s="16"/>
      <c r="F199" s="16"/>
      <c r="G199" s="16"/>
      <c r="H199" s="16">
        <f t="shared" si="138"/>
        <v>7264439</v>
      </c>
      <c r="I199" s="16"/>
      <c r="J199" s="479">
        <f t="shared" si="139"/>
        <v>7.4373059337300524E-3</v>
      </c>
      <c r="K199" s="16"/>
      <c r="L199" s="16"/>
      <c r="M199" s="16"/>
      <c r="N199" s="16">
        <f t="shared" si="140"/>
        <v>290099</v>
      </c>
      <c r="O199" s="16">
        <f t="shared" si="141"/>
        <v>38233.889473684212</v>
      </c>
      <c r="P199" s="41"/>
      <c r="Q199" s="453"/>
      <c r="R199" s="16"/>
      <c r="S199" s="60"/>
      <c r="T199" s="16"/>
      <c r="U199" s="41"/>
      <c r="V199" s="10">
        <f t="shared" si="109"/>
        <v>91</v>
      </c>
      <c r="W199" s="34">
        <v>895</v>
      </c>
      <c r="X199" s="33"/>
      <c r="Y199" s="33"/>
      <c r="Z199" s="33"/>
      <c r="AA199" s="33">
        <f t="shared" si="142"/>
        <v>208524</v>
      </c>
      <c r="AB199" s="33"/>
      <c r="AC199" s="46">
        <f t="shared" si="143"/>
        <v>2.8704763024371187E-2</v>
      </c>
      <c r="AD199" s="33"/>
      <c r="AE199" s="33">
        <f t="shared" si="144"/>
        <v>1097.4947368421053</v>
      </c>
      <c r="AF199" s="50"/>
      <c r="AG199" s="33">
        <f t="shared" si="161"/>
        <v>5267</v>
      </c>
      <c r="AH199" s="33">
        <f>SUM(D170:D305)</f>
        <v>459529777.35152841</v>
      </c>
      <c r="AI199" s="231">
        <f t="shared" si="146"/>
        <v>-8.6224843858431641E-2</v>
      </c>
      <c r="AJ199" s="50"/>
      <c r="AK199" s="10"/>
      <c r="AL199" s="23">
        <f t="shared" si="147"/>
        <v>43169</v>
      </c>
      <c r="AM199" s="24"/>
      <c r="AN199" s="24"/>
      <c r="AO199" s="24">
        <v>178263</v>
      </c>
      <c r="AP199" s="24">
        <v>4480719</v>
      </c>
      <c r="AQ199" s="24"/>
      <c r="AR199" s="504">
        <f t="shared" si="148"/>
        <v>9.7281157395409622E-3</v>
      </c>
      <c r="AS199" s="25"/>
      <c r="AT199" s="25"/>
      <c r="AU199" s="24"/>
      <c r="AV199" s="341">
        <f t="shared" si="149"/>
        <v>0.61680179295331683</v>
      </c>
      <c r="AW199" s="341"/>
      <c r="AX199" s="24">
        <f t="shared" si="150"/>
        <v>23582.731578947369</v>
      </c>
      <c r="AY199" s="351"/>
      <c r="AZ199" s="10"/>
      <c r="BA199" s="66">
        <f t="shared" si="151"/>
        <v>975164</v>
      </c>
      <c r="BB199" s="67"/>
      <c r="BC199" s="67">
        <v>102547355</v>
      </c>
      <c r="BD199" s="67"/>
      <c r="BE199" s="67">
        <f t="shared" si="152"/>
        <v>53629</v>
      </c>
      <c r="BF199" s="67"/>
      <c r="BG199" s="156">
        <f t="shared" si="153"/>
        <v>5.4994852147946395E-2</v>
      </c>
      <c r="BH199" s="67"/>
      <c r="BI199" s="183"/>
      <c r="BJ199" s="67"/>
      <c r="BK199" s="67">
        <f t="shared" si="154"/>
        <v>6323894</v>
      </c>
      <c r="BL199" s="67"/>
      <c r="BM199" s="156">
        <f t="shared" si="155"/>
        <v>0</v>
      </c>
      <c r="BN199" s="66">
        <f t="shared" si="156"/>
        <v>539722.92105263157</v>
      </c>
      <c r="BO199" s="67"/>
      <c r="BP199" s="67">
        <f t="shared" si="157"/>
        <v>6921792</v>
      </c>
      <c r="BQ199" s="67"/>
      <c r="BR199" s="478">
        <f t="shared" si="158"/>
        <v>6.7498493744670457E-2</v>
      </c>
      <c r="BS199" s="67"/>
      <c r="BT199" s="86"/>
      <c r="BU199" s="183"/>
      <c r="BV199" s="1"/>
      <c r="BW199" s="61">
        <f t="shared" si="160"/>
        <v>190</v>
      </c>
    </row>
    <row r="200" spans="2:75" x14ac:dyDescent="0.3">
      <c r="B200" s="171">
        <f t="shared" si="159"/>
        <v>44100</v>
      </c>
      <c r="C200" s="61"/>
      <c r="D200" s="17">
        <v>43206</v>
      </c>
      <c r="E200" s="16"/>
      <c r="F200" s="16"/>
      <c r="G200" s="16"/>
      <c r="H200" s="16">
        <f t="shared" si="138"/>
        <v>7307645</v>
      </c>
      <c r="I200" s="16"/>
      <c r="J200" s="479">
        <f t="shared" si="139"/>
        <v>5.9476031115410291E-3</v>
      </c>
      <c r="K200" s="16"/>
      <c r="L200" s="16"/>
      <c r="M200" s="16"/>
      <c r="N200" s="16">
        <f t="shared" si="140"/>
        <v>289692</v>
      </c>
      <c r="O200" s="16">
        <f t="shared" si="141"/>
        <v>38259.921465968589</v>
      </c>
      <c r="P200" s="41"/>
      <c r="Q200" s="453"/>
      <c r="R200" s="16"/>
      <c r="S200" s="60"/>
      <c r="T200" s="16"/>
      <c r="U200" s="41"/>
      <c r="V200" s="10">
        <f t="shared" si="109"/>
        <v>92</v>
      </c>
      <c r="W200" s="34">
        <v>737</v>
      </c>
      <c r="X200" s="33"/>
      <c r="Y200" s="33"/>
      <c r="Z200" s="33"/>
      <c r="AA200" s="33">
        <f t="shared" si="142"/>
        <v>209261</v>
      </c>
      <c r="AB200" s="33"/>
      <c r="AC200" s="46">
        <f t="shared" si="143"/>
        <v>2.8635901169254938E-2</v>
      </c>
      <c r="AD200" s="33"/>
      <c r="AE200" s="33">
        <f t="shared" si="144"/>
        <v>1095.6073298429319</v>
      </c>
      <c r="AF200" s="50"/>
      <c r="AG200" s="33">
        <f t="shared" si="161"/>
        <v>5346</v>
      </c>
      <c r="AH200" s="33">
        <f>SUM(D171:D306)</f>
        <v>459483771.35152841</v>
      </c>
      <c r="AI200" s="231">
        <f t="shared" si="146"/>
        <v>-6.4566929133858267E-2</v>
      </c>
      <c r="AJ200" s="50"/>
      <c r="AK200" s="10"/>
      <c r="AL200" s="23">
        <f t="shared" si="147"/>
        <v>43389</v>
      </c>
      <c r="AM200" s="24"/>
      <c r="AN200" s="24"/>
      <c r="AO200" s="24">
        <v>178263</v>
      </c>
      <c r="AP200" s="24">
        <v>4524108</v>
      </c>
      <c r="AQ200" s="24"/>
      <c r="AR200" s="504">
        <f t="shared" si="148"/>
        <v>9.6834905290869612E-3</v>
      </c>
      <c r="AS200" s="25"/>
      <c r="AT200" s="25"/>
      <c r="AU200" s="24"/>
      <c r="AV200" s="341">
        <f t="shared" si="149"/>
        <v>0.61909247096704889</v>
      </c>
      <c r="AW200" s="341"/>
      <c r="AX200" s="24">
        <f t="shared" si="150"/>
        <v>23686.429319371728</v>
      </c>
      <c r="AY200" s="351"/>
      <c r="AZ200" s="10"/>
      <c r="BA200" s="66">
        <f t="shared" si="151"/>
        <v>1028168</v>
      </c>
      <c r="BB200" s="67"/>
      <c r="BC200" s="67">
        <v>103575523</v>
      </c>
      <c r="BD200" s="67"/>
      <c r="BE200" s="67">
        <f t="shared" si="152"/>
        <v>43206</v>
      </c>
      <c r="BF200" s="67"/>
      <c r="BG200" s="156">
        <f t="shared" si="153"/>
        <v>4.2022315419270005E-2</v>
      </c>
      <c r="BH200" s="67"/>
      <c r="BI200" s="183"/>
      <c r="BJ200" s="67"/>
      <c r="BK200" s="67">
        <f t="shared" si="154"/>
        <v>6265211</v>
      </c>
      <c r="BL200" s="67"/>
      <c r="BM200" s="156">
        <f t="shared" si="155"/>
        <v>0</v>
      </c>
      <c r="BN200" s="66">
        <f t="shared" si="156"/>
        <v>542280.22513089003</v>
      </c>
      <c r="BO200" s="67"/>
      <c r="BP200" s="67">
        <f t="shared" si="157"/>
        <v>6964998</v>
      </c>
      <c r="BQ200" s="67"/>
      <c r="BR200" s="478">
        <f t="shared" si="158"/>
        <v>6.7245598170911483E-2</v>
      </c>
      <c r="BS200" s="67"/>
      <c r="BT200" s="86"/>
      <c r="BU200" s="183"/>
      <c r="BV200" s="1"/>
      <c r="BW200" s="61">
        <f t="shared" si="160"/>
        <v>191</v>
      </c>
    </row>
    <row r="201" spans="2:75" x14ac:dyDescent="0.3">
      <c r="B201" s="390">
        <f t="shared" si="159"/>
        <v>44101</v>
      </c>
      <c r="C201" s="61"/>
      <c r="D201" s="17">
        <v>33782</v>
      </c>
      <c r="E201" s="16"/>
      <c r="F201" s="16"/>
      <c r="G201" s="16"/>
      <c r="H201" s="16">
        <f t="shared" si="138"/>
        <v>7341427</v>
      </c>
      <c r="I201" s="16"/>
      <c r="J201" s="479">
        <f t="shared" si="139"/>
        <v>4.622829926741105E-3</v>
      </c>
      <c r="K201" s="16"/>
      <c r="L201" s="16"/>
      <c r="M201" s="16"/>
      <c r="N201" s="16">
        <f t="shared" si="140"/>
        <v>290088</v>
      </c>
      <c r="O201" s="16">
        <f t="shared" si="141"/>
        <v>38236.598958333336</v>
      </c>
      <c r="P201" s="41"/>
      <c r="Q201" s="453"/>
      <c r="R201" s="16"/>
      <c r="S201" s="60"/>
      <c r="T201" s="16"/>
      <c r="U201" s="41"/>
      <c r="V201" s="391">
        <f t="shared" si="109"/>
        <v>93</v>
      </c>
      <c r="W201" s="34">
        <v>276</v>
      </c>
      <c r="X201" s="33"/>
      <c r="Y201" s="33"/>
      <c r="Z201" s="33"/>
      <c r="AA201" s="33">
        <f t="shared" si="142"/>
        <v>209537</v>
      </c>
      <c r="AB201" s="33"/>
      <c r="AC201" s="46">
        <f t="shared" si="143"/>
        <v>2.8541726288363285E-2</v>
      </c>
      <c r="AD201" s="33"/>
      <c r="AE201" s="33">
        <f t="shared" si="144"/>
        <v>1091.3385416666667</v>
      </c>
      <c r="AF201" s="50"/>
      <c r="AG201" s="33">
        <f t="shared" si="161"/>
        <v>5328</v>
      </c>
      <c r="AH201" s="33">
        <f>SUM(D172:D307)</f>
        <v>459434170.35152841</v>
      </c>
      <c r="AI201" s="231">
        <f t="shared" si="146"/>
        <v>-5.145095246572904E-2</v>
      </c>
      <c r="AJ201" s="50"/>
      <c r="AK201" s="10"/>
      <c r="AL201" s="23">
        <f t="shared" si="147"/>
        <v>36348</v>
      </c>
      <c r="AM201" s="24"/>
      <c r="AN201" s="24"/>
      <c r="AO201" s="24">
        <v>178263</v>
      </c>
      <c r="AP201" s="24">
        <v>4560456</v>
      </c>
      <c r="AQ201" s="24"/>
      <c r="AR201" s="504">
        <f t="shared" si="148"/>
        <v>8.0342909585712809E-3</v>
      </c>
      <c r="AS201" s="25"/>
      <c r="AT201" s="25"/>
      <c r="AU201" s="24"/>
      <c r="AV201" s="341">
        <f t="shared" si="149"/>
        <v>0.62119476227169457</v>
      </c>
      <c r="AW201" s="341"/>
      <c r="AX201" s="24">
        <f t="shared" si="150"/>
        <v>23752.375</v>
      </c>
      <c r="AY201" s="351"/>
      <c r="AZ201" s="391"/>
      <c r="BA201" s="66">
        <f t="shared" si="151"/>
        <v>759639</v>
      </c>
      <c r="BB201" s="67"/>
      <c r="BC201" s="67">
        <v>104335162</v>
      </c>
      <c r="BD201" s="67"/>
      <c r="BE201" s="67">
        <f t="shared" si="152"/>
        <v>33782</v>
      </c>
      <c r="BF201" s="67"/>
      <c r="BG201" s="156">
        <f t="shared" si="153"/>
        <v>4.4471123783797306E-2</v>
      </c>
      <c r="BH201" s="67"/>
      <c r="BI201" s="183"/>
      <c r="BJ201" s="67"/>
      <c r="BK201" s="67">
        <f t="shared" si="154"/>
        <v>6168553</v>
      </c>
      <c r="BL201" s="67"/>
      <c r="BM201" s="156">
        <f t="shared" si="155"/>
        <v>0</v>
      </c>
      <c r="BN201" s="66">
        <f t="shared" si="156"/>
        <v>543412.30208333337</v>
      </c>
      <c r="BO201" s="67"/>
      <c r="BP201" s="67">
        <f t="shared" si="157"/>
        <v>6998780</v>
      </c>
      <c r="BQ201" s="67"/>
      <c r="BR201" s="478">
        <f t="shared" si="158"/>
        <v>6.7079782748600131E-2</v>
      </c>
      <c r="BS201" s="67"/>
      <c r="BT201" s="86"/>
      <c r="BU201" s="183"/>
      <c r="BV201" s="1"/>
      <c r="BW201" s="61">
        <f t="shared" si="160"/>
        <v>192</v>
      </c>
    </row>
    <row r="202" spans="2:75" x14ac:dyDescent="0.3">
      <c r="B202" s="171">
        <f t="shared" si="159"/>
        <v>44102</v>
      </c>
      <c r="C202" s="61"/>
      <c r="D202" s="17">
        <v>37418</v>
      </c>
      <c r="E202" s="16"/>
      <c r="F202" s="16"/>
      <c r="G202" s="16"/>
      <c r="H202" s="16">
        <f t="shared" si="138"/>
        <v>7378845</v>
      </c>
      <c r="I202" s="16"/>
      <c r="J202" s="479">
        <f t="shared" si="139"/>
        <v>5.0968292676614509E-3</v>
      </c>
      <c r="K202" s="16"/>
      <c r="L202" s="16"/>
      <c r="M202" s="16"/>
      <c r="N202" s="16">
        <f t="shared" si="140"/>
        <v>290702</v>
      </c>
      <c r="O202" s="16">
        <f t="shared" si="141"/>
        <v>38232.357512953371</v>
      </c>
      <c r="P202" s="41"/>
      <c r="Q202" s="453"/>
      <c r="R202" s="16"/>
      <c r="S202" s="60"/>
      <c r="T202" s="16"/>
      <c r="U202" s="41"/>
      <c r="V202" s="10">
        <f t="shared" si="109"/>
        <v>94</v>
      </c>
      <c r="W202" s="34">
        <v>355</v>
      </c>
      <c r="X202" s="33"/>
      <c r="Y202" s="33"/>
      <c r="Z202" s="33"/>
      <c r="AA202" s="33">
        <f t="shared" si="142"/>
        <v>209892</v>
      </c>
      <c r="AB202" s="33"/>
      <c r="AC202" s="46">
        <f t="shared" si="143"/>
        <v>2.844510218062583E-2</v>
      </c>
      <c r="AD202" s="33"/>
      <c r="AE202" s="33">
        <f t="shared" si="144"/>
        <v>1087.5233160621763</v>
      </c>
      <c r="AF202" s="50"/>
      <c r="AG202" s="33">
        <f t="shared" si="161"/>
        <v>5299</v>
      </c>
      <c r="AH202" s="33">
        <f>SUM(D173:D308)</f>
        <v>459391510.35152841</v>
      </c>
      <c r="AI202" s="231">
        <f t="shared" si="146"/>
        <v>-4.0210106864698426E-2</v>
      </c>
      <c r="AJ202" s="50"/>
      <c r="AK202" s="10"/>
      <c r="AL202" s="23">
        <f t="shared" si="147"/>
        <v>49180</v>
      </c>
      <c r="AM202" s="24"/>
      <c r="AN202" s="24"/>
      <c r="AO202" s="24">
        <v>178263</v>
      </c>
      <c r="AP202" s="24">
        <v>4609636</v>
      </c>
      <c r="AQ202" s="24"/>
      <c r="AR202" s="504">
        <f t="shared" si="148"/>
        <v>1.0784009318366409E-2</v>
      </c>
      <c r="AS202" s="25"/>
      <c r="AT202" s="25"/>
      <c r="AU202" s="24"/>
      <c r="AV202" s="341">
        <f t="shared" si="149"/>
        <v>0.62470969372577956</v>
      </c>
      <c r="AW202" s="341"/>
      <c r="AX202" s="24">
        <f t="shared" si="150"/>
        <v>23884.124352331608</v>
      </c>
      <c r="AY202" s="351"/>
      <c r="AZ202" s="10"/>
      <c r="BA202" s="66">
        <f t="shared" si="151"/>
        <v>1066544</v>
      </c>
      <c r="BB202" s="67"/>
      <c r="BC202" s="67">
        <v>105401706</v>
      </c>
      <c r="BD202" s="67"/>
      <c r="BE202" s="67">
        <f t="shared" si="152"/>
        <v>37418</v>
      </c>
      <c r="BF202" s="67"/>
      <c r="BG202" s="156">
        <f t="shared" si="153"/>
        <v>3.5083409592103092E-2</v>
      </c>
      <c r="BH202" s="67"/>
      <c r="BI202" s="183"/>
      <c r="BJ202" s="67"/>
      <c r="BK202" s="67">
        <f t="shared" si="154"/>
        <v>6491931</v>
      </c>
      <c r="BL202" s="67"/>
      <c r="BM202" s="156">
        <f t="shared" si="155"/>
        <v>0</v>
      </c>
      <c r="BN202" s="66">
        <f t="shared" si="156"/>
        <v>546122.82901554403</v>
      </c>
      <c r="BO202" s="67"/>
      <c r="BP202" s="67">
        <f t="shared" si="157"/>
        <v>7036198</v>
      </c>
      <c r="BQ202" s="67"/>
      <c r="BR202" s="478">
        <f t="shared" si="158"/>
        <v>6.6756016264101076E-2</v>
      </c>
      <c r="BS202" s="67"/>
      <c r="BT202" s="86"/>
      <c r="BU202" s="183"/>
      <c r="BV202" s="1"/>
      <c r="BW202" s="61">
        <f t="shared" si="160"/>
        <v>193</v>
      </c>
    </row>
    <row r="203" spans="2:75" x14ac:dyDescent="0.3">
      <c r="B203" s="171">
        <f t="shared" si="159"/>
        <v>44103</v>
      </c>
      <c r="C203" s="61"/>
      <c r="D203" s="17">
        <v>44227</v>
      </c>
      <c r="E203" s="16"/>
      <c r="F203" s="16"/>
      <c r="G203" s="16"/>
      <c r="H203" s="16">
        <f t="shared" si="138"/>
        <v>7423072</v>
      </c>
      <c r="I203" s="16"/>
      <c r="J203" s="479">
        <f t="shared" si="139"/>
        <v>5.9937564754375516E-3</v>
      </c>
      <c r="K203" s="16"/>
      <c r="L203" s="16"/>
      <c r="M203" s="16"/>
      <c r="N203" s="16">
        <f t="shared" si="140"/>
        <v>299233</v>
      </c>
      <c r="O203" s="16">
        <f t="shared" si="141"/>
        <v>38263.257731958765</v>
      </c>
      <c r="P203" s="41"/>
      <c r="Q203" s="453"/>
      <c r="R203" s="16"/>
      <c r="S203" s="60"/>
      <c r="T203" s="16"/>
      <c r="U203" s="41"/>
      <c r="V203" s="10">
        <f t="shared" si="109"/>
        <v>95</v>
      </c>
      <c r="W203" s="34">
        <v>977</v>
      </c>
      <c r="X203" s="33"/>
      <c r="Y203" s="33"/>
      <c r="Z203" s="33"/>
      <c r="AA203" s="33">
        <f t="shared" si="142"/>
        <v>210869</v>
      </c>
      <c r="AB203" s="33"/>
      <c r="AC203" s="46">
        <f t="shared" si="143"/>
        <v>2.8407241637963366E-2</v>
      </c>
      <c r="AD203" s="33"/>
      <c r="AE203" s="33">
        <f t="shared" si="144"/>
        <v>1086.9536082474226</v>
      </c>
      <c r="AF203" s="50"/>
      <c r="AG203" s="33">
        <f t="shared" si="161"/>
        <v>5297</v>
      </c>
      <c r="AH203" s="33">
        <f>SUM(D174:D309)</f>
        <v>459357529.35152841</v>
      </c>
      <c r="AI203" s="231">
        <f t="shared" si="146"/>
        <v>-1.1314350367716388E-3</v>
      </c>
      <c r="AJ203" s="50"/>
      <c r="AK203" s="10"/>
      <c r="AL203" s="23">
        <f t="shared" si="147"/>
        <v>39047</v>
      </c>
      <c r="AM203" s="24"/>
      <c r="AN203" s="24"/>
      <c r="AO203" s="24">
        <v>178263</v>
      </c>
      <c r="AP203" s="24">
        <v>4648683</v>
      </c>
      <c r="AQ203" s="24"/>
      <c r="AR203" s="504">
        <f t="shared" si="148"/>
        <v>8.4707339147819909E-3</v>
      </c>
      <c r="AS203" s="25"/>
      <c r="AT203" s="25"/>
      <c r="AU203" s="24"/>
      <c r="AV203" s="341">
        <f t="shared" si="149"/>
        <v>0.62624786611257444</v>
      </c>
      <c r="AW203" s="341"/>
      <c r="AX203" s="24">
        <f t="shared" si="150"/>
        <v>23962.283505154639</v>
      </c>
      <c r="AY203" s="351"/>
      <c r="AZ203" s="10"/>
      <c r="BA203" s="66">
        <f t="shared" si="151"/>
        <v>771516</v>
      </c>
      <c r="BB203" s="67"/>
      <c r="BC203" s="67">
        <v>106173222</v>
      </c>
      <c r="BD203" s="67"/>
      <c r="BE203" s="67">
        <f t="shared" si="152"/>
        <v>44227</v>
      </c>
      <c r="BF203" s="67"/>
      <c r="BG203" s="156">
        <f t="shared" si="153"/>
        <v>5.7324799485687916E-2</v>
      </c>
      <c r="BH203" s="67"/>
      <c r="BI203" s="183"/>
      <c r="BJ203" s="67"/>
      <c r="BK203" s="67">
        <f t="shared" si="154"/>
        <v>6491249</v>
      </c>
      <c r="BL203" s="67"/>
      <c r="BM203" s="156">
        <f t="shared" si="155"/>
        <v>0</v>
      </c>
      <c r="BN203" s="66">
        <f t="shared" si="156"/>
        <v>547284.64948453603</v>
      </c>
      <c r="BO203" s="67"/>
      <c r="BP203" s="67">
        <f t="shared" si="157"/>
        <v>7080425</v>
      </c>
      <c r="BQ203" s="67"/>
      <c r="BR203" s="478">
        <f t="shared" si="158"/>
        <v>6.6687483591672481E-2</v>
      </c>
      <c r="BS203" s="67"/>
      <c r="BT203" s="86"/>
      <c r="BU203" s="183"/>
      <c r="BV203" s="1"/>
      <c r="BW203" s="61">
        <f t="shared" si="160"/>
        <v>194</v>
      </c>
    </row>
    <row r="204" spans="2:75" x14ac:dyDescent="0.3">
      <c r="B204" s="171">
        <f t="shared" si="159"/>
        <v>44104</v>
      </c>
      <c r="C204" s="61"/>
      <c r="D204" s="17">
        <v>40929</v>
      </c>
      <c r="E204" s="16"/>
      <c r="F204" s="16"/>
      <c r="G204" s="16"/>
      <c r="H204" s="16">
        <f t="shared" si="138"/>
        <v>7464001</v>
      </c>
      <c r="I204" s="16"/>
      <c r="J204" s="479">
        <f t="shared" si="139"/>
        <v>5.5137549521276363E-3</v>
      </c>
      <c r="K204" s="16"/>
      <c r="L204" s="16"/>
      <c r="M204" s="16"/>
      <c r="N204" s="469">
        <f>SUM(D175:D204)</f>
        <v>1202331</v>
      </c>
      <c r="O204" s="16">
        <f t="shared" si="141"/>
        <v>38276.928205128206</v>
      </c>
      <c r="P204" s="41"/>
      <c r="Q204" s="453"/>
      <c r="R204" s="16"/>
      <c r="S204" s="60"/>
      <c r="T204" s="16"/>
      <c r="U204" s="41"/>
      <c r="V204" s="10">
        <f t="shared" si="109"/>
        <v>96</v>
      </c>
      <c r="W204" s="34">
        <v>955</v>
      </c>
      <c r="X204" s="33"/>
      <c r="Y204" s="33"/>
      <c r="Z204" s="33"/>
      <c r="AA204" s="33">
        <f t="shared" si="142"/>
        <v>211824</v>
      </c>
      <c r="AB204" s="33"/>
      <c r="AC204" s="46">
        <f t="shared" si="143"/>
        <v>2.8379417419692202E-2</v>
      </c>
      <c r="AD204" s="33"/>
      <c r="AE204" s="33">
        <f t="shared" si="144"/>
        <v>1086.2769230769231</v>
      </c>
      <c r="AF204" s="50"/>
      <c r="AG204" s="33">
        <f t="shared" si="161"/>
        <v>5137</v>
      </c>
      <c r="AH204" s="33">
        <f>SUM(D175:D310)</f>
        <v>459318969.35152841</v>
      </c>
      <c r="AI204" s="231">
        <f t="shared" si="146"/>
        <v>-2.468198215302829E-2</v>
      </c>
      <c r="AJ204" s="50"/>
      <c r="AK204" s="10"/>
      <c r="AL204" s="23">
        <f t="shared" si="147"/>
        <v>51023</v>
      </c>
      <c r="AM204" s="24"/>
      <c r="AN204" s="24"/>
      <c r="AO204" s="24">
        <v>178263</v>
      </c>
      <c r="AP204" s="24">
        <v>4699706</v>
      </c>
      <c r="AQ204" s="24"/>
      <c r="AR204" s="504">
        <f t="shared" si="148"/>
        <v>1.0975796800943407E-2</v>
      </c>
      <c r="AS204" s="25"/>
      <c r="AT204" s="25"/>
      <c r="AU204" s="24"/>
      <c r="AV204" s="341">
        <f t="shared" si="149"/>
        <v>0.62964970127951481</v>
      </c>
      <c r="AW204" s="341"/>
      <c r="AX204" s="24">
        <f t="shared" si="150"/>
        <v>24101.056410256409</v>
      </c>
      <c r="AY204" s="351"/>
      <c r="AZ204" s="10"/>
      <c r="BA204" s="66">
        <f t="shared" si="151"/>
        <v>1363003</v>
      </c>
      <c r="BB204" s="67"/>
      <c r="BC204" s="67">
        <v>107536225</v>
      </c>
      <c r="BD204" s="67"/>
      <c r="BE204" s="67">
        <f t="shared" si="152"/>
        <v>40929</v>
      </c>
      <c r="BF204" s="67"/>
      <c r="BG204" s="156">
        <f t="shared" si="153"/>
        <v>3.0028547259250346E-2</v>
      </c>
      <c r="BH204" s="67"/>
      <c r="BI204" s="183"/>
      <c r="BJ204" s="67"/>
      <c r="BK204" s="67">
        <f t="shared" si="154"/>
        <v>6954135</v>
      </c>
      <c r="BL204" s="67"/>
      <c r="BM204" s="156">
        <f t="shared" si="155"/>
        <v>0</v>
      </c>
      <c r="BN204" s="66">
        <f t="shared" si="156"/>
        <v>551467.8205128205</v>
      </c>
      <c r="BO204" s="67"/>
      <c r="BP204" s="67">
        <f t="shared" si="157"/>
        <v>7121354</v>
      </c>
      <c r="BQ204" s="67"/>
      <c r="BR204" s="478">
        <f t="shared" si="158"/>
        <v>6.6222837932054995E-2</v>
      </c>
      <c r="BS204" s="67"/>
      <c r="BT204" s="86"/>
      <c r="BU204" s="183"/>
      <c r="BV204" s="1"/>
      <c r="BW204" s="61">
        <f t="shared" si="160"/>
        <v>195</v>
      </c>
    </row>
    <row r="205" spans="2:75" x14ac:dyDescent="0.3">
      <c r="B205" s="171">
        <f t="shared" si="159"/>
        <v>44105</v>
      </c>
      <c r="C205" s="61"/>
      <c r="D205" s="17">
        <v>47389</v>
      </c>
      <c r="E205" s="16"/>
      <c r="F205" s="16"/>
      <c r="G205" s="16"/>
      <c r="H205" s="16">
        <f t="shared" si="138"/>
        <v>7511390</v>
      </c>
      <c r="I205" s="16"/>
      <c r="J205" s="479">
        <f t="shared" si="139"/>
        <v>6.3490077238735629E-3</v>
      </c>
      <c r="K205" s="16"/>
      <c r="L205" s="16"/>
      <c r="M205" s="16"/>
      <c r="N205" s="16">
        <f t="shared" si="140"/>
        <v>300580</v>
      </c>
      <c r="O205" s="16">
        <f t="shared" si="141"/>
        <v>38323.418367346938</v>
      </c>
      <c r="P205" s="41"/>
      <c r="Q205" s="453"/>
      <c r="R205" s="16"/>
      <c r="S205" s="60"/>
      <c r="T205" s="16"/>
      <c r="U205" s="41"/>
      <c r="V205" s="10">
        <f t="shared" si="109"/>
        <v>97</v>
      </c>
      <c r="W205" s="34">
        <v>920</v>
      </c>
      <c r="X205" s="33"/>
      <c r="Y205" s="33"/>
      <c r="Z205" s="33"/>
      <c r="AA205" s="33">
        <f t="shared" si="142"/>
        <v>212744</v>
      </c>
      <c r="AB205" s="33"/>
      <c r="AC205" s="46">
        <f t="shared" si="143"/>
        <v>2.8322853692858446E-2</v>
      </c>
      <c r="AD205" s="33"/>
      <c r="AE205" s="33">
        <f t="shared" si="144"/>
        <v>1085.4285714285713</v>
      </c>
      <c r="AF205" s="50"/>
      <c r="AG205" s="33">
        <f t="shared" ref="AG205:AG212" si="162">SUM(W199:W205)</f>
        <v>5115</v>
      </c>
      <c r="AH205" s="33">
        <f>SUM(D176:D311)</f>
        <v>459276990.35152841</v>
      </c>
      <c r="AI205" s="231">
        <f t="shared" si="146"/>
        <v>-4.0337711069418386E-2</v>
      </c>
      <c r="AJ205" s="50"/>
      <c r="AK205" s="10"/>
      <c r="AL205" s="23">
        <f t="shared" si="147"/>
        <v>36915</v>
      </c>
      <c r="AM205" s="24"/>
      <c r="AN205" s="24"/>
      <c r="AO205" s="24">
        <v>178263</v>
      </c>
      <c r="AP205" s="24">
        <v>4736621</v>
      </c>
      <c r="AQ205" s="24"/>
      <c r="AR205" s="504">
        <f t="shared" si="148"/>
        <v>7.8547466586207735E-3</v>
      </c>
      <c r="AS205" s="25"/>
      <c r="AT205" s="25"/>
      <c r="AU205" s="24"/>
      <c r="AV205" s="341">
        <f t="shared" si="149"/>
        <v>0.63059180790772418</v>
      </c>
      <c r="AW205" s="341"/>
      <c r="AX205" s="24">
        <f t="shared" si="150"/>
        <v>24166.433673469386</v>
      </c>
      <c r="AY205" s="351"/>
      <c r="AZ205" s="10"/>
      <c r="BA205" s="66">
        <f t="shared" si="151"/>
        <v>895735</v>
      </c>
      <c r="BB205" s="67"/>
      <c r="BC205" s="67">
        <v>108431960</v>
      </c>
      <c r="BD205" s="67"/>
      <c r="BE205" s="67">
        <f t="shared" si="152"/>
        <v>47389</v>
      </c>
      <c r="BF205" s="67"/>
      <c r="BG205" s="156">
        <f t="shared" si="153"/>
        <v>5.2905156100855721E-2</v>
      </c>
      <c r="BH205" s="67"/>
      <c r="BI205" s="183"/>
      <c r="BJ205" s="67"/>
      <c r="BK205" s="67">
        <f t="shared" si="154"/>
        <v>6859769</v>
      </c>
      <c r="BL205" s="67"/>
      <c r="BM205" s="156">
        <f t="shared" si="155"/>
        <v>0</v>
      </c>
      <c r="BN205" s="66">
        <f t="shared" si="156"/>
        <v>553224.28571428568</v>
      </c>
      <c r="BO205" s="67"/>
      <c r="BP205" s="67">
        <f t="shared" si="157"/>
        <v>7168743</v>
      </c>
      <c r="BQ205" s="67"/>
      <c r="BR205" s="478">
        <f t="shared" si="158"/>
        <v>6.6112823193456988E-2</v>
      </c>
      <c r="BS205" s="67"/>
      <c r="BT205" s="86"/>
      <c r="BU205" s="183"/>
      <c r="BV205" s="1"/>
      <c r="BW205" s="61">
        <f t="shared" si="160"/>
        <v>196</v>
      </c>
    </row>
    <row r="206" spans="2:75" x14ac:dyDescent="0.3">
      <c r="B206" s="171">
        <f t="shared" si="159"/>
        <v>44106</v>
      </c>
      <c r="C206" s="61"/>
      <c r="D206" s="17">
        <v>51403</v>
      </c>
      <c r="E206" s="16"/>
      <c r="F206" s="16"/>
      <c r="G206" s="16"/>
      <c r="H206" s="16">
        <f t="shared" si="138"/>
        <v>7562793</v>
      </c>
      <c r="I206" s="16"/>
      <c r="J206" s="479">
        <f t="shared" si="139"/>
        <v>6.8433405801056795E-3</v>
      </c>
      <c r="K206" s="16"/>
      <c r="L206" s="16"/>
      <c r="M206" s="16"/>
      <c r="N206" s="16">
        <f t="shared" si="140"/>
        <v>298354</v>
      </c>
      <c r="O206" s="16">
        <f t="shared" si="141"/>
        <v>38389.812182741116</v>
      </c>
      <c r="P206" s="41"/>
      <c r="Q206" s="453"/>
      <c r="R206" s="16"/>
      <c r="S206" s="60"/>
      <c r="T206" s="16"/>
      <c r="U206" s="41"/>
      <c r="V206" s="10">
        <f t="shared" si="109"/>
        <v>98</v>
      </c>
      <c r="W206" s="34">
        <v>864</v>
      </c>
      <c r="X206" s="33"/>
      <c r="Y206" s="33"/>
      <c r="Z206" s="33"/>
      <c r="AA206" s="33">
        <f t="shared" si="142"/>
        <v>213608</v>
      </c>
      <c r="AB206" s="33"/>
      <c r="AC206" s="46">
        <f t="shared" si="143"/>
        <v>2.8244591647556664E-2</v>
      </c>
      <c r="AD206" s="33"/>
      <c r="AE206" s="33">
        <f t="shared" si="144"/>
        <v>1084.3045685279187</v>
      </c>
      <c r="AF206" s="50"/>
      <c r="AG206" s="33">
        <f t="shared" si="162"/>
        <v>5084</v>
      </c>
      <c r="AH206" s="33">
        <f>SUM(D177:D312)</f>
        <v>459235779.35152841</v>
      </c>
      <c r="AI206" s="231">
        <f t="shared" si="146"/>
        <v>-3.4744636415416745E-2</v>
      </c>
      <c r="AJ206" s="50"/>
      <c r="AK206" s="10"/>
      <c r="AL206" s="23">
        <f t="shared" si="147"/>
        <v>40203</v>
      </c>
      <c r="AM206" s="24"/>
      <c r="AN206" s="24"/>
      <c r="AO206" s="24">
        <v>178263</v>
      </c>
      <c r="AP206" s="24">
        <v>4776824</v>
      </c>
      <c r="AQ206" s="24"/>
      <c r="AR206" s="504">
        <f t="shared" si="148"/>
        <v>8.4876961867964527E-3</v>
      </c>
      <c r="AS206" s="25"/>
      <c r="AT206" s="25"/>
      <c r="AU206" s="24"/>
      <c r="AV206" s="341">
        <f t="shared" si="149"/>
        <v>0.63162167733534424</v>
      </c>
      <c r="AW206" s="341"/>
      <c r="AX206" s="24">
        <f t="shared" si="150"/>
        <v>24247.837563451776</v>
      </c>
      <c r="AY206" s="351"/>
      <c r="AZ206" s="10"/>
      <c r="BA206" s="66">
        <f t="shared" si="151"/>
        <v>1138486</v>
      </c>
      <c r="BB206" s="67"/>
      <c r="BC206" s="67">
        <v>109570446</v>
      </c>
      <c r="BD206" s="67"/>
      <c r="BE206" s="67">
        <f t="shared" si="152"/>
        <v>51403</v>
      </c>
      <c r="BF206" s="67"/>
      <c r="BG206" s="156">
        <f t="shared" si="153"/>
        <v>4.515031366217942E-2</v>
      </c>
      <c r="BH206" s="67"/>
      <c r="BI206" s="183"/>
      <c r="BJ206" s="67"/>
      <c r="BK206" s="67">
        <f t="shared" si="154"/>
        <v>7023091</v>
      </c>
      <c r="BL206" s="67"/>
      <c r="BM206" s="156">
        <f t="shared" si="155"/>
        <v>0</v>
      </c>
      <c r="BN206" s="66">
        <f t="shared" si="156"/>
        <v>556195.15736040613</v>
      </c>
      <c r="BO206" s="67"/>
      <c r="BP206" s="67">
        <f t="shared" si="157"/>
        <v>7220146</v>
      </c>
      <c r="BQ206" s="67"/>
      <c r="BR206" s="478">
        <f t="shared" si="158"/>
        <v>6.589501333233598E-2</v>
      </c>
      <c r="BS206" s="67"/>
      <c r="BT206" s="86"/>
      <c r="BU206" s="183"/>
      <c r="BV206" s="1"/>
      <c r="BW206" s="61">
        <f t="shared" si="160"/>
        <v>197</v>
      </c>
    </row>
    <row r="207" spans="2:75" x14ac:dyDescent="0.3">
      <c r="B207" s="171">
        <f t="shared" si="159"/>
        <v>44107</v>
      </c>
      <c r="C207" s="61"/>
      <c r="D207" s="17">
        <v>48925</v>
      </c>
      <c r="E207" s="16"/>
      <c r="F207" s="16"/>
      <c r="G207" s="16"/>
      <c r="H207" s="16">
        <f t="shared" si="138"/>
        <v>7611718</v>
      </c>
      <c r="I207" s="16"/>
      <c r="J207" s="479">
        <f t="shared" si="139"/>
        <v>6.4691708473311382E-3</v>
      </c>
      <c r="K207" s="16"/>
      <c r="L207" s="16"/>
      <c r="M207" s="16"/>
      <c r="N207" s="16">
        <f t="shared" si="140"/>
        <v>304073</v>
      </c>
      <c r="O207" s="16">
        <f t="shared" si="141"/>
        <v>38443.020202020205</v>
      </c>
      <c r="P207" s="41"/>
      <c r="Q207" s="453"/>
      <c r="R207" s="16"/>
      <c r="S207" s="60"/>
      <c r="T207" s="16"/>
      <c r="U207" s="41"/>
      <c r="V207" s="10">
        <f t="shared" si="109"/>
        <v>99</v>
      </c>
      <c r="W207" s="34">
        <v>755</v>
      </c>
      <c r="X207" s="33"/>
      <c r="Y207" s="33"/>
      <c r="Z207" s="33"/>
      <c r="AA207" s="33">
        <f t="shared" si="142"/>
        <v>214363</v>
      </c>
      <c r="AB207" s="33"/>
      <c r="AC207" s="46">
        <f t="shared" si="143"/>
        <v>2.8162236173226596E-2</v>
      </c>
      <c r="AD207" s="33"/>
      <c r="AE207" s="33">
        <f t="shared" si="144"/>
        <v>1082.6414141414141</v>
      </c>
      <c r="AF207" s="50"/>
      <c r="AG207" s="33">
        <f t="shared" si="162"/>
        <v>5102</v>
      </c>
      <c r="AH207" s="33">
        <f>SUM(D178:D313)</f>
        <v>459190315.35152841</v>
      </c>
      <c r="AI207" s="231">
        <f t="shared" si="146"/>
        <v>-4.5641601197156753E-2</v>
      </c>
      <c r="AJ207" s="50"/>
      <c r="AK207" s="10"/>
      <c r="AL207" s="23">
        <f t="shared" si="147"/>
        <v>41685</v>
      </c>
      <c r="AM207" s="24"/>
      <c r="AN207" s="24"/>
      <c r="AO207" s="24">
        <v>178263</v>
      </c>
      <c r="AP207" s="24">
        <v>4818509</v>
      </c>
      <c r="AQ207" s="24"/>
      <c r="AR207" s="504">
        <f t="shared" si="148"/>
        <v>8.7265094966865013E-3</v>
      </c>
      <c r="AS207" s="25"/>
      <c r="AT207" s="25"/>
      <c r="AU207" s="24"/>
      <c r="AV207" s="341">
        <f t="shared" si="149"/>
        <v>0.63303829700469727</v>
      </c>
      <c r="AW207" s="341"/>
      <c r="AX207" s="24">
        <f t="shared" si="150"/>
        <v>24335.904040404039</v>
      </c>
      <c r="AY207" s="351"/>
      <c r="AZ207" s="10"/>
      <c r="BA207" s="66">
        <f t="shared" si="151"/>
        <v>955837</v>
      </c>
      <c r="BB207" s="67"/>
      <c r="BC207" s="67">
        <v>110526283</v>
      </c>
      <c r="BD207" s="67"/>
      <c r="BE207" s="67">
        <f t="shared" si="152"/>
        <v>48925</v>
      </c>
      <c r="BF207" s="67"/>
      <c r="BG207" s="156">
        <f t="shared" si="153"/>
        <v>5.1185505478444547E-2</v>
      </c>
      <c r="BH207" s="67"/>
      <c r="BI207" s="183"/>
      <c r="BJ207" s="67"/>
      <c r="BK207" s="67">
        <f t="shared" si="154"/>
        <v>6950760</v>
      </c>
      <c r="BL207" s="67"/>
      <c r="BM207" s="156">
        <f t="shared" si="155"/>
        <v>0</v>
      </c>
      <c r="BN207" s="66">
        <f t="shared" si="156"/>
        <v>558213.55050505046</v>
      </c>
      <c r="BO207" s="67"/>
      <c r="BP207" s="67">
        <f t="shared" si="157"/>
        <v>7269071</v>
      </c>
      <c r="BQ207" s="67"/>
      <c r="BR207" s="478">
        <f t="shared" si="158"/>
        <v>6.5767804749210651E-2</v>
      </c>
      <c r="BS207" s="67"/>
      <c r="BT207" s="86"/>
      <c r="BU207" s="183"/>
      <c r="BV207" s="1"/>
      <c r="BW207" s="61">
        <f t="shared" si="160"/>
        <v>198</v>
      </c>
    </row>
    <row r="208" spans="2:75" x14ac:dyDescent="0.3">
      <c r="B208" s="390">
        <f t="shared" si="159"/>
        <v>44108</v>
      </c>
      <c r="C208" s="61"/>
      <c r="D208" s="17">
        <v>34066</v>
      </c>
      <c r="E208" s="16"/>
      <c r="F208" s="16"/>
      <c r="G208" s="16"/>
      <c r="H208" s="16">
        <f t="shared" si="138"/>
        <v>7645784</v>
      </c>
      <c r="I208" s="16"/>
      <c r="J208" s="479">
        <f t="shared" si="139"/>
        <v>4.4754679561171337E-3</v>
      </c>
      <c r="K208" s="16"/>
      <c r="L208" s="16"/>
      <c r="M208" s="16"/>
      <c r="N208" s="16">
        <f t="shared" si="140"/>
        <v>304357</v>
      </c>
      <c r="O208" s="16">
        <f t="shared" si="141"/>
        <v>38421.025125628141</v>
      </c>
      <c r="P208" s="41"/>
      <c r="Q208" s="453"/>
      <c r="R208" s="16"/>
      <c r="S208" s="60"/>
      <c r="T208" s="16"/>
      <c r="U208" s="41"/>
      <c r="V208" s="391">
        <f t="shared" si="109"/>
        <v>100</v>
      </c>
      <c r="W208" s="34">
        <v>332</v>
      </c>
      <c r="X208" s="33"/>
      <c r="Y208" s="33"/>
      <c r="Z208" s="33"/>
      <c r="AA208" s="33">
        <f t="shared" si="142"/>
        <v>214695</v>
      </c>
      <c r="AB208" s="33"/>
      <c r="AC208" s="46">
        <f t="shared" si="143"/>
        <v>2.8080181182204466E-2</v>
      </c>
      <c r="AD208" s="33"/>
      <c r="AE208" s="33">
        <f t="shared" si="144"/>
        <v>1078.8693467336684</v>
      </c>
      <c r="AF208" s="50"/>
      <c r="AG208" s="33">
        <f t="shared" si="162"/>
        <v>5158</v>
      </c>
      <c r="AH208" s="33">
        <f>SUM(D179:D314)</f>
        <v>459137466.35152841</v>
      </c>
      <c r="AI208" s="231">
        <f t="shared" si="146"/>
        <v>-3.1906906906906909E-2</v>
      </c>
      <c r="AJ208" s="50"/>
      <c r="AK208" s="10"/>
      <c r="AL208" s="23">
        <f t="shared" si="147"/>
        <v>30529</v>
      </c>
      <c r="AM208" s="24"/>
      <c r="AN208" s="24"/>
      <c r="AO208" s="24">
        <v>178263</v>
      </c>
      <c r="AP208" s="24">
        <v>4849038</v>
      </c>
      <c r="AQ208" s="24"/>
      <c r="AR208" s="504">
        <f t="shared" si="148"/>
        <v>6.3357773120274342E-3</v>
      </c>
      <c r="AS208" s="25"/>
      <c r="AT208" s="25"/>
      <c r="AU208" s="24"/>
      <c r="AV208" s="341">
        <f t="shared" si="149"/>
        <v>0.63421069703250832</v>
      </c>
      <c r="AW208" s="341"/>
      <c r="AX208" s="24">
        <f t="shared" si="150"/>
        <v>24367.025125628141</v>
      </c>
      <c r="AY208" s="351"/>
      <c r="AZ208" s="391"/>
      <c r="BA208" s="66">
        <f t="shared" si="151"/>
        <v>943983</v>
      </c>
      <c r="BB208" s="67"/>
      <c r="BC208" s="67">
        <v>111470266</v>
      </c>
      <c r="BD208" s="67"/>
      <c r="BE208" s="67">
        <f t="shared" si="152"/>
        <v>34066</v>
      </c>
      <c r="BF208" s="67"/>
      <c r="BG208" s="156">
        <f t="shared" si="153"/>
        <v>3.6087514287863234E-2</v>
      </c>
      <c r="BH208" s="67"/>
      <c r="BI208" s="183"/>
      <c r="BJ208" s="67"/>
      <c r="BK208" s="67">
        <f t="shared" si="154"/>
        <v>7135104</v>
      </c>
      <c r="BL208" s="67"/>
      <c r="BM208" s="156">
        <f t="shared" si="155"/>
        <v>0</v>
      </c>
      <c r="BN208" s="66">
        <f t="shared" si="156"/>
        <v>560152.09045226127</v>
      </c>
      <c r="BO208" s="67"/>
      <c r="BP208" s="67">
        <f t="shared" si="157"/>
        <v>7303137</v>
      </c>
      <c r="BQ208" s="67"/>
      <c r="BR208" s="478">
        <f t="shared" si="158"/>
        <v>6.5516457994278049E-2</v>
      </c>
      <c r="BS208" s="67"/>
      <c r="BT208" s="86"/>
      <c r="BU208" s="183"/>
      <c r="BV208" s="1"/>
      <c r="BW208" s="61">
        <f t="shared" si="160"/>
        <v>199</v>
      </c>
    </row>
    <row r="209" spans="2:75" x14ac:dyDescent="0.3">
      <c r="B209" s="171">
        <f t="shared" si="159"/>
        <v>44109</v>
      </c>
      <c r="C209" s="61"/>
      <c r="D209" s="17">
        <v>37717</v>
      </c>
      <c r="E209" s="16"/>
      <c r="F209" s="16"/>
      <c r="G209" s="16"/>
      <c r="H209" s="16">
        <f t="shared" si="138"/>
        <v>7683501</v>
      </c>
      <c r="I209" s="16"/>
      <c r="J209" s="479">
        <f t="shared" si="139"/>
        <v>4.9330454535466868E-3</v>
      </c>
      <c r="K209" s="16"/>
      <c r="L209" s="16"/>
      <c r="M209" s="16"/>
      <c r="N209" s="16">
        <f t="shared" si="140"/>
        <v>304656</v>
      </c>
      <c r="O209" s="16">
        <f t="shared" si="141"/>
        <v>38417.504999999997</v>
      </c>
      <c r="P209" s="41"/>
      <c r="Q209" s="453"/>
      <c r="R209" s="16"/>
      <c r="S209" s="60"/>
      <c r="T209" s="16"/>
      <c r="U209" s="41"/>
      <c r="V209" s="10">
        <f t="shared" si="109"/>
        <v>101</v>
      </c>
      <c r="W209" s="34">
        <v>348</v>
      </c>
      <c r="X209" s="33"/>
      <c r="Y209" s="33"/>
      <c r="Z209" s="33"/>
      <c r="AA209" s="33">
        <f t="shared" si="142"/>
        <v>215043</v>
      </c>
      <c r="AB209" s="33"/>
      <c r="AC209" s="46">
        <f t="shared" si="143"/>
        <v>2.7987632200477359E-2</v>
      </c>
      <c r="AD209" s="33"/>
      <c r="AE209" s="33">
        <f t="shared" si="144"/>
        <v>1075.2149999999999</v>
      </c>
      <c r="AF209" s="50"/>
      <c r="AG209" s="33">
        <f t="shared" si="162"/>
        <v>5151</v>
      </c>
      <c r="AH209" s="33">
        <f>SUM(D180:D315)</f>
        <v>459095374.35152841</v>
      </c>
      <c r="AI209" s="231">
        <f t="shared" si="146"/>
        <v>-2.7929798075108512E-2</v>
      </c>
      <c r="AJ209" s="50"/>
      <c r="AK209" s="10"/>
      <c r="AL209" s="23">
        <f t="shared" si="147"/>
        <v>38801</v>
      </c>
      <c r="AM209" s="24"/>
      <c r="AN209" s="24"/>
      <c r="AO209" s="24">
        <v>178263</v>
      </c>
      <c r="AP209" s="24">
        <v>4887839</v>
      </c>
      <c r="AQ209" s="24"/>
      <c r="AR209" s="504">
        <f t="shared" si="148"/>
        <v>8.0017933454017073E-3</v>
      </c>
      <c r="AS209" s="25"/>
      <c r="AT209" s="25"/>
      <c r="AU209" s="24"/>
      <c r="AV209" s="341">
        <f t="shared" si="149"/>
        <v>0.63614737604641425</v>
      </c>
      <c r="AW209" s="341"/>
      <c r="AX209" s="24">
        <f t="shared" si="150"/>
        <v>24439.195</v>
      </c>
      <c r="AY209" s="351"/>
      <c r="AZ209" s="10"/>
      <c r="BA209" s="66">
        <f t="shared" si="151"/>
        <v>901908</v>
      </c>
      <c r="BB209" s="67"/>
      <c r="BC209" s="67">
        <v>112372174</v>
      </c>
      <c r="BD209" s="67"/>
      <c r="BE209" s="67">
        <f t="shared" si="152"/>
        <v>37717</v>
      </c>
      <c r="BF209" s="67"/>
      <c r="BG209" s="156">
        <f t="shared" si="153"/>
        <v>4.1819121240747395E-2</v>
      </c>
      <c r="BH209" s="67"/>
      <c r="BI209" s="183"/>
      <c r="BJ209" s="67"/>
      <c r="BK209" s="67">
        <f t="shared" si="154"/>
        <v>6970468</v>
      </c>
      <c r="BL209" s="67"/>
      <c r="BM209" s="156">
        <f t="shared" si="155"/>
        <v>0</v>
      </c>
      <c r="BN209" s="66">
        <f t="shared" si="156"/>
        <v>561860.87</v>
      </c>
      <c r="BO209" s="67"/>
      <c r="BP209" s="67">
        <f t="shared" si="157"/>
        <v>7340854</v>
      </c>
      <c r="BQ209" s="67"/>
      <c r="BR209" s="478">
        <f t="shared" si="158"/>
        <v>6.5326261286001289E-2</v>
      </c>
      <c r="BS209" s="67"/>
      <c r="BT209" s="86"/>
      <c r="BU209" s="183"/>
      <c r="BV209" s="1"/>
      <c r="BW209" s="61">
        <f t="shared" si="160"/>
        <v>200</v>
      </c>
    </row>
    <row r="210" spans="2:75" x14ac:dyDescent="0.3">
      <c r="B210" s="171">
        <f t="shared" si="159"/>
        <v>44110</v>
      </c>
      <c r="C210" s="61"/>
      <c r="D210" s="17">
        <v>44668</v>
      </c>
      <c r="E210" s="16"/>
      <c r="F210" s="16"/>
      <c r="G210" s="16"/>
      <c r="H210" s="16">
        <f t="shared" si="138"/>
        <v>7728169</v>
      </c>
      <c r="I210" s="16"/>
      <c r="J210" s="479">
        <f t="shared" si="139"/>
        <v>5.8134956968184165E-3</v>
      </c>
      <c r="K210" s="16"/>
      <c r="L210" s="16"/>
      <c r="M210" s="16"/>
      <c r="N210" s="16">
        <f t="shared" si="140"/>
        <v>305097</v>
      </c>
      <c r="O210" s="16">
        <f t="shared" si="141"/>
        <v>38448.601990049749</v>
      </c>
      <c r="P210" s="41"/>
      <c r="Q210" s="453"/>
      <c r="R210" s="16"/>
      <c r="S210" s="60"/>
      <c r="T210" s="16"/>
      <c r="U210" s="41"/>
      <c r="V210" s="10">
        <f t="shared" si="109"/>
        <v>102</v>
      </c>
      <c r="W210" s="34">
        <v>808</v>
      </c>
      <c r="X210" s="33"/>
      <c r="Y210" s="33"/>
      <c r="Z210" s="33"/>
      <c r="AA210" s="33">
        <f t="shared" si="142"/>
        <v>215851</v>
      </c>
      <c r="AB210" s="33"/>
      <c r="AC210" s="46">
        <f t="shared" si="143"/>
        <v>2.7930419223492653E-2</v>
      </c>
      <c r="AD210" s="33"/>
      <c r="AE210" s="33">
        <f t="shared" si="144"/>
        <v>1073.8855721393036</v>
      </c>
      <c r="AF210" s="50"/>
      <c r="AG210" s="33">
        <f t="shared" si="162"/>
        <v>4982</v>
      </c>
      <c r="AH210" s="33">
        <f>SUM(D181:D316)</f>
        <v>459064264.35152841</v>
      </c>
      <c r="AI210" s="231">
        <f t="shared" si="146"/>
        <v>-5.9467623182933735E-2</v>
      </c>
      <c r="AJ210" s="50"/>
      <c r="AK210" s="10"/>
      <c r="AL210" s="23">
        <f t="shared" si="147"/>
        <v>47706</v>
      </c>
      <c r="AM210" s="24"/>
      <c r="AN210" s="24"/>
      <c r="AO210" s="24">
        <v>178263</v>
      </c>
      <c r="AP210" s="24">
        <v>4935545</v>
      </c>
      <c r="AQ210" s="24"/>
      <c r="AR210" s="504">
        <f t="shared" si="148"/>
        <v>9.7601414449207512E-3</v>
      </c>
      <c r="AS210" s="25"/>
      <c r="AT210" s="25"/>
      <c r="AU210" s="24"/>
      <c r="AV210" s="341">
        <f t="shared" si="149"/>
        <v>0.63864351310122747</v>
      </c>
      <c r="AW210" s="341"/>
      <c r="AX210" s="24">
        <f t="shared" si="150"/>
        <v>24554.95024875622</v>
      </c>
      <c r="AY210" s="351"/>
      <c r="AZ210" s="10"/>
      <c r="BA210" s="66">
        <f t="shared" si="151"/>
        <v>947144</v>
      </c>
      <c r="BB210" s="67"/>
      <c r="BC210" s="67">
        <v>113319318</v>
      </c>
      <c r="BD210" s="67"/>
      <c r="BE210" s="67">
        <f t="shared" si="152"/>
        <v>44668</v>
      </c>
      <c r="BF210" s="67"/>
      <c r="BG210" s="156">
        <f t="shared" si="153"/>
        <v>4.7160727407870397E-2</v>
      </c>
      <c r="BH210" s="67"/>
      <c r="BI210" s="183"/>
      <c r="BJ210" s="67"/>
      <c r="BK210" s="67">
        <f t="shared" si="154"/>
        <v>7146096</v>
      </c>
      <c r="BL210" s="67"/>
      <c r="BM210" s="156">
        <f t="shared" si="155"/>
        <v>0</v>
      </c>
      <c r="BN210" s="66">
        <f t="shared" si="156"/>
        <v>563777.70149253728</v>
      </c>
      <c r="BO210" s="67"/>
      <c r="BP210" s="67">
        <f t="shared" si="157"/>
        <v>7385522</v>
      </c>
      <c r="BQ210" s="67"/>
      <c r="BR210" s="478">
        <f t="shared" si="158"/>
        <v>6.5174430364997427E-2</v>
      </c>
      <c r="BS210" s="67"/>
      <c r="BT210" s="86"/>
      <c r="BU210" s="183"/>
      <c r="BV210" s="1"/>
      <c r="BW210" s="61">
        <f t="shared" si="160"/>
        <v>201</v>
      </c>
    </row>
    <row r="211" spans="2:75" x14ac:dyDescent="0.3">
      <c r="B211" s="171">
        <f t="shared" si="159"/>
        <v>44111</v>
      </c>
      <c r="C211" s="61"/>
      <c r="D211" s="17">
        <v>49358</v>
      </c>
      <c r="E211" s="16"/>
      <c r="F211" s="16"/>
      <c r="G211" s="16"/>
      <c r="H211" s="16">
        <f t="shared" si="138"/>
        <v>7777527</v>
      </c>
      <c r="I211" s="16"/>
      <c r="J211" s="479">
        <f t="shared" si="139"/>
        <v>6.3867650927405964E-3</v>
      </c>
      <c r="K211" s="16"/>
      <c r="L211" s="16"/>
      <c r="M211" s="16"/>
      <c r="N211" s="16">
        <f t="shared" si="140"/>
        <v>313526</v>
      </c>
      <c r="O211" s="16">
        <f t="shared" si="141"/>
        <v>38502.608910891089</v>
      </c>
      <c r="P211" s="41"/>
      <c r="Q211" s="453"/>
      <c r="R211" s="16"/>
      <c r="S211" s="60"/>
      <c r="T211" s="16"/>
      <c r="U211" s="41"/>
      <c r="V211" s="10">
        <f t="shared" si="109"/>
        <v>103</v>
      </c>
      <c r="W211" s="34">
        <v>930</v>
      </c>
      <c r="X211" s="33"/>
      <c r="Y211" s="33"/>
      <c r="Z211" s="33"/>
      <c r="AA211" s="33">
        <f t="shared" si="142"/>
        <v>216781</v>
      </c>
      <c r="AB211" s="33"/>
      <c r="AC211" s="46">
        <f t="shared" si="143"/>
        <v>2.7872741553966962E-2</v>
      </c>
      <c r="AD211" s="33"/>
      <c r="AE211" s="33">
        <f t="shared" si="144"/>
        <v>1073.1732673267327</v>
      </c>
      <c r="AF211" s="50"/>
      <c r="AG211" s="33">
        <f t="shared" si="162"/>
        <v>4957</v>
      </c>
      <c r="AH211" s="33">
        <f>SUM(D182:D317)</f>
        <v>459038844.35152841</v>
      </c>
      <c r="AI211" s="231">
        <f t="shared" si="146"/>
        <v>-3.5039906560249176E-2</v>
      </c>
      <c r="AJ211" s="50"/>
      <c r="AK211" s="10"/>
      <c r="AL211" s="23">
        <f t="shared" si="147"/>
        <v>47835</v>
      </c>
      <c r="AM211" s="24"/>
      <c r="AN211" s="24"/>
      <c r="AO211" s="24">
        <v>178263</v>
      </c>
      <c r="AP211" s="24">
        <v>4983380</v>
      </c>
      <c r="AQ211" s="24"/>
      <c r="AR211" s="504">
        <f t="shared" si="148"/>
        <v>9.6919387828497162E-3</v>
      </c>
      <c r="AS211" s="25"/>
      <c r="AT211" s="25"/>
      <c r="AU211" s="24"/>
      <c r="AV211" s="341">
        <f t="shared" si="149"/>
        <v>0.64074094503304202</v>
      </c>
      <c r="AW211" s="341"/>
      <c r="AX211" s="24">
        <f t="shared" si="150"/>
        <v>24670.198019801981</v>
      </c>
      <c r="AY211" s="351"/>
      <c r="AZ211" s="10"/>
      <c r="BA211" s="66">
        <f t="shared" si="151"/>
        <v>839531</v>
      </c>
      <c r="BB211" s="67"/>
      <c r="BC211" s="67">
        <v>114158849</v>
      </c>
      <c r="BD211" s="67"/>
      <c r="BE211" s="67">
        <f t="shared" si="152"/>
        <v>49358</v>
      </c>
      <c r="BF211" s="67"/>
      <c r="BG211" s="156">
        <f t="shared" si="153"/>
        <v>5.8792349538015869E-2</v>
      </c>
      <c r="BH211" s="67"/>
      <c r="BI211" s="183"/>
      <c r="BJ211" s="67"/>
      <c r="BK211" s="67">
        <f t="shared" si="154"/>
        <v>6622624</v>
      </c>
      <c r="BL211" s="67"/>
      <c r="BM211" s="156">
        <f t="shared" si="155"/>
        <v>0</v>
      </c>
      <c r="BN211" s="66">
        <f t="shared" si="156"/>
        <v>565142.81683168316</v>
      </c>
      <c r="BO211" s="67"/>
      <c r="BP211" s="67">
        <f t="shared" si="157"/>
        <v>7434880</v>
      </c>
      <c r="BQ211" s="67"/>
      <c r="BR211" s="478">
        <f t="shared" si="158"/>
        <v>6.5127496161072898E-2</v>
      </c>
      <c r="BS211" s="67"/>
      <c r="BT211" s="86"/>
      <c r="BU211" s="183"/>
      <c r="BV211" s="1"/>
      <c r="BW211" s="61">
        <f t="shared" si="160"/>
        <v>202</v>
      </c>
    </row>
    <row r="212" spans="2:75" x14ac:dyDescent="0.3">
      <c r="B212" s="171">
        <f t="shared" si="159"/>
        <v>44112</v>
      </c>
      <c r="C212" s="61"/>
      <c r="D212" s="17">
        <v>57318</v>
      </c>
      <c r="E212" s="16"/>
      <c r="F212" s="16"/>
      <c r="G212" s="16"/>
      <c r="H212" s="16">
        <f t="shared" si="138"/>
        <v>7834845</v>
      </c>
      <c r="I212" s="16"/>
      <c r="J212" s="479">
        <f t="shared" si="139"/>
        <v>7.3696947628725685E-3</v>
      </c>
      <c r="K212" s="16"/>
      <c r="L212" s="16"/>
      <c r="M212" s="16"/>
      <c r="N212" s="16">
        <f t="shared" si="140"/>
        <v>323455</v>
      </c>
      <c r="O212" s="16">
        <f t="shared" si="141"/>
        <v>38595.295566502464</v>
      </c>
      <c r="P212" s="41"/>
      <c r="Q212" s="453"/>
      <c r="R212" s="16"/>
      <c r="S212" s="60"/>
      <c r="T212" s="16"/>
      <c r="U212" s="41"/>
      <c r="V212" s="10">
        <f t="shared" si="109"/>
        <v>104</v>
      </c>
      <c r="W212" s="34">
        <v>957</v>
      </c>
      <c r="X212" s="33"/>
      <c r="Y212" s="33"/>
      <c r="Z212" s="33"/>
      <c r="AA212" s="33">
        <f t="shared" si="142"/>
        <v>217738</v>
      </c>
      <c r="AB212" s="33"/>
      <c r="AC212" s="46">
        <f t="shared" si="143"/>
        <v>2.7790977358199173E-2</v>
      </c>
      <c r="AD212" s="33"/>
      <c r="AE212" s="33">
        <f t="shared" si="144"/>
        <v>1072.6009852216748</v>
      </c>
      <c r="AF212" s="50"/>
      <c r="AG212" s="33">
        <f t="shared" si="162"/>
        <v>4994</v>
      </c>
      <c r="AH212" s="33">
        <f>SUM(D183:D318)</f>
        <v>459010405.35152841</v>
      </c>
      <c r="AI212" s="231">
        <f t="shared" si="146"/>
        <v>-2.3655913978494623E-2</v>
      </c>
      <c r="AJ212" s="50"/>
      <c r="AK212" s="10"/>
      <c r="AL212" s="23">
        <f t="shared" si="147"/>
        <v>41813</v>
      </c>
      <c r="AM212" s="24"/>
      <c r="AN212" s="24"/>
      <c r="AO212" s="24">
        <v>178263</v>
      </c>
      <c r="AP212" s="24">
        <v>5025193</v>
      </c>
      <c r="AQ212" s="24"/>
      <c r="AR212" s="504">
        <f t="shared" si="148"/>
        <v>8.3904899887225128E-3</v>
      </c>
      <c r="AS212" s="25"/>
      <c r="AT212" s="25"/>
      <c r="AU212" s="24"/>
      <c r="AV212" s="341">
        <f t="shared" si="149"/>
        <v>0.6413902253331113</v>
      </c>
      <c r="AW212" s="341"/>
      <c r="AX212" s="24">
        <f t="shared" si="150"/>
        <v>24754.645320197043</v>
      </c>
      <c r="AY212" s="351"/>
      <c r="AZ212" s="10"/>
      <c r="BA212" s="66">
        <f t="shared" si="151"/>
        <v>1184966</v>
      </c>
      <c r="BB212" s="67"/>
      <c r="BC212" s="67">
        <v>115343815</v>
      </c>
      <c r="BD212" s="67"/>
      <c r="BE212" s="67">
        <f t="shared" si="152"/>
        <v>57318</v>
      </c>
      <c r="BF212" s="67"/>
      <c r="BG212" s="156">
        <f t="shared" si="153"/>
        <v>4.8371008113312956E-2</v>
      </c>
      <c r="BH212" s="67"/>
      <c r="BI212" s="183"/>
      <c r="BJ212" s="67"/>
      <c r="BK212" s="67">
        <f t="shared" si="154"/>
        <v>6911855</v>
      </c>
      <c r="BL212" s="67"/>
      <c r="BM212" s="156">
        <f t="shared" si="155"/>
        <v>0</v>
      </c>
      <c r="BN212" s="66">
        <f t="shared" si="156"/>
        <v>568196.13300492615</v>
      </c>
      <c r="BO212" s="67"/>
      <c r="BP212" s="67">
        <f t="shared" si="157"/>
        <v>7492198</v>
      </c>
      <c r="BQ212" s="67"/>
      <c r="BR212" s="478">
        <f t="shared" si="158"/>
        <v>6.4955351095331806E-2</v>
      </c>
      <c r="BS212" s="67"/>
      <c r="BT212" s="86"/>
      <c r="BU212" s="183"/>
      <c r="BV212" s="1"/>
      <c r="BW212" s="61">
        <f t="shared" si="160"/>
        <v>203</v>
      </c>
    </row>
    <row r="213" spans="2:75" x14ac:dyDescent="0.3">
      <c r="B213" s="171">
        <f t="shared" si="159"/>
        <v>44113</v>
      </c>
      <c r="C213" s="61"/>
      <c r="D213" s="17">
        <v>60983</v>
      </c>
      <c r="E213" s="16"/>
      <c r="F213" s="16"/>
      <c r="G213" s="16"/>
      <c r="H213" s="16">
        <f t="shared" ref="H213" si="163">+H212+D213</f>
        <v>7895828</v>
      </c>
      <c r="I213" s="16"/>
      <c r="J213" s="479">
        <f t="shared" ref="J213" si="164">+D213/H212</f>
        <v>7.783561767973712E-3</v>
      </c>
      <c r="K213" s="16"/>
      <c r="L213" s="16"/>
      <c r="M213" s="16"/>
      <c r="N213" s="16">
        <f t="shared" ref="N213" si="165">SUM(D207:D213)</f>
        <v>333035</v>
      </c>
      <c r="O213" s="16">
        <f t="shared" ref="O213" si="166">+H213/BW213</f>
        <v>38705.039215686273</v>
      </c>
      <c r="P213" s="41"/>
      <c r="Q213" s="453"/>
      <c r="R213" s="16"/>
      <c r="S213" s="60"/>
      <c r="T213" s="16"/>
      <c r="U213" s="41"/>
      <c r="V213" s="10">
        <f t="shared" si="109"/>
        <v>105</v>
      </c>
      <c r="W213" s="34">
        <v>909</v>
      </c>
      <c r="X213" s="33"/>
      <c r="Y213" s="33"/>
      <c r="Z213" s="33"/>
      <c r="AA213" s="33">
        <f t="shared" ref="AA213" si="167">+AA212+W213</f>
        <v>218647</v>
      </c>
      <c r="AB213" s="33"/>
      <c r="AC213" s="46">
        <f t="shared" ref="AC213" si="168">+AA213/H213</f>
        <v>2.7691459337766729E-2</v>
      </c>
      <c r="AD213" s="33"/>
      <c r="AE213" s="33">
        <f t="shared" ref="AE213" si="169">+AA213/BW213</f>
        <v>1071.7990196078431</v>
      </c>
      <c r="AF213" s="50"/>
      <c r="AG213" s="33">
        <f t="shared" ref="AG213" si="170">SUM(W207:W213)</f>
        <v>5039</v>
      </c>
      <c r="AH213" s="33">
        <f>SUM(D184:D319)</f>
        <v>458975162.35152841</v>
      </c>
      <c r="AI213" s="231">
        <f t="shared" ref="AI213" si="171">+(AG213-AG206)/AG206</f>
        <v>-8.8512981904012595E-3</v>
      </c>
      <c r="AJ213" s="50"/>
      <c r="AK213" s="10"/>
      <c r="AL213" s="23">
        <f t="shared" ref="AL213" si="172">+AP213-AP212</f>
        <v>39107</v>
      </c>
      <c r="AM213" s="24"/>
      <c r="AN213" s="24"/>
      <c r="AO213" s="24">
        <v>178263</v>
      </c>
      <c r="AP213" s="24">
        <v>5064300</v>
      </c>
      <c r="AQ213" s="24"/>
      <c r="AR213" s="504">
        <f t="shared" ref="AR213" si="173">+AL213/AP212</f>
        <v>7.7821886641965795E-3</v>
      </c>
      <c r="AS213" s="25"/>
      <c r="AT213" s="25"/>
      <c r="AU213" s="24"/>
      <c r="AV213" s="341">
        <f t="shared" ref="AV213" si="174">+AP213/H213</f>
        <v>0.64138935143977305</v>
      </c>
      <c r="AW213" s="341"/>
      <c r="AX213" s="24">
        <f t="shared" ref="AX213" si="175">+AP213/BW213</f>
        <v>24825</v>
      </c>
      <c r="AY213" s="351"/>
      <c r="AZ213" s="10"/>
      <c r="BA213" s="66">
        <f t="shared" ref="BA213" si="176">+BC213-BC212</f>
        <v>1154320</v>
      </c>
      <c r="BB213" s="67"/>
      <c r="BC213" s="67">
        <v>116498135</v>
      </c>
      <c r="BD213" s="67"/>
      <c r="BE213" s="67">
        <f t="shared" ref="BE213" si="177">+D213</f>
        <v>60983</v>
      </c>
      <c r="BF213" s="67"/>
      <c r="BG213" s="156">
        <f t="shared" ref="BG213" si="178">+BE213/BA213</f>
        <v>5.2830237715711416E-2</v>
      </c>
      <c r="BH213" s="67"/>
      <c r="BI213" s="183"/>
      <c r="BJ213" s="67"/>
      <c r="BK213" s="67">
        <f t="shared" ref="BK213" si="179">SUM(BA207:BA213)</f>
        <v>6927689</v>
      </c>
      <c r="BL213" s="67"/>
      <c r="BM213" s="156">
        <f t="shared" ref="BM213" si="180">+Q213/BK213</f>
        <v>0</v>
      </c>
      <c r="BN213" s="66">
        <f t="shared" ref="BN213" si="181">+BC213/BW213</f>
        <v>571069.28921568627</v>
      </c>
      <c r="BO213" s="67"/>
      <c r="BP213" s="67">
        <f t="shared" ref="BP213" si="182">+BP212+BE213</f>
        <v>7553181</v>
      </c>
      <c r="BQ213" s="67"/>
      <c r="BR213" s="478">
        <f t="shared" ref="BR213" si="183">+BP213/BC213</f>
        <v>6.4835209593698651E-2</v>
      </c>
      <c r="BS213" s="67"/>
      <c r="BT213" s="86"/>
      <c r="BU213" s="183"/>
      <c r="BV213" s="1"/>
      <c r="BW213" s="61">
        <f t="shared" si="160"/>
        <v>204</v>
      </c>
    </row>
    <row r="214" spans="2:75" x14ac:dyDescent="0.3">
      <c r="B214" s="171">
        <f t="shared" si="159"/>
        <v>44114</v>
      </c>
      <c r="C214" s="61"/>
      <c r="D214" s="17">
        <v>54235</v>
      </c>
      <c r="E214" s="16"/>
      <c r="F214" s="16"/>
      <c r="G214" s="16"/>
      <c r="H214" s="16">
        <f t="shared" ref="H214" si="184">+H213+D214</f>
        <v>7950063</v>
      </c>
      <c r="I214" s="16"/>
      <c r="J214" s="479">
        <f t="shared" ref="J214" si="185">+D214/H213</f>
        <v>6.8688173045309501E-3</v>
      </c>
      <c r="K214" s="16"/>
      <c r="L214" s="16"/>
      <c r="M214" s="16"/>
      <c r="N214" s="16">
        <f>SUM(D205:D214)</f>
        <v>486062</v>
      </c>
      <c r="O214" s="16">
        <f t="shared" ref="O214" si="186">+H214/BW214</f>
        <v>38780.795121951218</v>
      </c>
      <c r="P214" s="41"/>
      <c r="Q214" s="453"/>
      <c r="R214" s="16"/>
      <c r="S214" s="60"/>
      <c r="T214" s="16"/>
      <c r="U214" s="41"/>
      <c r="V214" s="10">
        <f t="shared" si="109"/>
        <v>106</v>
      </c>
      <c r="W214" s="34">
        <v>723</v>
      </c>
      <c r="X214" s="33"/>
      <c r="Y214" s="33"/>
      <c r="Z214" s="33"/>
      <c r="AA214" s="33">
        <f t="shared" ref="AA214" si="187">+AA213+W214</f>
        <v>219370</v>
      </c>
      <c r="AB214" s="33"/>
      <c r="AC214" s="46">
        <f t="shared" ref="AC214" si="188">+AA214/H214</f>
        <v>2.7593492026415388E-2</v>
      </c>
      <c r="AD214" s="33"/>
      <c r="AE214" s="33">
        <f t="shared" ref="AE214" si="189">+AA214/BW214</f>
        <v>1070.0975609756097</v>
      </c>
      <c r="AF214" s="50"/>
      <c r="AG214" s="33">
        <f t="shared" ref="AG214" si="190">SUM(W208:W214)</f>
        <v>5007</v>
      </c>
      <c r="AH214" s="33">
        <f>SUM(D185:D320)</f>
        <v>458936351.35152841</v>
      </c>
      <c r="AI214" s="231">
        <f t="shared" ref="AI214" si="191">+(AG214-AG207)/AG207</f>
        <v>-1.8620148961191688E-2</v>
      </c>
      <c r="AJ214" s="50"/>
      <c r="AK214" s="10"/>
      <c r="AL214" s="23">
        <f t="shared" ref="AL214" si="192">+AP214-AP213</f>
        <v>25542</v>
      </c>
      <c r="AM214" s="24"/>
      <c r="AN214" s="24"/>
      <c r="AO214" s="24">
        <v>178263</v>
      </c>
      <c r="AP214" s="24">
        <v>5089842</v>
      </c>
      <c r="AQ214" s="24"/>
      <c r="AR214" s="504">
        <f t="shared" ref="AR214" si="193">+AL214/AP213</f>
        <v>5.0435400746401283E-3</v>
      </c>
      <c r="AS214" s="25"/>
      <c r="AT214" s="25"/>
      <c r="AU214" s="24"/>
      <c r="AV214" s="341">
        <f t="shared" ref="AV214" si="194">+AP214/H214</f>
        <v>0.6402266246192011</v>
      </c>
      <c r="AW214" s="341"/>
      <c r="AX214" s="24">
        <f t="shared" ref="AX214" si="195">+AP214/BW214</f>
        <v>24828.497560975611</v>
      </c>
      <c r="AY214" s="351"/>
      <c r="AZ214" s="10"/>
      <c r="BA214" s="66">
        <f t="shared" ref="BA214" si="196">+BC214-BC213</f>
        <v>1103287</v>
      </c>
      <c r="BB214" s="67"/>
      <c r="BC214" s="67">
        <v>117601422</v>
      </c>
      <c r="BD214" s="67"/>
      <c r="BE214" s="67">
        <f t="shared" ref="BE214" si="197">+D214</f>
        <v>54235</v>
      </c>
      <c r="BF214" s="67"/>
      <c r="BG214" s="156">
        <f t="shared" ref="BG214" si="198">+BE214/BA214</f>
        <v>4.9157653448286799E-2</v>
      </c>
      <c r="BH214" s="67"/>
      <c r="BI214" s="183"/>
      <c r="BJ214" s="67"/>
      <c r="BK214" s="67">
        <f t="shared" ref="BK214" si="199">SUM(BA208:BA214)</f>
        <v>7075139</v>
      </c>
      <c r="BL214" s="67"/>
      <c r="BM214" s="156">
        <f t="shared" ref="BM214" si="200">+Q214/BK214</f>
        <v>0</v>
      </c>
      <c r="BN214" s="66">
        <f t="shared" ref="BN214" si="201">+BC214/BW214</f>
        <v>573665.47317073168</v>
      </c>
      <c r="BO214" s="67"/>
      <c r="BP214" s="67">
        <f t="shared" ref="BP214" si="202">+BP213+BE214</f>
        <v>7607416</v>
      </c>
      <c r="BQ214" s="67"/>
      <c r="BR214" s="478">
        <f t="shared" ref="BR214" si="203">+BP214/BC214</f>
        <v>6.4688129366326882E-2</v>
      </c>
      <c r="BS214" s="67"/>
      <c r="BT214" s="86"/>
      <c r="BU214" s="183"/>
      <c r="BV214" s="1"/>
      <c r="BW214" s="61">
        <f t="shared" si="160"/>
        <v>205</v>
      </c>
    </row>
    <row r="215" spans="2:75" x14ac:dyDescent="0.3">
      <c r="B215" s="390">
        <f t="shared" si="159"/>
        <v>44115</v>
      </c>
      <c r="C215" s="61"/>
      <c r="D215" s="17">
        <v>41935</v>
      </c>
      <c r="E215" s="16"/>
      <c r="F215" s="16"/>
      <c r="G215" s="16"/>
      <c r="H215" s="16">
        <f t="shared" ref="H215" si="204">+H214+D215</f>
        <v>7991998</v>
      </c>
      <c r="I215" s="16"/>
      <c r="J215" s="479">
        <f>+D215/H214</f>
        <v>5.2748009669860482E-3</v>
      </c>
      <c r="K215" s="16"/>
      <c r="L215" s="16"/>
      <c r="M215" s="16"/>
      <c r="N215" s="469">
        <f t="shared" ref="N215" si="205">SUM(D209:D215)</f>
        <v>346214</v>
      </c>
      <c r="O215" s="16">
        <f t="shared" ref="O215" si="206">+H215/BW215</f>
        <v>38796.106796116503</v>
      </c>
      <c r="P215" s="41"/>
      <c r="Q215" s="453"/>
      <c r="R215" s="16"/>
      <c r="S215" s="60"/>
      <c r="T215" s="16"/>
      <c r="U215" s="41"/>
      <c r="V215" s="391">
        <f t="shared" si="109"/>
        <v>107</v>
      </c>
      <c r="W215" s="34">
        <v>325</v>
      </c>
      <c r="X215" s="33"/>
      <c r="Y215" s="33"/>
      <c r="Z215" s="33"/>
      <c r="AA215" s="33">
        <f t="shared" ref="AA215" si="207">+AA214+W215</f>
        <v>219695</v>
      </c>
      <c r="AB215" s="33"/>
      <c r="AC215" s="46">
        <f t="shared" ref="AC215" si="208">+AA215/H215</f>
        <v>2.7489371243586396E-2</v>
      </c>
      <c r="AD215" s="33"/>
      <c r="AE215" s="33">
        <f t="shared" ref="AE215" si="209">+AA215/BW215</f>
        <v>1066.4805825242718</v>
      </c>
      <c r="AF215" s="50"/>
      <c r="AG215" s="33">
        <f t="shared" ref="AG215" si="210">SUM(W209:W215)</f>
        <v>5000</v>
      </c>
      <c r="AH215" s="33">
        <f>SUM(D186:D321)</f>
        <v>458889751.35152841</v>
      </c>
      <c r="AI215" s="231">
        <f t="shared" ref="AI215" si="211">+(AG215-AG208)/AG208</f>
        <v>-3.0632027917797598E-2</v>
      </c>
      <c r="AJ215" s="50"/>
      <c r="AK215" s="10"/>
      <c r="AL215" s="23">
        <f t="shared" ref="AL215" si="212">+AP215-AP214</f>
        <v>38320</v>
      </c>
      <c r="AM215" s="24"/>
      <c r="AN215" s="24"/>
      <c r="AO215" s="24">
        <v>178263</v>
      </c>
      <c r="AP215" s="24">
        <v>5128162</v>
      </c>
      <c r="AQ215" s="24"/>
      <c r="AR215" s="504">
        <f t="shared" ref="AR215" si="213">+AL215/AP214</f>
        <v>7.5287209308265365E-3</v>
      </c>
      <c r="AS215" s="25"/>
      <c r="AT215" s="25"/>
      <c r="AU215" s="24"/>
      <c r="AV215" s="341">
        <f t="shared" ref="AV215" si="214">+AP215/H215</f>
        <v>0.64166207248800611</v>
      </c>
      <c r="AW215" s="341"/>
      <c r="AX215" s="24">
        <f t="shared" ref="AX215" si="215">+AP215/BW215</f>
        <v>24893.990291262136</v>
      </c>
      <c r="AY215" s="351"/>
      <c r="AZ215" s="391"/>
      <c r="BA215" s="66">
        <f t="shared" ref="BA215" si="216">+BC215-BC214</f>
        <v>885476</v>
      </c>
      <c r="BB215" s="67"/>
      <c r="BC215" s="67">
        <v>118486898</v>
      </c>
      <c r="BD215" s="67"/>
      <c r="BE215" s="67">
        <f t="shared" ref="BE215:BE216" si="217">+D215</f>
        <v>41935</v>
      </c>
      <c r="BF215" s="67"/>
      <c r="BG215" s="156">
        <f t="shared" ref="BG215" si="218">+BE215/BA215</f>
        <v>4.7358708762292825E-2</v>
      </c>
      <c r="BH215" s="67"/>
      <c r="BI215" s="183"/>
      <c r="BJ215" s="67"/>
      <c r="BK215" s="67">
        <f t="shared" ref="BK215" si="219">SUM(BA209:BA215)</f>
        <v>7016632</v>
      </c>
      <c r="BL215" s="67"/>
      <c r="BM215" s="156">
        <f t="shared" ref="BM215" si="220">+Q215/BK215</f>
        <v>0</v>
      </c>
      <c r="BN215" s="66">
        <f t="shared" ref="BN215" si="221">+BC215/BW215</f>
        <v>575179.11650485441</v>
      </c>
      <c r="BO215" s="67"/>
      <c r="BP215" s="67">
        <f t="shared" ref="BP215" si="222">+BP214+BE215</f>
        <v>7649351</v>
      </c>
      <c r="BQ215" s="67"/>
      <c r="BR215" s="478">
        <f>+BP215/BC215</f>
        <v>6.4558623182117567E-2</v>
      </c>
      <c r="BS215" s="67"/>
      <c r="BT215" s="86"/>
      <c r="BU215" s="183"/>
      <c r="BV215" s="1"/>
      <c r="BW215" s="61">
        <f t="shared" si="160"/>
        <v>206</v>
      </c>
    </row>
    <row r="216" spans="2:75" x14ac:dyDescent="0.3">
      <c r="B216" s="171">
        <f t="shared" si="159"/>
        <v>44116</v>
      </c>
      <c r="C216" s="61"/>
      <c r="D216" s="17">
        <v>45791</v>
      </c>
      <c r="E216" s="16"/>
      <c r="F216" s="16"/>
      <c r="G216" s="16"/>
      <c r="H216" s="16">
        <f t="shared" ref="H216" si="223">+H215+D216</f>
        <v>8037789</v>
      </c>
      <c r="I216" s="16"/>
      <c r="J216" s="479">
        <f>+D216/H215</f>
        <v>5.7296060384399499E-3</v>
      </c>
      <c r="K216" s="16"/>
      <c r="L216" s="16"/>
      <c r="M216" s="16"/>
      <c r="N216" s="16">
        <f t="shared" ref="N216" si="224">SUM(D210:D216)</f>
        <v>354288</v>
      </c>
      <c r="O216" s="16">
        <f t="shared" ref="O216" si="225">+H216/BW216</f>
        <v>38829.89855072464</v>
      </c>
      <c r="P216" s="41"/>
      <c r="Q216" s="453"/>
      <c r="R216" s="16"/>
      <c r="S216" s="60"/>
      <c r="T216" s="16"/>
      <c r="U216" s="41"/>
      <c r="V216" s="10">
        <f t="shared" si="109"/>
        <v>108</v>
      </c>
      <c r="W216" s="34">
        <v>316</v>
      </c>
      <c r="X216" s="33"/>
      <c r="Y216" s="33"/>
      <c r="Z216" s="33"/>
      <c r="AA216" s="33">
        <f t="shared" ref="AA216" si="226">+AA215+W216</f>
        <v>220011</v>
      </c>
      <c r="AB216" s="33"/>
      <c r="AC216" s="46">
        <f t="shared" ref="AC216" si="227">+AA216/H216</f>
        <v>2.7372079560685159E-2</v>
      </c>
      <c r="AD216" s="33"/>
      <c r="AE216" s="33">
        <f t="shared" ref="AE216" si="228">+AA216/BW216</f>
        <v>1062.855072463768</v>
      </c>
      <c r="AF216" s="50"/>
      <c r="AG216" s="33">
        <f t="shared" ref="AG216" si="229">SUM(W210:W216)</f>
        <v>4968</v>
      </c>
      <c r="AH216" s="33">
        <f t="shared" ref="AH216" si="230">SUM(D187:D322)</f>
        <v>458850469.35152841</v>
      </c>
      <c r="AI216" s="231">
        <f t="shared" ref="AI216" si="231">+(AG216-AG209)/AG209</f>
        <v>-3.5527082119976704E-2</v>
      </c>
      <c r="AJ216" s="50"/>
      <c r="AK216" s="10"/>
      <c r="AL216" s="23">
        <f t="shared" ref="AL216" si="232">+AP216-AP215</f>
        <v>56453</v>
      </c>
      <c r="AM216" s="24"/>
      <c r="AN216" s="24"/>
      <c r="AO216" s="24">
        <v>178263</v>
      </c>
      <c r="AP216" s="24">
        <v>5184615</v>
      </c>
      <c r="AQ216" s="24"/>
      <c r="AR216" s="504">
        <f t="shared" ref="AR216" si="233">+AL216/AP215</f>
        <v>1.1008427580875954E-2</v>
      </c>
      <c r="AS216" s="25"/>
      <c r="AT216" s="25"/>
      <c r="AU216" s="24"/>
      <c r="AV216" s="341">
        <f t="shared" ref="AV216" si="234">+AP216/H216</f>
        <v>0.64502999518897552</v>
      </c>
      <c r="AW216" s="341"/>
      <c r="AX216" s="24">
        <f t="shared" ref="AX216" si="235">+AP216/BW216</f>
        <v>25046.44927536232</v>
      </c>
      <c r="AY216" s="351"/>
      <c r="AZ216" s="10"/>
      <c r="BA216" s="66">
        <f t="shared" ref="BA216" si="236">+BC216-BC215</f>
        <v>1010726</v>
      </c>
      <c r="BB216" s="67"/>
      <c r="BC216" s="67">
        <v>119497624</v>
      </c>
      <c r="BD216" s="67"/>
      <c r="BE216" s="67">
        <f t="shared" si="217"/>
        <v>45791</v>
      </c>
      <c r="BF216" s="67"/>
      <c r="BG216" s="156">
        <f t="shared" ref="BG216" si="237">+BE216/BA216</f>
        <v>4.5305057948444978E-2</v>
      </c>
      <c r="BH216" s="67"/>
      <c r="BI216" s="183"/>
      <c r="BJ216" s="67"/>
      <c r="BK216" s="67">
        <f t="shared" ref="BK216" si="238">SUM(BA210:BA216)</f>
        <v>7125450</v>
      </c>
      <c r="BL216" s="67"/>
      <c r="BM216" s="156">
        <f t="shared" ref="BM216" si="239">+Q216/BK216</f>
        <v>0</v>
      </c>
      <c r="BN216" s="66">
        <f t="shared" ref="BN216" si="240">+BC216/BW216</f>
        <v>577283.20772946859</v>
      </c>
      <c r="BO216" s="67"/>
      <c r="BP216" s="67">
        <f t="shared" ref="BP216" si="241">+BP215+BE216</f>
        <v>7695142</v>
      </c>
      <c r="BQ216" s="67"/>
      <c r="BR216" s="478">
        <f>+BP216/BC216</f>
        <v>6.4395774095056479E-2</v>
      </c>
      <c r="BS216" s="67"/>
      <c r="BT216" s="86"/>
      <c r="BU216" s="183"/>
      <c r="BV216" s="1"/>
      <c r="BW216" s="61">
        <f t="shared" ref="BW216:BW236" si="242">+BW215+1</f>
        <v>207</v>
      </c>
    </row>
    <row r="217" spans="2:75" x14ac:dyDescent="0.3">
      <c r="B217" s="171">
        <f t="shared" si="159"/>
        <v>44117</v>
      </c>
      <c r="C217" s="61"/>
      <c r="D217" s="17">
        <v>51534</v>
      </c>
      <c r="E217" s="16"/>
      <c r="F217" s="16"/>
      <c r="G217" s="16"/>
      <c r="H217" s="16">
        <f t="shared" ref="H217" si="243">+H216+D217</f>
        <v>8089323</v>
      </c>
      <c r="I217" s="16"/>
      <c r="J217" s="479">
        <f>+D217/H216</f>
        <v>6.4114646453147751E-3</v>
      </c>
      <c r="K217" s="16"/>
      <c r="L217" s="16"/>
      <c r="M217" s="16"/>
      <c r="N217" s="16">
        <f t="shared" ref="N217" si="244">SUM(D211:D217)</f>
        <v>361154</v>
      </c>
      <c r="O217" s="16">
        <f t="shared" ref="O217" si="245">+H217/BW217</f>
        <v>38890.975961538461</v>
      </c>
      <c r="P217" s="41"/>
      <c r="Q217" s="453"/>
      <c r="R217" s="16"/>
      <c r="S217" s="60"/>
      <c r="T217" s="16"/>
      <c r="U217" s="41"/>
      <c r="V217" s="10">
        <f t="shared" si="109"/>
        <v>109</v>
      </c>
      <c r="W217" s="34">
        <v>843</v>
      </c>
      <c r="X217" s="33"/>
      <c r="Y217" s="33"/>
      <c r="Z217" s="33"/>
      <c r="AA217" s="33">
        <f t="shared" ref="AA217" si="246">+AA216+W217</f>
        <v>220854</v>
      </c>
      <c r="AB217" s="33"/>
      <c r="AC217" s="46">
        <f t="shared" ref="AC217" si="247">+AA217/H217</f>
        <v>2.7301913893165101E-2</v>
      </c>
      <c r="AD217" s="33"/>
      <c r="AE217" s="33">
        <f t="shared" ref="AE217" si="248">+AA217/BW217</f>
        <v>1061.7980769230769</v>
      </c>
      <c r="AF217" s="50"/>
      <c r="AG217" s="33">
        <f t="shared" ref="AG217" si="249">SUM(W211:W217)</f>
        <v>5003</v>
      </c>
      <c r="AH217" s="33">
        <f t="shared" ref="AH217" si="250">SUM(D188:D323)</f>
        <v>458818612.35152841</v>
      </c>
      <c r="AI217" s="231">
        <f t="shared" ref="AI217" si="251">+(AG217-AG210)/AG210</f>
        <v>4.2151746286631878E-3</v>
      </c>
      <c r="AJ217" s="50"/>
      <c r="AK217" s="10"/>
      <c r="AL217" s="23">
        <f t="shared" ref="AL217" si="252">+AP217-AP216</f>
        <v>41812</v>
      </c>
      <c r="AM217" s="24"/>
      <c r="AN217" s="24"/>
      <c r="AO217" s="24">
        <v>178263</v>
      </c>
      <c r="AP217" s="24">
        <v>5226427</v>
      </c>
      <c r="AQ217" s="24"/>
      <c r="AR217" s="504">
        <f t="shared" ref="AR217" si="253">+AL217/AP216</f>
        <v>8.0646296783849908E-3</v>
      </c>
      <c r="AS217" s="25"/>
      <c r="AT217" s="25"/>
      <c r="AU217" s="24"/>
      <c r="AV217" s="341">
        <f t="shared" ref="AV217" si="254">+AP217/H217</f>
        <v>0.64608954296917065</v>
      </c>
      <c r="AW217" s="341"/>
      <c r="AX217" s="24">
        <f t="shared" ref="AX217" si="255">+AP217/BW217</f>
        <v>25127.052884615383</v>
      </c>
      <c r="AY217" s="351"/>
      <c r="AZ217" s="10"/>
      <c r="BA217" s="66">
        <f t="shared" ref="BA217" si="256">+BC217-BC216</f>
        <v>1025948</v>
      </c>
      <c r="BB217" s="67"/>
      <c r="BC217" s="67">
        <v>120523572</v>
      </c>
      <c r="BD217" s="67"/>
      <c r="BE217" s="67">
        <f t="shared" ref="BE217" si="257">+D217</f>
        <v>51534</v>
      </c>
      <c r="BF217" s="67"/>
      <c r="BG217" s="156">
        <f t="shared" ref="BG217" si="258">+BE217/BA217</f>
        <v>5.0230615976638193E-2</v>
      </c>
      <c r="BH217" s="67"/>
      <c r="BI217" s="183"/>
      <c r="BJ217" s="67"/>
      <c r="BK217" s="67">
        <f t="shared" ref="BK217" si="259">SUM(BA211:BA217)</f>
        <v>7204254</v>
      </c>
      <c r="BL217" s="67"/>
      <c r="BM217" s="156">
        <f t="shared" ref="BM217" si="260">+Q217/BK217</f>
        <v>0</v>
      </c>
      <c r="BN217" s="66">
        <f t="shared" ref="BN217" si="261">+BC217/BW217</f>
        <v>579440.25</v>
      </c>
      <c r="BO217" s="67"/>
      <c r="BP217" s="67">
        <f t="shared" ref="BP217" si="262">+BP216+BE217</f>
        <v>7746676</v>
      </c>
      <c r="BQ217" s="67"/>
      <c r="BR217" s="478">
        <f>+BP217/BC217</f>
        <v>6.4275194233373703E-2</v>
      </c>
      <c r="BS217" s="67"/>
      <c r="BT217" s="86"/>
      <c r="BU217" s="183"/>
      <c r="BV217" s="1"/>
      <c r="BW217" s="61">
        <f t="shared" si="242"/>
        <v>208</v>
      </c>
    </row>
    <row r="218" spans="2:75" x14ac:dyDescent="0.3">
      <c r="B218" s="171">
        <f t="shared" si="159"/>
        <v>44118</v>
      </c>
      <c r="C218" s="61"/>
      <c r="D218" s="17">
        <v>59693</v>
      </c>
      <c r="E218" s="16"/>
      <c r="F218" s="16"/>
      <c r="G218" s="16"/>
      <c r="H218" s="16">
        <f t="shared" ref="H218" si="263">+H217+D218</f>
        <v>8149016</v>
      </c>
      <c r="I218" s="16"/>
      <c r="J218" s="479">
        <f>+D218/H217</f>
        <v>7.3792330952788011E-3</v>
      </c>
      <c r="K218" s="16"/>
      <c r="L218" s="16"/>
      <c r="M218" s="16"/>
      <c r="N218" s="16">
        <f t="shared" ref="N218" si="264">SUM(D212:D218)</f>
        <v>371489</v>
      </c>
      <c r="O218" s="16">
        <f t="shared" ref="O218" si="265">+H218/BW218</f>
        <v>38990.507177033491</v>
      </c>
      <c r="P218" s="41"/>
      <c r="Q218" s="453"/>
      <c r="R218" s="16"/>
      <c r="S218" s="60"/>
      <c r="T218" s="16"/>
      <c r="U218" s="41"/>
      <c r="V218" s="10">
        <f t="shared" si="109"/>
        <v>110</v>
      </c>
      <c r="W218" s="34">
        <v>970</v>
      </c>
      <c r="X218" s="33"/>
      <c r="Y218" s="33"/>
      <c r="Z218" s="33"/>
      <c r="AA218" s="33">
        <f t="shared" ref="AA218" si="266">+AA217+W218</f>
        <v>221824</v>
      </c>
      <c r="AB218" s="33"/>
      <c r="AC218" s="46">
        <f t="shared" ref="AC218" si="267">+AA218/H218</f>
        <v>2.722095526625546E-2</v>
      </c>
      <c r="AD218" s="33"/>
      <c r="AE218" s="33">
        <f t="shared" ref="AE218" si="268">+AA218/BW218</f>
        <v>1061.3588516746411</v>
      </c>
      <c r="AF218" s="50"/>
      <c r="AG218" s="33">
        <f t="shared" ref="AG218" si="269">SUM(W212:W218)</f>
        <v>5043</v>
      </c>
      <c r="AH218" s="33">
        <f t="shared" ref="AH218" si="270">SUM(D189:D324)</f>
        <v>458780540.35152841</v>
      </c>
      <c r="AI218" s="231">
        <f t="shared" ref="AI218" si="271">+(AG218-AG211)/AG211</f>
        <v>1.7349203147064757E-2</v>
      </c>
      <c r="AJ218" s="50"/>
      <c r="AK218" s="10"/>
      <c r="AL218" s="23">
        <f t="shared" ref="AL218" si="272">+AP218-AP217</f>
        <v>52326</v>
      </c>
      <c r="AM218" s="24"/>
      <c r="AN218" s="24"/>
      <c r="AO218" s="24">
        <v>178263</v>
      </c>
      <c r="AP218" s="24">
        <v>5278753</v>
      </c>
      <c r="AQ218" s="24"/>
      <c r="AR218" s="504">
        <f t="shared" ref="AR218" si="273">+AL218/AP217</f>
        <v>1.0011811128329162E-2</v>
      </c>
      <c r="AS218" s="25"/>
      <c r="AT218" s="25"/>
      <c r="AU218" s="24"/>
      <c r="AV218" s="341">
        <f t="shared" ref="AV218" si="274">+AP218/H218</f>
        <v>0.64777796484876216</v>
      </c>
      <c r="AW218" s="341"/>
      <c r="AX218" s="24">
        <f t="shared" ref="AX218" si="275">+AP218/BW218</f>
        <v>25257.191387559807</v>
      </c>
      <c r="AY218" s="351"/>
      <c r="AZ218" s="10"/>
      <c r="BA218" s="66">
        <f t="shared" ref="BA218" si="276">+BC218-BC217</f>
        <v>1043566</v>
      </c>
      <c r="BB218" s="67"/>
      <c r="BC218" s="67">
        <v>121567138</v>
      </c>
      <c r="BD218" s="67"/>
      <c r="BE218" s="67">
        <f t="shared" ref="BE218" si="277">+D218</f>
        <v>59693</v>
      </c>
      <c r="BF218" s="67"/>
      <c r="BG218" s="156">
        <f t="shared" ref="BG218" si="278">+BE218/BA218</f>
        <v>5.7200982017428702E-2</v>
      </c>
      <c r="BH218" s="67"/>
      <c r="BI218" s="183"/>
      <c r="BJ218" s="67"/>
      <c r="BK218" s="67">
        <f t="shared" ref="BK218" si="279">SUM(BA212:BA218)</f>
        <v>7408289</v>
      </c>
      <c r="BL218" s="67"/>
      <c r="BM218" s="156">
        <f t="shared" ref="BM218" si="280">+Q218/BK218</f>
        <v>0</v>
      </c>
      <c r="BN218" s="66">
        <f t="shared" ref="BN218" si="281">+BC218/BW218</f>
        <v>581660.94736842101</v>
      </c>
      <c r="BO218" s="67"/>
      <c r="BP218" s="67">
        <f t="shared" ref="BP218" si="282">+BP217+BE218</f>
        <v>7806369</v>
      </c>
      <c r="BQ218" s="67"/>
      <c r="BR218" s="478">
        <f>+BP218/BC218</f>
        <v>6.4214467235380671E-2</v>
      </c>
      <c r="BS218" s="67"/>
      <c r="BT218" s="86"/>
      <c r="BU218" s="183"/>
      <c r="BV218" s="1"/>
      <c r="BW218" s="61">
        <f t="shared" si="242"/>
        <v>209</v>
      </c>
    </row>
    <row r="219" spans="2:75" x14ac:dyDescent="0.3">
      <c r="B219" s="171">
        <f t="shared" si="159"/>
        <v>44119</v>
      </c>
      <c r="C219" s="61"/>
      <c r="D219" s="17">
        <v>66129</v>
      </c>
      <c r="E219" s="16"/>
      <c r="F219" s="16"/>
      <c r="G219" s="16"/>
      <c r="H219" s="16">
        <f t="shared" ref="H219" si="283">+H218+D219</f>
        <v>8215145</v>
      </c>
      <c r="I219" s="16"/>
      <c r="J219" s="479">
        <f>+D219/H218</f>
        <v>8.1149675003705964E-3</v>
      </c>
      <c r="K219" s="16"/>
      <c r="L219" s="16"/>
      <c r="M219" s="16"/>
      <c r="N219" s="16">
        <f t="shared" ref="N219" si="284">SUM(D213:D219)</f>
        <v>380300</v>
      </c>
      <c r="O219" s="16">
        <f t="shared" ref="O219" si="285">+H219/BW219</f>
        <v>39119.738095238092</v>
      </c>
      <c r="P219" s="41"/>
      <c r="Q219" s="453"/>
      <c r="R219" s="16"/>
      <c r="S219" s="60"/>
      <c r="T219" s="16"/>
      <c r="U219" s="41"/>
      <c r="V219" s="10">
        <f t="shared" si="109"/>
        <v>111</v>
      </c>
      <c r="W219" s="34">
        <v>874</v>
      </c>
      <c r="X219" s="33"/>
      <c r="Y219" s="33"/>
      <c r="Z219" s="33"/>
      <c r="AA219" s="33">
        <f t="shared" ref="AA219" si="286">+AA218+W219</f>
        <v>222698</v>
      </c>
      <c r="AB219" s="33"/>
      <c r="AC219" s="46">
        <f t="shared" ref="AC219" si="287">+AA219/H219</f>
        <v>2.7108225113494651E-2</v>
      </c>
      <c r="AD219" s="33"/>
      <c r="AE219" s="33">
        <f t="shared" ref="AE219" si="288">+AA219/BW219</f>
        <v>1060.4666666666667</v>
      </c>
      <c r="AF219" s="50"/>
      <c r="AG219" s="33">
        <f t="shared" ref="AG219" si="289">SUM(W213:W219)</f>
        <v>4960</v>
      </c>
      <c r="AH219" s="33">
        <f t="shared" ref="AH219" si="290">SUM(D190:D325)</f>
        <v>458744093.35152841</v>
      </c>
      <c r="AI219" s="231">
        <f t="shared" ref="AI219" si="291">+(AG219-AG212)/AG212</f>
        <v>-6.8081698037645178E-3</v>
      </c>
      <c r="AJ219" s="50"/>
      <c r="AK219" s="10"/>
      <c r="AL219" s="23">
        <f t="shared" ref="AL219" si="292">+AP219-AP218</f>
        <v>41386</v>
      </c>
      <c r="AM219" s="24"/>
      <c r="AN219" s="24"/>
      <c r="AO219" s="24">
        <v>178263</v>
      </c>
      <c r="AP219" s="24">
        <v>5320139</v>
      </c>
      <c r="AQ219" s="24"/>
      <c r="AR219" s="504">
        <f t="shared" ref="AR219" si="293">+AL219/AP218</f>
        <v>7.8401092076102064E-3</v>
      </c>
      <c r="AS219" s="25"/>
      <c r="AT219" s="25"/>
      <c r="AU219" s="24"/>
      <c r="AV219" s="341">
        <f t="shared" ref="AV219" si="294">+AP219/H219</f>
        <v>0.64760135091955162</v>
      </c>
      <c r="AW219" s="341"/>
      <c r="AX219" s="24">
        <f t="shared" ref="AX219" si="295">+AP219/BW219</f>
        <v>25333.995238095238</v>
      </c>
      <c r="AY219" s="351"/>
      <c r="AZ219" s="10"/>
      <c r="BA219" s="66">
        <f t="shared" ref="BA219" si="296">+BC219-BC218</f>
        <v>1128210</v>
      </c>
      <c r="BB219" s="67"/>
      <c r="BC219" s="67">
        <v>122695348</v>
      </c>
      <c r="BD219" s="67"/>
      <c r="BE219" s="67">
        <f t="shared" ref="BE219" si="297">+D219</f>
        <v>66129</v>
      </c>
      <c r="BF219" s="67"/>
      <c r="BG219" s="156">
        <f t="shared" ref="BG219" si="298">+BE219/BA219</f>
        <v>5.8614087802802667E-2</v>
      </c>
      <c r="BH219" s="67"/>
      <c r="BI219" s="183"/>
      <c r="BJ219" s="67"/>
      <c r="BK219" s="67">
        <f t="shared" ref="BK219" si="299">SUM(BA213:BA219)</f>
        <v>7351533</v>
      </c>
      <c r="BL219" s="67"/>
      <c r="BM219" s="156">
        <f t="shared" ref="BM219" si="300">+Q219/BK219</f>
        <v>0</v>
      </c>
      <c r="BN219" s="66">
        <f t="shared" ref="BN219" si="301">+BC219/BW219</f>
        <v>584263.56190476194</v>
      </c>
      <c r="BO219" s="67"/>
      <c r="BP219" s="67">
        <f t="shared" ref="BP219" si="302">+BP218+BE219</f>
        <v>7872498</v>
      </c>
      <c r="BQ219" s="67"/>
      <c r="BR219" s="478">
        <f>+BP219/BC219</f>
        <v>6.4162970547179995E-2</v>
      </c>
      <c r="BS219" s="67"/>
      <c r="BT219" s="86"/>
      <c r="BU219" s="183"/>
      <c r="BV219" s="1"/>
      <c r="BW219" s="61">
        <f t="shared" si="242"/>
        <v>210</v>
      </c>
    </row>
    <row r="220" spans="2:75" x14ac:dyDescent="0.3">
      <c r="B220" s="171">
        <f t="shared" si="159"/>
        <v>44120</v>
      </c>
      <c r="C220" s="61"/>
      <c r="D220" s="17">
        <v>71687</v>
      </c>
      <c r="E220" s="16"/>
      <c r="F220" s="16"/>
      <c r="G220" s="16"/>
      <c r="H220" s="16">
        <f t="shared" ref="H220" si="303">+H219+D220</f>
        <v>8286832</v>
      </c>
      <c r="I220" s="16"/>
      <c r="J220" s="479">
        <f>+D220/H219</f>
        <v>8.726200207056601E-3</v>
      </c>
      <c r="K220" s="16"/>
      <c r="L220" s="16"/>
      <c r="M220" s="16"/>
      <c r="N220" s="16">
        <f t="shared" ref="N220" si="304">SUM(D214:D220)</f>
        <v>391004</v>
      </c>
      <c r="O220" s="16">
        <f t="shared" ref="O220" si="305">+H220/BW220</f>
        <v>39274.08530805687</v>
      </c>
      <c r="P220" s="41"/>
      <c r="Q220" s="453"/>
      <c r="R220" s="16"/>
      <c r="S220" s="60"/>
      <c r="T220" s="16"/>
      <c r="U220" s="41"/>
      <c r="V220" s="10">
        <f t="shared" si="109"/>
        <v>112</v>
      </c>
      <c r="W220" s="34">
        <v>928</v>
      </c>
      <c r="X220" s="33"/>
      <c r="Y220" s="33"/>
      <c r="Z220" s="33"/>
      <c r="AA220" s="33">
        <f t="shared" ref="AA220" si="306">+AA219+W220</f>
        <v>223626</v>
      </c>
      <c r="AB220" s="33"/>
      <c r="AC220" s="46">
        <f t="shared" ref="AC220" si="307">+AA220/H220</f>
        <v>2.6985704549096688E-2</v>
      </c>
      <c r="AD220" s="33"/>
      <c r="AE220" s="33">
        <f t="shared" ref="AE220" si="308">+AA220/BW220</f>
        <v>1059.8388625592418</v>
      </c>
      <c r="AF220" s="50"/>
      <c r="AG220" s="33">
        <f t="shared" ref="AG220" si="309">SUM(W214:W220)</f>
        <v>4979</v>
      </c>
      <c r="AH220" s="33">
        <f t="shared" ref="AH220" si="310">SUM(D191:D326)</f>
        <v>458703939.35152841</v>
      </c>
      <c r="AI220" s="231">
        <f t="shared" ref="AI220" si="311">+(AG220-AG213)/AG213</f>
        <v>-1.1907124429450288E-2</v>
      </c>
      <c r="AJ220" s="50"/>
      <c r="AK220" s="10"/>
      <c r="AL220" s="23">
        <f t="shared" ref="AL220" si="312">+AP220-AP219</f>
        <v>75262</v>
      </c>
      <c r="AM220" s="24"/>
      <c r="AN220" s="24"/>
      <c r="AO220" s="24">
        <v>178263</v>
      </c>
      <c r="AP220" s="24">
        <v>5395401</v>
      </c>
      <c r="AQ220" s="24"/>
      <c r="AR220" s="504">
        <f t="shared" ref="AR220" si="313">+AL220/AP219</f>
        <v>1.4146622860793675E-2</v>
      </c>
      <c r="AS220" s="25"/>
      <c r="AT220" s="25"/>
      <c r="AU220" s="24"/>
      <c r="AV220" s="341">
        <f t="shared" ref="AV220" si="314">+AP220/H220</f>
        <v>0.6510812575903554</v>
      </c>
      <c r="AW220" s="341"/>
      <c r="AX220" s="24">
        <f t="shared" ref="AX220" si="315">+AP220/BW220</f>
        <v>25570.620853080567</v>
      </c>
      <c r="AY220" s="351"/>
      <c r="AZ220" s="10"/>
      <c r="BA220" s="66">
        <f t="shared" ref="BA220" si="316">+BC220-BC219</f>
        <v>1041099</v>
      </c>
      <c r="BB220" s="67"/>
      <c r="BC220" s="67">
        <v>123736447</v>
      </c>
      <c r="BD220" s="67"/>
      <c r="BE220" s="67">
        <f t="shared" ref="BE220" si="317">+D220</f>
        <v>71687</v>
      </c>
      <c r="BF220" s="67"/>
      <c r="BG220" s="156">
        <f t="shared" ref="BG220" si="318">+BE220/BA220</f>
        <v>6.885704433488074E-2</v>
      </c>
      <c r="BH220" s="67"/>
      <c r="BI220" s="183"/>
      <c r="BJ220" s="67"/>
      <c r="BK220" s="67">
        <f t="shared" ref="BK220" si="319">SUM(BA214:BA220)</f>
        <v>7238312</v>
      </c>
      <c r="BL220" s="67"/>
      <c r="BM220" s="156">
        <f t="shared" ref="BM220" si="320">+Q220/BK220</f>
        <v>0</v>
      </c>
      <c r="BN220" s="66">
        <f t="shared" ref="BN220" si="321">+BC220/BW220</f>
        <v>586428.65876777249</v>
      </c>
      <c r="BO220" s="67"/>
      <c r="BP220" s="67">
        <f t="shared" ref="BP220" si="322">+BP219+BE220</f>
        <v>7944185</v>
      </c>
      <c r="BQ220" s="67"/>
      <c r="BR220" s="478">
        <f>+BP220/BC220</f>
        <v>6.4202465745602025E-2</v>
      </c>
      <c r="BS220" s="67"/>
      <c r="BT220" s="86"/>
      <c r="BU220" s="183"/>
      <c r="BV220" s="1"/>
      <c r="BW220" s="61">
        <f t="shared" si="242"/>
        <v>211</v>
      </c>
    </row>
    <row r="221" spans="2:75" x14ac:dyDescent="0.3">
      <c r="B221" s="171">
        <f t="shared" si="159"/>
        <v>44121</v>
      </c>
      <c r="C221" s="61"/>
      <c r="D221" s="17">
        <v>54232</v>
      </c>
      <c r="E221" s="16"/>
      <c r="F221" s="16"/>
      <c r="G221" s="16"/>
      <c r="H221" s="16">
        <f t="shared" ref="H221" si="323">+H220+D221</f>
        <v>8341064</v>
      </c>
      <c r="I221" s="16"/>
      <c r="J221" s="479">
        <f>+D221/H220</f>
        <v>6.5443585679062881E-3</v>
      </c>
      <c r="K221" s="16"/>
      <c r="L221" s="16"/>
      <c r="M221" s="16"/>
      <c r="N221" s="16">
        <f t="shared" ref="N221" si="324">SUM(D215:D221)</f>
        <v>391001</v>
      </c>
      <c r="O221" s="16">
        <f t="shared" ref="O221" si="325">+H221/BW221</f>
        <v>39344.641509433961</v>
      </c>
      <c r="P221" s="41"/>
      <c r="Q221" s="453"/>
      <c r="R221" s="16"/>
      <c r="S221" s="60"/>
      <c r="T221" s="16"/>
      <c r="U221" s="41"/>
      <c r="V221" s="10">
        <f t="shared" si="109"/>
        <v>113</v>
      </c>
      <c r="W221" s="34">
        <v>638</v>
      </c>
      <c r="X221" s="33"/>
      <c r="Y221" s="33"/>
      <c r="Z221" s="33"/>
      <c r="AA221" s="33">
        <f t="shared" ref="AA221" si="326">+AA220+W221</f>
        <v>224264</v>
      </c>
      <c r="AB221" s="33"/>
      <c r="AC221" s="46">
        <f t="shared" ref="AC221" si="327">+AA221/H221</f>
        <v>2.6886737711160111E-2</v>
      </c>
      <c r="AD221" s="33"/>
      <c r="AE221" s="33">
        <f t="shared" ref="AE221" si="328">+AA221/BW221</f>
        <v>1057.8490566037735</v>
      </c>
      <c r="AF221" s="50"/>
      <c r="AG221" s="33">
        <f t="shared" ref="AG221" si="329">SUM(W215:W221)</f>
        <v>4894</v>
      </c>
      <c r="AH221" s="33">
        <f t="shared" ref="AH221" si="330">SUM(D192:D327)</f>
        <v>458657644.35152841</v>
      </c>
      <c r="AI221" s="231">
        <f t="shared" ref="AI221" si="331">+(AG221-AG214)/AG214</f>
        <v>-2.25684042340723E-2</v>
      </c>
      <c r="AJ221" s="50"/>
      <c r="AK221" s="10"/>
      <c r="AL221" s="23">
        <f t="shared" ref="AL221" si="332">+AP221-AP220</f>
        <v>36791</v>
      </c>
      <c r="AM221" s="24"/>
      <c r="AN221" s="24"/>
      <c r="AO221" s="24">
        <v>178263</v>
      </c>
      <c r="AP221" s="24">
        <v>5432192</v>
      </c>
      <c r="AQ221" s="24"/>
      <c r="AR221" s="504">
        <f t="shared" ref="AR221" si="333">+AL221/AP220</f>
        <v>6.8189556253557427E-3</v>
      </c>
      <c r="AS221" s="25"/>
      <c r="AT221" s="25"/>
      <c r="AU221" s="24"/>
      <c r="AV221" s="341">
        <f t="shared" ref="AV221" si="334">+AP221/H221</f>
        <v>0.65125888016205125</v>
      </c>
      <c r="AW221" s="341"/>
      <c r="AX221" s="24">
        <f t="shared" ref="AX221" si="335">+AP221/BW221</f>
        <v>25623.547169811322</v>
      </c>
      <c r="AY221" s="351"/>
      <c r="AZ221" s="10"/>
      <c r="BA221" s="66">
        <f t="shared" ref="BA221" si="336">+BC221-BC220</f>
        <v>1056221</v>
      </c>
      <c r="BB221" s="67"/>
      <c r="BC221" s="67">
        <v>124792668</v>
      </c>
      <c r="BD221" s="67"/>
      <c r="BE221" s="67">
        <f t="shared" ref="BE221" si="337">+D221</f>
        <v>54232</v>
      </c>
      <c r="BF221" s="67"/>
      <c r="BG221" s="156">
        <f t="shared" ref="BG221" si="338">+BE221/BA221</f>
        <v>5.1345315042969228E-2</v>
      </c>
      <c r="BH221" s="67"/>
      <c r="BI221" s="183"/>
      <c r="BJ221" s="67"/>
      <c r="BK221" s="67">
        <f t="shared" ref="BK221" si="339">SUM(BA215:BA221)</f>
        <v>7191246</v>
      </c>
      <c r="BL221" s="67"/>
      <c r="BM221" s="156">
        <f t="shared" ref="BM221" si="340">+Q221/BK221</f>
        <v>0</v>
      </c>
      <c r="BN221" s="66">
        <f t="shared" ref="BN221" si="341">+BC221/BW221</f>
        <v>588644.66037735844</v>
      </c>
      <c r="BO221" s="67"/>
      <c r="BP221" s="67">
        <f t="shared" ref="BP221" si="342">+BP220+BE221</f>
        <v>7998417</v>
      </c>
      <c r="BQ221" s="67"/>
      <c r="BR221" s="478">
        <f>+BP221/BC221</f>
        <v>6.4093645309354227E-2</v>
      </c>
      <c r="BS221" s="67"/>
      <c r="BT221" s="86"/>
      <c r="BU221" s="183"/>
      <c r="BV221" s="1"/>
      <c r="BW221" s="61">
        <f t="shared" si="242"/>
        <v>212</v>
      </c>
    </row>
    <row r="222" spans="2:75" x14ac:dyDescent="0.3">
      <c r="B222" s="390">
        <f t="shared" si="159"/>
        <v>44122</v>
      </c>
      <c r="C222" s="61"/>
      <c r="D222" s="17">
        <v>44941</v>
      </c>
      <c r="E222" s="16"/>
      <c r="F222" s="16"/>
      <c r="G222" s="16"/>
      <c r="H222" s="16">
        <f t="shared" ref="H222" si="343">+H221+D222</f>
        <v>8386005</v>
      </c>
      <c r="I222" s="16"/>
      <c r="J222" s="479">
        <f>+D222/H221</f>
        <v>5.3879217327669465E-3</v>
      </c>
      <c r="K222" s="16"/>
      <c r="L222" s="16"/>
      <c r="M222" s="16"/>
      <c r="N222" s="16">
        <f t="shared" ref="N222" si="344">SUM(D216:D222)</f>
        <v>394007</v>
      </c>
      <c r="O222" s="16">
        <f t="shared" ref="O222" si="345">+H222/BW222</f>
        <v>39370.915492957749</v>
      </c>
      <c r="P222" s="41"/>
      <c r="Q222" s="453"/>
      <c r="R222" s="16"/>
      <c r="S222" s="60"/>
      <c r="T222" s="16"/>
      <c r="U222" s="41"/>
      <c r="V222" s="391">
        <f t="shared" si="109"/>
        <v>114</v>
      </c>
      <c r="W222" s="34">
        <v>448</v>
      </c>
      <c r="X222" s="33"/>
      <c r="Y222" s="33"/>
      <c r="Z222" s="33"/>
      <c r="AA222" s="33">
        <f t="shared" ref="AA222" si="346">+AA221+W222</f>
        <v>224712</v>
      </c>
      <c r="AB222" s="33"/>
      <c r="AC222" s="46">
        <f t="shared" ref="AC222" si="347">+AA222/H222</f>
        <v>2.6796072742622978E-2</v>
      </c>
      <c r="AD222" s="33"/>
      <c r="AE222" s="33">
        <f t="shared" ref="AE222" si="348">+AA222/BW222</f>
        <v>1054.9859154929577</v>
      </c>
      <c r="AF222" s="50"/>
      <c r="AG222" s="33">
        <f t="shared" ref="AG222" si="349">SUM(W216:W222)</f>
        <v>5017</v>
      </c>
      <c r="AH222" s="33">
        <f t="shared" ref="AH222" si="350">SUM(D193:D328)</f>
        <v>458606299.35152841</v>
      </c>
      <c r="AI222" s="231">
        <f t="shared" ref="AI222" si="351">+(AG222-AG215)/AG215</f>
        <v>3.3999999999999998E-3</v>
      </c>
      <c r="AJ222" s="50"/>
      <c r="AK222" s="10"/>
      <c r="AL222" s="23">
        <f t="shared" ref="AL222" si="352">+AP222-AP221</f>
        <v>25492</v>
      </c>
      <c r="AM222" s="24"/>
      <c r="AN222" s="24"/>
      <c r="AO222" s="24">
        <v>178263</v>
      </c>
      <c r="AP222" s="24">
        <v>5457684</v>
      </c>
      <c r="AQ222" s="24"/>
      <c r="AR222" s="504">
        <f t="shared" ref="AR222" si="353">+AL222/AP221</f>
        <v>4.6927649096350057E-3</v>
      </c>
      <c r="AS222" s="25"/>
      <c r="AT222" s="25"/>
      <c r="AU222" s="24"/>
      <c r="AV222" s="341">
        <f t="shared" ref="AV222" si="354">+AP222/H222</f>
        <v>0.65080857929371616</v>
      </c>
      <c r="AW222" s="341"/>
      <c r="AX222" s="24">
        <f t="shared" ref="AX222" si="355">+AP222/BW222</f>
        <v>25622.929577464787</v>
      </c>
      <c r="AY222" s="351"/>
      <c r="AZ222" s="391"/>
      <c r="BA222" s="66">
        <f t="shared" ref="BA222" si="356">+BC222-BC221</f>
        <v>891213</v>
      </c>
      <c r="BB222" s="67"/>
      <c r="BC222" s="67">
        <v>125683881</v>
      </c>
      <c r="BD222" s="67"/>
      <c r="BE222" s="67">
        <f t="shared" ref="BE222" si="357">+D222</f>
        <v>44941</v>
      </c>
      <c r="BF222" s="67"/>
      <c r="BG222" s="156">
        <f t="shared" ref="BG222" si="358">+BE222/BA222</f>
        <v>5.0426777885870154E-2</v>
      </c>
      <c r="BH222" s="67"/>
      <c r="BI222" s="183"/>
      <c r="BJ222" s="67"/>
      <c r="BK222" s="67">
        <f t="shared" ref="BK222" si="359">SUM(BA216:BA222)</f>
        <v>7196983</v>
      </c>
      <c r="BL222" s="67"/>
      <c r="BM222" s="156">
        <f t="shared" ref="BM222" si="360">+Q222/BK222</f>
        <v>0</v>
      </c>
      <c r="BN222" s="66">
        <f t="shared" ref="BN222" si="361">+BC222/BW222</f>
        <v>590065.1690140845</v>
      </c>
      <c r="BO222" s="67"/>
      <c r="BP222" s="67">
        <f t="shared" ref="BP222" si="362">+BP221+BE222</f>
        <v>8043358</v>
      </c>
      <c r="BQ222" s="67"/>
      <c r="BR222" s="478">
        <f>+BP222/BC222</f>
        <v>6.39967347921091E-2</v>
      </c>
      <c r="BS222" s="67"/>
      <c r="BT222" s="86"/>
      <c r="BU222" s="183"/>
      <c r="BV222" s="1"/>
      <c r="BW222" s="61">
        <f t="shared" si="242"/>
        <v>213</v>
      </c>
    </row>
    <row r="223" spans="2:75" x14ac:dyDescent="0.3">
      <c r="B223" s="171">
        <f t="shared" si="159"/>
        <v>44123</v>
      </c>
      <c r="C223" s="61"/>
      <c r="D223" s="17"/>
      <c r="E223" s="16"/>
      <c r="F223" s="16"/>
      <c r="G223" s="16"/>
      <c r="H223" s="16"/>
      <c r="I223" s="16"/>
      <c r="J223" s="479"/>
      <c r="K223" s="16"/>
      <c r="L223" s="16"/>
      <c r="M223" s="16"/>
      <c r="N223" s="16"/>
      <c r="O223" s="16"/>
      <c r="P223" s="41"/>
      <c r="Q223" s="453"/>
      <c r="R223" s="16"/>
      <c r="S223" s="60"/>
      <c r="T223" s="16"/>
      <c r="U223" s="41"/>
      <c r="V223" s="10"/>
      <c r="W223" s="34"/>
      <c r="X223" s="33"/>
      <c r="Y223" s="33"/>
      <c r="Z223" s="33"/>
      <c r="AA223" s="33"/>
      <c r="AB223" s="33"/>
      <c r="AC223" s="46"/>
      <c r="AD223" s="33"/>
      <c r="AE223" s="33"/>
      <c r="AF223" s="50"/>
      <c r="AG223" s="33"/>
      <c r="AH223" s="33"/>
      <c r="AI223" s="231"/>
      <c r="AJ223" s="50"/>
      <c r="AK223" s="10"/>
      <c r="AL223" s="23"/>
      <c r="AM223" s="24"/>
      <c r="AN223" s="24"/>
      <c r="AO223" s="24"/>
      <c r="AP223" s="24"/>
      <c r="AQ223" s="24"/>
      <c r="AR223" s="504"/>
      <c r="AS223" s="25"/>
      <c r="AT223" s="25"/>
      <c r="AU223" s="24"/>
      <c r="AV223" s="341"/>
      <c r="AW223" s="341"/>
      <c r="AX223" s="24"/>
      <c r="AY223" s="351"/>
      <c r="AZ223" s="10"/>
      <c r="BA223" s="66"/>
      <c r="BB223" s="67"/>
      <c r="BC223" s="67"/>
      <c r="BD223" s="67"/>
      <c r="BE223" s="67"/>
      <c r="BF223" s="67"/>
      <c r="BG223" s="156"/>
      <c r="BH223" s="67"/>
      <c r="BI223" s="183"/>
      <c r="BJ223" s="67"/>
      <c r="BK223" s="67"/>
      <c r="BL223" s="67"/>
      <c r="BM223" s="156"/>
      <c r="BN223" s="66"/>
      <c r="BO223" s="67"/>
      <c r="BP223" s="67"/>
      <c r="BQ223" s="67"/>
      <c r="BR223" s="478"/>
      <c r="BS223" s="67"/>
      <c r="BT223" s="86"/>
      <c r="BU223" s="183"/>
      <c r="BV223" s="1"/>
      <c r="BW223" s="61">
        <f t="shared" si="242"/>
        <v>214</v>
      </c>
    </row>
    <row r="224" spans="2:75" x14ac:dyDescent="0.3">
      <c r="B224" s="171">
        <f t="shared" si="159"/>
        <v>44124</v>
      </c>
      <c r="C224" s="61"/>
      <c r="D224" s="17"/>
      <c r="E224" s="16"/>
      <c r="F224" s="16"/>
      <c r="G224" s="16"/>
      <c r="H224" s="16"/>
      <c r="I224" s="16"/>
      <c r="J224" s="479"/>
      <c r="K224" s="16"/>
      <c r="L224" s="16"/>
      <c r="M224" s="16"/>
      <c r="N224" s="16"/>
      <c r="O224" s="16"/>
      <c r="P224" s="41"/>
      <c r="Q224" s="453"/>
      <c r="R224" s="16"/>
      <c r="S224" s="60"/>
      <c r="T224" s="16"/>
      <c r="U224" s="41"/>
      <c r="V224" s="10"/>
      <c r="W224" s="34"/>
      <c r="X224" s="33"/>
      <c r="Y224" s="33"/>
      <c r="Z224" s="33"/>
      <c r="AA224" s="33"/>
      <c r="AB224" s="33"/>
      <c r="AC224" s="46"/>
      <c r="AD224" s="33"/>
      <c r="AE224" s="33"/>
      <c r="AF224" s="50"/>
      <c r="AG224" s="33"/>
      <c r="AH224" s="33"/>
      <c r="AI224" s="231"/>
      <c r="AJ224" s="50"/>
      <c r="AK224" s="10"/>
      <c r="AL224" s="23"/>
      <c r="AM224" s="24"/>
      <c r="AN224" s="24"/>
      <c r="AO224" s="24"/>
      <c r="AP224" s="24"/>
      <c r="AQ224" s="24"/>
      <c r="AR224" s="504"/>
      <c r="AS224" s="25"/>
      <c r="AT224" s="25"/>
      <c r="AU224" s="24"/>
      <c r="AV224" s="341"/>
      <c r="AW224" s="341"/>
      <c r="AX224" s="24"/>
      <c r="AY224" s="351"/>
      <c r="AZ224" s="10"/>
      <c r="BA224" s="66"/>
      <c r="BB224" s="67"/>
      <c r="BC224" s="67"/>
      <c r="BD224" s="67"/>
      <c r="BE224" s="67"/>
      <c r="BF224" s="67"/>
      <c r="BG224" s="156"/>
      <c r="BH224" s="67"/>
      <c r="BI224" s="183"/>
      <c r="BJ224" s="67"/>
      <c r="BK224" s="67"/>
      <c r="BL224" s="67"/>
      <c r="BM224" s="156"/>
      <c r="BN224" s="66"/>
      <c r="BO224" s="67"/>
      <c r="BP224" s="67"/>
      <c r="BQ224" s="67"/>
      <c r="BR224" s="478"/>
      <c r="BS224" s="67"/>
      <c r="BT224" s="86"/>
      <c r="BU224" s="183"/>
      <c r="BV224" s="1"/>
      <c r="BW224" s="61">
        <f t="shared" si="242"/>
        <v>215</v>
      </c>
    </row>
    <row r="225" spans="2:85" x14ac:dyDescent="0.3">
      <c r="B225" s="171">
        <f t="shared" si="159"/>
        <v>44125</v>
      </c>
      <c r="C225" s="61"/>
      <c r="D225" s="17"/>
      <c r="E225" s="16"/>
      <c r="F225" s="16"/>
      <c r="G225" s="16"/>
      <c r="H225" s="16"/>
      <c r="I225" s="16"/>
      <c r="J225" s="479"/>
      <c r="K225" s="16"/>
      <c r="L225" s="16"/>
      <c r="M225" s="16"/>
      <c r="N225" s="16"/>
      <c r="O225" s="16"/>
      <c r="P225" s="41"/>
      <c r="Q225" s="453"/>
      <c r="R225" s="16"/>
      <c r="S225" s="60"/>
      <c r="T225" s="16"/>
      <c r="U225" s="41"/>
      <c r="V225" s="10"/>
      <c r="W225" s="34"/>
      <c r="X225" s="33"/>
      <c r="Y225" s="33"/>
      <c r="Z225" s="33"/>
      <c r="AA225" s="33"/>
      <c r="AB225" s="33"/>
      <c r="AC225" s="46"/>
      <c r="AD225" s="33"/>
      <c r="AE225" s="33"/>
      <c r="AF225" s="50"/>
      <c r="AG225" s="33"/>
      <c r="AH225" s="33"/>
      <c r="AI225" s="231"/>
      <c r="AJ225" s="50"/>
      <c r="AK225" s="10"/>
      <c r="AL225" s="23"/>
      <c r="AM225" s="24"/>
      <c r="AN225" s="24"/>
      <c r="AO225" s="24"/>
      <c r="AP225" s="24"/>
      <c r="AQ225" s="24"/>
      <c r="AR225" s="504"/>
      <c r="AS225" s="25"/>
      <c r="AT225" s="25"/>
      <c r="AU225" s="24"/>
      <c r="AV225" s="341"/>
      <c r="AW225" s="341"/>
      <c r="AX225" s="24"/>
      <c r="AY225" s="351"/>
      <c r="AZ225" s="10"/>
      <c r="BA225" s="66"/>
      <c r="BB225" s="67"/>
      <c r="BC225" s="67"/>
      <c r="BD225" s="67"/>
      <c r="BE225" s="67"/>
      <c r="BF225" s="67"/>
      <c r="BG225" s="156"/>
      <c r="BH225" s="67"/>
      <c r="BI225" s="183"/>
      <c r="BJ225" s="67"/>
      <c r="BK225" s="67"/>
      <c r="BL225" s="67"/>
      <c r="BM225" s="156"/>
      <c r="BN225" s="66"/>
      <c r="BO225" s="67"/>
      <c r="BP225" s="67"/>
      <c r="BQ225" s="67"/>
      <c r="BR225" s="478"/>
      <c r="BS225" s="67"/>
      <c r="BT225" s="86"/>
      <c r="BU225" s="183"/>
      <c r="BV225" s="1"/>
      <c r="BW225" s="61">
        <f t="shared" si="242"/>
        <v>216</v>
      </c>
    </row>
    <row r="226" spans="2:85" x14ac:dyDescent="0.3">
      <c r="B226" s="171">
        <f t="shared" si="159"/>
        <v>44126</v>
      </c>
      <c r="C226" s="61"/>
      <c r="D226" s="17"/>
      <c r="E226" s="16"/>
      <c r="F226" s="16"/>
      <c r="G226" s="16"/>
      <c r="H226" s="16"/>
      <c r="I226" s="16"/>
      <c r="J226" s="479"/>
      <c r="K226" s="16"/>
      <c r="L226" s="16"/>
      <c r="M226" s="16"/>
      <c r="N226" s="16"/>
      <c r="O226" s="16"/>
      <c r="P226" s="41"/>
      <c r="Q226" s="453"/>
      <c r="R226" s="16"/>
      <c r="S226" s="60"/>
      <c r="T226" s="16"/>
      <c r="U226" s="41"/>
      <c r="V226" s="10"/>
      <c r="W226" s="34"/>
      <c r="X226" s="33"/>
      <c r="Y226" s="33"/>
      <c r="Z226" s="33"/>
      <c r="AA226" s="33"/>
      <c r="AB226" s="33"/>
      <c r="AC226" s="46"/>
      <c r="AD226" s="33"/>
      <c r="AE226" s="33"/>
      <c r="AF226" s="50"/>
      <c r="AG226" s="33"/>
      <c r="AH226" s="33"/>
      <c r="AI226" s="231"/>
      <c r="AJ226" s="50"/>
      <c r="AK226" s="10"/>
      <c r="AL226" s="23"/>
      <c r="AM226" s="24"/>
      <c r="AN226" s="24"/>
      <c r="AO226" s="24"/>
      <c r="AP226" s="24"/>
      <c r="AQ226" s="24"/>
      <c r="AR226" s="504"/>
      <c r="AS226" s="25"/>
      <c r="AT226" s="25"/>
      <c r="AU226" s="24"/>
      <c r="AV226" s="341"/>
      <c r="AW226" s="341"/>
      <c r="AX226" s="24"/>
      <c r="AY226" s="351"/>
      <c r="AZ226" s="10"/>
      <c r="BA226" s="66"/>
      <c r="BB226" s="67"/>
      <c r="BC226" s="67"/>
      <c r="BD226" s="67"/>
      <c r="BE226" s="67"/>
      <c r="BF226" s="67"/>
      <c r="BG226" s="156"/>
      <c r="BH226" s="67"/>
      <c r="BI226" s="183"/>
      <c r="BJ226" s="67"/>
      <c r="BK226" s="67"/>
      <c r="BL226" s="67"/>
      <c r="BM226" s="156"/>
      <c r="BN226" s="66"/>
      <c r="BO226" s="67"/>
      <c r="BP226" s="67"/>
      <c r="BQ226" s="67"/>
      <c r="BR226" s="478"/>
      <c r="BS226" s="67"/>
      <c r="BT226" s="86"/>
      <c r="BU226" s="183"/>
      <c r="BV226" s="1"/>
      <c r="BW226" s="61">
        <f t="shared" si="242"/>
        <v>217</v>
      </c>
    </row>
    <row r="227" spans="2:85" x14ac:dyDescent="0.3">
      <c r="B227" s="171">
        <f t="shared" si="159"/>
        <v>44127</v>
      </c>
      <c r="C227" s="61"/>
      <c r="D227" s="17"/>
      <c r="E227" s="16"/>
      <c r="F227" s="16"/>
      <c r="G227" s="16"/>
      <c r="H227" s="16"/>
      <c r="I227" s="16"/>
      <c r="J227" s="479"/>
      <c r="K227" s="16"/>
      <c r="L227" s="16"/>
      <c r="M227" s="16"/>
      <c r="N227" s="16"/>
      <c r="O227" s="16"/>
      <c r="P227" s="41"/>
      <c r="Q227" s="453"/>
      <c r="R227" s="16"/>
      <c r="S227" s="60"/>
      <c r="T227" s="16"/>
      <c r="U227" s="41"/>
      <c r="V227" s="10"/>
      <c r="W227" s="34"/>
      <c r="X227" s="33"/>
      <c r="Y227" s="33"/>
      <c r="Z227" s="33"/>
      <c r="AA227" s="33"/>
      <c r="AB227" s="33"/>
      <c r="AC227" s="46"/>
      <c r="AD227" s="33"/>
      <c r="AE227" s="33"/>
      <c r="AF227" s="50"/>
      <c r="AG227" s="33"/>
      <c r="AH227" s="33"/>
      <c r="AI227" s="231"/>
      <c r="AJ227" s="50"/>
      <c r="AK227" s="10"/>
      <c r="AL227" s="23"/>
      <c r="AM227" s="24"/>
      <c r="AN227" s="24"/>
      <c r="AO227" s="24"/>
      <c r="AP227" s="24"/>
      <c r="AQ227" s="24"/>
      <c r="AR227" s="504"/>
      <c r="AS227" s="25"/>
      <c r="AT227" s="25"/>
      <c r="AU227" s="24"/>
      <c r="AV227" s="341"/>
      <c r="AW227" s="341"/>
      <c r="AX227" s="24"/>
      <c r="AY227" s="351"/>
      <c r="AZ227" s="10"/>
      <c r="BA227" s="66"/>
      <c r="BB227" s="67"/>
      <c r="BC227" s="67"/>
      <c r="BD227" s="67"/>
      <c r="BE227" s="67"/>
      <c r="BF227" s="67"/>
      <c r="BG227" s="156"/>
      <c r="BH227" s="67"/>
      <c r="BI227" s="183"/>
      <c r="BJ227" s="67"/>
      <c r="BK227" s="67"/>
      <c r="BL227" s="67"/>
      <c r="BM227" s="156"/>
      <c r="BN227" s="66"/>
      <c r="BO227" s="67"/>
      <c r="BP227" s="67"/>
      <c r="BQ227" s="67"/>
      <c r="BR227" s="478"/>
      <c r="BS227" s="67"/>
      <c r="BT227" s="86"/>
      <c r="BU227" s="183"/>
      <c r="BV227" s="1"/>
      <c r="BW227" s="61">
        <f t="shared" si="242"/>
        <v>218</v>
      </c>
    </row>
    <row r="228" spans="2:85" x14ac:dyDescent="0.3">
      <c r="B228" s="171">
        <f t="shared" si="159"/>
        <v>44128</v>
      </c>
      <c r="C228" s="61"/>
      <c r="D228" s="17"/>
      <c r="E228" s="16"/>
      <c r="F228" s="16"/>
      <c r="G228" s="16"/>
      <c r="H228" s="16"/>
      <c r="I228" s="16"/>
      <c r="J228" s="479"/>
      <c r="K228" s="16"/>
      <c r="L228" s="16"/>
      <c r="M228" s="16"/>
      <c r="N228" s="16"/>
      <c r="O228" s="16"/>
      <c r="P228" s="41"/>
      <c r="Q228" s="453"/>
      <c r="R228" s="16"/>
      <c r="S228" s="60"/>
      <c r="T228" s="16"/>
      <c r="U228" s="41"/>
      <c r="V228" s="10"/>
      <c r="W228" s="34"/>
      <c r="X228" s="33"/>
      <c r="Y228" s="33"/>
      <c r="Z228" s="33"/>
      <c r="AA228" s="33"/>
      <c r="AB228" s="33"/>
      <c r="AC228" s="46"/>
      <c r="AD228" s="33"/>
      <c r="AE228" s="33"/>
      <c r="AF228" s="50"/>
      <c r="AG228" s="33"/>
      <c r="AH228" s="33"/>
      <c r="AI228" s="231"/>
      <c r="AJ228" s="50"/>
      <c r="AK228" s="10"/>
      <c r="AL228" s="23"/>
      <c r="AM228" s="24"/>
      <c r="AN228" s="24"/>
      <c r="AO228" s="24"/>
      <c r="AP228" s="24"/>
      <c r="AQ228" s="24"/>
      <c r="AR228" s="504"/>
      <c r="AS228" s="25"/>
      <c r="AT228" s="25"/>
      <c r="AU228" s="24"/>
      <c r="AV228" s="341"/>
      <c r="AW228" s="341"/>
      <c r="AX228" s="24"/>
      <c r="AY228" s="351"/>
      <c r="AZ228" s="10"/>
      <c r="BA228" s="66"/>
      <c r="BB228" s="67"/>
      <c r="BC228" s="67"/>
      <c r="BD228" s="67"/>
      <c r="BE228" s="67"/>
      <c r="BF228" s="67"/>
      <c r="BG228" s="156"/>
      <c r="BH228" s="67"/>
      <c r="BI228" s="183"/>
      <c r="BJ228" s="67"/>
      <c r="BK228" s="67"/>
      <c r="BL228" s="67"/>
      <c r="BM228" s="156"/>
      <c r="BN228" s="66"/>
      <c r="BO228" s="67"/>
      <c r="BP228" s="67"/>
      <c r="BQ228" s="67"/>
      <c r="BR228" s="478"/>
      <c r="BS228" s="67"/>
      <c r="BT228" s="86"/>
      <c r="BU228" s="183"/>
      <c r="BV228" s="1"/>
      <c r="BW228" s="61">
        <f t="shared" si="242"/>
        <v>219</v>
      </c>
    </row>
    <row r="229" spans="2:85" x14ac:dyDescent="0.3">
      <c r="B229" s="171">
        <f t="shared" si="159"/>
        <v>44129</v>
      </c>
      <c r="C229" s="61"/>
      <c r="D229" s="17"/>
      <c r="E229" s="16"/>
      <c r="F229" s="16"/>
      <c r="G229" s="16"/>
      <c r="H229" s="16"/>
      <c r="I229" s="16"/>
      <c r="J229" s="479"/>
      <c r="K229" s="16"/>
      <c r="L229" s="16"/>
      <c r="M229" s="16"/>
      <c r="N229" s="16"/>
      <c r="O229" s="16"/>
      <c r="P229" s="41"/>
      <c r="Q229" s="453"/>
      <c r="R229" s="16"/>
      <c r="S229" s="60"/>
      <c r="T229" s="16"/>
      <c r="U229" s="41"/>
      <c r="V229" s="10"/>
      <c r="W229" s="34"/>
      <c r="X229" s="33"/>
      <c r="Y229" s="33"/>
      <c r="Z229" s="33"/>
      <c r="AA229" s="33"/>
      <c r="AB229" s="33"/>
      <c r="AC229" s="46"/>
      <c r="AD229" s="33"/>
      <c r="AE229" s="33"/>
      <c r="AF229" s="50"/>
      <c r="AG229" s="33"/>
      <c r="AH229" s="33"/>
      <c r="AI229" s="231"/>
      <c r="AJ229" s="50"/>
      <c r="AK229" s="10"/>
      <c r="AL229" s="23"/>
      <c r="AM229" s="24"/>
      <c r="AN229" s="24"/>
      <c r="AO229" s="24"/>
      <c r="AP229" s="24"/>
      <c r="AQ229" s="24"/>
      <c r="AR229" s="504"/>
      <c r="AS229" s="25"/>
      <c r="AT229" s="25"/>
      <c r="AU229" s="24"/>
      <c r="AV229" s="341"/>
      <c r="AW229" s="341"/>
      <c r="AX229" s="24"/>
      <c r="AY229" s="351"/>
      <c r="AZ229" s="10"/>
      <c r="BA229" s="66"/>
      <c r="BB229" s="67"/>
      <c r="BC229" s="67"/>
      <c r="BD229" s="67"/>
      <c r="BE229" s="67"/>
      <c r="BF229" s="67"/>
      <c r="BG229" s="156"/>
      <c r="BH229" s="67"/>
      <c r="BI229" s="183"/>
      <c r="BJ229" s="67"/>
      <c r="BK229" s="67"/>
      <c r="BL229" s="67"/>
      <c r="BM229" s="156"/>
      <c r="BN229" s="66"/>
      <c r="BO229" s="67"/>
      <c r="BP229" s="67"/>
      <c r="BQ229" s="67"/>
      <c r="BR229" s="478"/>
      <c r="BS229" s="67"/>
      <c r="BT229" s="86"/>
      <c r="BU229" s="183"/>
      <c r="BV229" s="1"/>
      <c r="BW229" s="61">
        <f t="shared" si="242"/>
        <v>220</v>
      </c>
    </row>
    <row r="230" spans="2:85" x14ac:dyDescent="0.3">
      <c r="B230" s="171">
        <f t="shared" si="159"/>
        <v>44130</v>
      </c>
      <c r="C230" s="61"/>
      <c r="D230" s="17"/>
      <c r="E230" s="16"/>
      <c r="F230" s="16"/>
      <c r="G230" s="16"/>
      <c r="H230" s="16"/>
      <c r="I230" s="16"/>
      <c r="J230" s="479"/>
      <c r="K230" s="16"/>
      <c r="L230" s="16"/>
      <c r="M230" s="16"/>
      <c r="N230" s="16"/>
      <c r="O230" s="16"/>
      <c r="P230" s="41"/>
      <c r="Q230" s="453"/>
      <c r="R230" s="16"/>
      <c r="S230" s="60"/>
      <c r="T230" s="16"/>
      <c r="U230" s="41"/>
      <c r="V230" s="10"/>
      <c r="W230" s="34"/>
      <c r="X230" s="33"/>
      <c r="Y230" s="33"/>
      <c r="Z230" s="33"/>
      <c r="AA230" s="33"/>
      <c r="AB230" s="33"/>
      <c r="AC230" s="46"/>
      <c r="AD230" s="33"/>
      <c r="AE230" s="33"/>
      <c r="AF230" s="50"/>
      <c r="AG230" s="33"/>
      <c r="AH230" s="33"/>
      <c r="AI230" s="231"/>
      <c r="AJ230" s="50"/>
      <c r="AK230" s="10"/>
      <c r="AL230" s="23"/>
      <c r="AM230" s="24"/>
      <c r="AN230" s="24"/>
      <c r="AO230" s="24"/>
      <c r="AP230" s="24"/>
      <c r="AQ230" s="24"/>
      <c r="AR230" s="504"/>
      <c r="AS230" s="25"/>
      <c r="AT230" s="25"/>
      <c r="AU230" s="24"/>
      <c r="AV230" s="341"/>
      <c r="AW230" s="341"/>
      <c r="AX230" s="24"/>
      <c r="AY230" s="351"/>
      <c r="AZ230" s="10"/>
      <c r="BA230" s="66"/>
      <c r="BB230" s="67"/>
      <c r="BC230" s="67"/>
      <c r="BD230" s="67"/>
      <c r="BE230" s="67"/>
      <c r="BF230" s="67"/>
      <c r="BG230" s="156"/>
      <c r="BH230" s="67"/>
      <c r="BI230" s="183"/>
      <c r="BJ230" s="67"/>
      <c r="BK230" s="67"/>
      <c r="BL230" s="67"/>
      <c r="BM230" s="156"/>
      <c r="BN230" s="66"/>
      <c r="BO230" s="67"/>
      <c r="BP230" s="67"/>
      <c r="BQ230" s="67"/>
      <c r="BR230" s="478"/>
      <c r="BS230" s="67"/>
      <c r="BT230" s="86"/>
      <c r="BU230" s="183"/>
      <c r="BV230" s="1"/>
      <c r="BW230" s="61">
        <f t="shared" si="242"/>
        <v>221</v>
      </c>
    </row>
    <row r="231" spans="2:85" x14ac:dyDescent="0.3">
      <c r="B231" s="171">
        <f t="shared" si="159"/>
        <v>44131</v>
      </c>
      <c r="C231" s="61"/>
      <c r="D231" s="17"/>
      <c r="E231" s="16"/>
      <c r="F231" s="16"/>
      <c r="G231" s="16"/>
      <c r="H231" s="16"/>
      <c r="I231" s="16"/>
      <c r="J231" s="479"/>
      <c r="K231" s="16"/>
      <c r="L231" s="16"/>
      <c r="M231" s="16"/>
      <c r="N231" s="16"/>
      <c r="O231" s="16"/>
      <c r="P231" s="41"/>
      <c r="Q231" s="453"/>
      <c r="R231" s="16"/>
      <c r="S231" s="60"/>
      <c r="T231" s="16"/>
      <c r="U231" s="41"/>
      <c r="V231" s="10"/>
      <c r="W231" s="34"/>
      <c r="X231" s="33"/>
      <c r="Y231" s="33"/>
      <c r="Z231" s="33"/>
      <c r="AA231" s="33"/>
      <c r="AB231" s="33"/>
      <c r="AC231" s="46"/>
      <c r="AD231" s="33"/>
      <c r="AE231" s="33"/>
      <c r="AF231" s="50"/>
      <c r="AG231" s="33"/>
      <c r="AH231" s="33"/>
      <c r="AI231" s="231"/>
      <c r="AJ231" s="50"/>
      <c r="AK231" s="10"/>
      <c r="AL231" s="23"/>
      <c r="AM231" s="24"/>
      <c r="AN231" s="24"/>
      <c r="AO231" s="24"/>
      <c r="AP231" s="24"/>
      <c r="AQ231" s="24"/>
      <c r="AR231" s="504"/>
      <c r="AS231" s="25"/>
      <c r="AT231" s="25"/>
      <c r="AU231" s="24"/>
      <c r="AV231" s="341"/>
      <c r="AW231" s="341"/>
      <c r="AX231" s="24"/>
      <c r="AY231" s="351"/>
      <c r="AZ231" s="10"/>
      <c r="BA231" s="66"/>
      <c r="BB231" s="67"/>
      <c r="BC231" s="67"/>
      <c r="BD231" s="67"/>
      <c r="BE231" s="67"/>
      <c r="BF231" s="67"/>
      <c r="BG231" s="156"/>
      <c r="BH231" s="67"/>
      <c r="BI231" s="183"/>
      <c r="BJ231" s="67"/>
      <c r="BK231" s="67"/>
      <c r="BL231" s="67"/>
      <c r="BM231" s="156"/>
      <c r="BN231" s="66"/>
      <c r="BO231" s="67"/>
      <c r="BP231" s="67"/>
      <c r="BQ231" s="67"/>
      <c r="BR231" s="478"/>
      <c r="BS231" s="67"/>
      <c r="BT231" s="86"/>
      <c r="BU231" s="183"/>
      <c r="BV231" s="1"/>
      <c r="BW231" s="61">
        <f t="shared" si="242"/>
        <v>222</v>
      </c>
    </row>
    <row r="232" spans="2:85" x14ac:dyDescent="0.3">
      <c r="B232" s="171">
        <f t="shared" si="159"/>
        <v>44132</v>
      </c>
      <c r="C232" s="61"/>
      <c r="D232" s="17"/>
      <c r="E232" s="16"/>
      <c r="F232" s="16"/>
      <c r="G232" s="16"/>
      <c r="H232" s="16"/>
      <c r="I232" s="16"/>
      <c r="J232" s="479"/>
      <c r="K232" s="16"/>
      <c r="L232" s="16"/>
      <c r="M232" s="16"/>
      <c r="N232" s="16"/>
      <c r="O232" s="16"/>
      <c r="P232" s="41"/>
      <c r="Q232" s="453"/>
      <c r="R232" s="16"/>
      <c r="S232" s="60"/>
      <c r="T232" s="16"/>
      <c r="U232" s="41"/>
      <c r="V232" s="10"/>
      <c r="W232" s="34"/>
      <c r="X232" s="33"/>
      <c r="Y232" s="33"/>
      <c r="Z232" s="33"/>
      <c r="AA232" s="33"/>
      <c r="AB232" s="33"/>
      <c r="AC232" s="46"/>
      <c r="AD232" s="33"/>
      <c r="AE232" s="33"/>
      <c r="AF232" s="50"/>
      <c r="AG232" s="33"/>
      <c r="AH232" s="33"/>
      <c r="AI232" s="231"/>
      <c r="AJ232" s="50"/>
      <c r="AK232" s="10"/>
      <c r="AL232" s="23"/>
      <c r="AM232" s="24"/>
      <c r="AN232" s="24"/>
      <c r="AO232" s="24"/>
      <c r="AP232" s="24"/>
      <c r="AQ232" s="24"/>
      <c r="AR232" s="504"/>
      <c r="AS232" s="25"/>
      <c r="AT232" s="25"/>
      <c r="AU232" s="24"/>
      <c r="AV232" s="341"/>
      <c r="AW232" s="341"/>
      <c r="AX232" s="24"/>
      <c r="AY232" s="351"/>
      <c r="AZ232" s="10"/>
      <c r="BA232" s="66"/>
      <c r="BB232" s="67"/>
      <c r="BC232" s="67"/>
      <c r="BD232" s="67"/>
      <c r="BE232" s="67"/>
      <c r="BF232" s="67"/>
      <c r="BG232" s="156"/>
      <c r="BH232" s="67"/>
      <c r="BI232" s="183"/>
      <c r="BJ232" s="67"/>
      <c r="BK232" s="67"/>
      <c r="BL232" s="67"/>
      <c r="BM232" s="156"/>
      <c r="BN232" s="66"/>
      <c r="BO232" s="67"/>
      <c r="BP232" s="67"/>
      <c r="BQ232" s="67"/>
      <c r="BR232" s="478"/>
      <c r="BS232" s="67"/>
      <c r="BT232" s="86"/>
      <c r="BU232" s="183"/>
      <c r="BV232" s="1"/>
      <c r="BW232" s="61">
        <f t="shared" si="242"/>
        <v>223</v>
      </c>
    </row>
    <row r="233" spans="2:85" x14ac:dyDescent="0.3">
      <c r="B233" s="171">
        <f t="shared" si="159"/>
        <v>44133</v>
      </c>
      <c r="C233" s="61"/>
      <c r="D233" s="17"/>
      <c r="E233" s="16"/>
      <c r="F233" s="16"/>
      <c r="G233" s="16"/>
      <c r="H233" s="16"/>
      <c r="I233" s="16"/>
      <c r="J233" s="479"/>
      <c r="K233" s="16"/>
      <c r="L233" s="16"/>
      <c r="M233" s="16"/>
      <c r="N233" s="16"/>
      <c r="O233" s="16"/>
      <c r="P233" s="41"/>
      <c r="Q233" s="453"/>
      <c r="R233" s="16"/>
      <c r="S233" s="60"/>
      <c r="T233" s="16"/>
      <c r="U233" s="41"/>
      <c r="V233" s="10"/>
      <c r="W233" s="34"/>
      <c r="X233" s="33"/>
      <c r="Y233" s="33"/>
      <c r="Z233" s="33"/>
      <c r="AA233" s="33"/>
      <c r="AB233" s="33"/>
      <c r="AC233" s="46"/>
      <c r="AD233" s="33"/>
      <c r="AE233" s="33"/>
      <c r="AF233" s="50"/>
      <c r="AG233" s="33"/>
      <c r="AH233" s="33"/>
      <c r="AI233" s="231"/>
      <c r="AJ233" s="50"/>
      <c r="AK233" s="10"/>
      <c r="AL233" s="23"/>
      <c r="AM233" s="24"/>
      <c r="AN233" s="24"/>
      <c r="AO233" s="24"/>
      <c r="AP233" s="24"/>
      <c r="AQ233" s="24"/>
      <c r="AR233" s="504"/>
      <c r="AS233" s="25"/>
      <c r="AT233" s="25"/>
      <c r="AU233" s="24"/>
      <c r="AV233" s="341"/>
      <c r="AW233" s="341"/>
      <c r="AX233" s="24"/>
      <c r="AY233" s="351"/>
      <c r="AZ233" s="10"/>
      <c r="BA233" s="66"/>
      <c r="BB233" s="67"/>
      <c r="BC233" s="67"/>
      <c r="BD233" s="67"/>
      <c r="BE233" s="67"/>
      <c r="BF233" s="67"/>
      <c r="BG233" s="156"/>
      <c r="BH233" s="67"/>
      <c r="BI233" s="183"/>
      <c r="BJ233" s="67"/>
      <c r="BK233" s="67"/>
      <c r="BL233" s="67"/>
      <c r="BM233" s="156"/>
      <c r="BN233" s="66"/>
      <c r="BO233" s="67"/>
      <c r="BP233" s="67"/>
      <c r="BQ233" s="67"/>
      <c r="BR233" s="478"/>
      <c r="BS233" s="67"/>
      <c r="BT233" s="86"/>
      <c r="BU233" s="183"/>
      <c r="BV233" s="1"/>
      <c r="BW233" s="61">
        <f t="shared" si="242"/>
        <v>224</v>
      </c>
    </row>
    <row r="234" spans="2:85" x14ac:dyDescent="0.3">
      <c r="B234" s="171">
        <f t="shared" si="159"/>
        <v>44134</v>
      </c>
      <c r="C234" s="61"/>
      <c r="D234" s="17"/>
      <c r="E234" s="16"/>
      <c r="F234" s="16"/>
      <c r="G234" s="16"/>
      <c r="H234" s="16"/>
      <c r="I234" s="16"/>
      <c r="J234" s="479"/>
      <c r="K234" s="16"/>
      <c r="L234" s="16"/>
      <c r="M234" s="16"/>
      <c r="N234" s="16"/>
      <c r="O234" s="16"/>
      <c r="P234" s="41"/>
      <c r="Q234" s="453"/>
      <c r="R234" s="16"/>
      <c r="S234" s="60"/>
      <c r="T234" s="16"/>
      <c r="U234" s="41"/>
      <c r="V234" s="10"/>
      <c r="W234" s="34"/>
      <c r="X234" s="33"/>
      <c r="Y234" s="33"/>
      <c r="Z234" s="33"/>
      <c r="AA234" s="33"/>
      <c r="AB234" s="33"/>
      <c r="AC234" s="46"/>
      <c r="AD234" s="33"/>
      <c r="AE234" s="33"/>
      <c r="AF234" s="50"/>
      <c r="AG234" s="33"/>
      <c r="AH234" s="33"/>
      <c r="AI234" s="231"/>
      <c r="AJ234" s="50"/>
      <c r="AK234" s="10"/>
      <c r="AL234" s="23"/>
      <c r="AM234" s="24"/>
      <c r="AN234" s="24"/>
      <c r="AO234" s="24"/>
      <c r="AP234" s="24"/>
      <c r="AQ234" s="24"/>
      <c r="AR234" s="504"/>
      <c r="AS234" s="25"/>
      <c r="AT234" s="25"/>
      <c r="AU234" s="24"/>
      <c r="AV234" s="341"/>
      <c r="AW234" s="341"/>
      <c r="AX234" s="24"/>
      <c r="AY234" s="351"/>
      <c r="AZ234" s="10"/>
      <c r="BA234" s="66"/>
      <c r="BB234" s="67"/>
      <c r="BC234" s="67"/>
      <c r="BD234" s="67"/>
      <c r="BE234" s="67"/>
      <c r="BF234" s="67"/>
      <c r="BG234" s="156"/>
      <c r="BH234" s="67"/>
      <c r="BI234" s="183"/>
      <c r="BJ234" s="67"/>
      <c r="BK234" s="67"/>
      <c r="BL234" s="67"/>
      <c r="BM234" s="156"/>
      <c r="BN234" s="66"/>
      <c r="BO234" s="67"/>
      <c r="BP234" s="67"/>
      <c r="BQ234" s="67"/>
      <c r="BR234" s="478"/>
      <c r="BS234" s="67"/>
      <c r="BT234" s="86"/>
      <c r="BU234" s="183"/>
      <c r="BV234" s="1"/>
      <c r="BW234" s="61">
        <f t="shared" si="242"/>
        <v>225</v>
      </c>
    </row>
    <row r="235" spans="2:85" x14ac:dyDescent="0.3">
      <c r="B235" s="171">
        <f t="shared" si="159"/>
        <v>44135</v>
      </c>
      <c r="C235" s="61"/>
      <c r="D235" s="17"/>
      <c r="E235" s="16"/>
      <c r="F235" s="16"/>
      <c r="G235" s="16"/>
      <c r="H235" s="16"/>
      <c r="I235" s="16"/>
      <c r="J235" s="479"/>
      <c r="K235" s="16"/>
      <c r="L235" s="16"/>
      <c r="M235" s="16"/>
      <c r="N235" s="16"/>
      <c r="O235" s="16"/>
      <c r="P235" s="41"/>
      <c r="Q235" s="453"/>
      <c r="R235" s="16"/>
      <c r="S235" s="60"/>
      <c r="T235" s="16"/>
      <c r="U235" s="41"/>
      <c r="V235" s="10"/>
      <c r="W235" s="34"/>
      <c r="X235" s="33"/>
      <c r="Y235" s="33"/>
      <c r="Z235" s="33"/>
      <c r="AA235" s="33"/>
      <c r="AB235" s="33"/>
      <c r="AC235" s="46"/>
      <c r="AD235" s="33"/>
      <c r="AE235" s="33"/>
      <c r="AF235" s="50"/>
      <c r="AG235" s="33"/>
      <c r="AH235" s="33"/>
      <c r="AI235" s="231"/>
      <c r="AJ235" s="50"/>
      <c r="AK235" s="10"/>
      <c r="AL235" s="23"/>
      <c r="AM235" s="24"/>
      <c r="AN235" s="24"/>
      <c r="AO235" s="24"/>
      <c r="AP235" s="24"/>
      <c r="AQ235" s="24"/>
      <c r="AR235" s="504"/>
      <c r="AS235" s="25"/>
      <c r="AT235" s="25"/>
      <c r="AU235" s="24"/>
      <c r="AV235" s="341"/>
      <c r="AW235" s="341"/>
      <c r="AX235" s="24"/>
      <c r="AY235" s="351"/>
      <c r="AZ235" s="10"/>
      <c r="BA235" s="66"/>
      <c r="BB235" s="67"/>
      <c r="BC235" s="67"/>
      <c r="BD235" s="67"/>
      <c r="BE235" s="67"/>
      <c r="BF235" s="67"/>
      <c r="BG235" s="156"/>
      <c r="BH235" s="67"/>
      <c r="BI235" s="183"/>
      <c r="BJ235" s="67"/>
      <c r="BK235" s="67"/>
      <c r="BL235" s="67"/>
      <c r="BM235" s="156"/>
      <c r="BN235" s="66"/>
      <c r="BO235" s="67"/>
      <c r="BP235" s="67"/>
      <c r="BQ235" s="67"/>
      <c r="BR235" s="478"/>
      <c r="BS235" s="67"/>
      <c r="BT235" s="86"/>
      <c r="BU235" s="183"/>
      <c r="BV235" s="1"/>
      <c r="BW235" s="61">
        <f t="shared" si="242"/>
        <v>226</v>
      </c>
    </row>
    <row r="236" spans="2:85" x14ac:dyDescent="0.3">
      <c r="B236" s="171">
        <f t="shared" si="159"/>
        <v>44136</v>
      </c>
      <c r="D236" s="18"/>
      <c r="E236" s="19"/>
      <c r="F236" s="19"/>
      <c r="G236" s="19"/>
      <c r="H236" s="19"/>
      <c r="I236" s="19"/>
      <c r="J236" s="39"/>
      <c r="K236" s="19"/>
      <c r="L236" s="19"/>
      <c r="M236" s="19"/>
      <c r="N236" s="19"/>
      <c r="O236" s="19"/>
      <c r="P236" s="43"/>
      <c r="Q236" s="18"/>
      <c r="R236" s="19"/>
      <c r="S236" s="19"/>
      <c r="T236" s="19"/>
      <c r="U236" s="43"/>
      <c r="V236" s="1"/>
      <c r="W236" s="35"/>
      <c r="X236" s="36"/>
      <c r="Y236" s="36"/>
      <c r="Z236" s="36"/>
      <c r="AA236" s="36"/>
      <c r="AB236" s="36"/>
      <c r="AC236" s="47"/>
      <c r="AD236" s="36"/>
      <c r="AE236" s="36"/>
      <c r="AF236" s="51"/>
      <c r="AG236" s="36"/>
      <c r="AH236" s="36"/>
      <c r="AI236" s="36"/>
      <c r="AJ236" s="51"/>
      <c r="AK236" s="1"/>
      <c r="AL236" s="26"/>
      <c r="AM236" s="27"/>
      <c r="AN236" s="27"/>
      <c r="AO236" s="27"/>
      <c r="AP236" s="27"/>
      <c r="AQ236" s="27"/>
      <c r="AR236" s="27"/>
      <c r="AS236" s="27"/>
      <c r="AT236" s="27"/>
      <c r="AU236" s="27"/>
      <c r="AV236" s="343"/>
      <c r="AW236" s="343"/>
      <c r="AX236" s="27"/>
      <c r="AY236" s="350"/>
      <c r="AZ236" s="1"/>
      <c r="BA236" s="68"/>
      <c r="BB236" s="69"/>
      <c r="BC236" s="69"/>
      <c r="BD236" s="69"/>
      <c r="BE236" s="69"/>
      <c r="BF236" s="69"/>
      <c r="BG236" s="69"/>
      <c r="BH236" s="69"/>
      <c r="BI236" s="184"/>
      <c r="BJ236" s="69"/>
      <c r="BK236" s="69"/>
      <c r="BL236" s="69"/>
      <c r="BM236" s="69"/>
      <c r="BN236" s="68"/>
      <c r="BO236" s="69"/>
      <c r="BP236" s="69"/>
      <c r="BQ236" s="69"/>
      <c r="BR236" s="71"/>
      <c r="BS236" s="69"/>
      <c r="BT236" s="69"/>
      <c r="BU236" s="184"/>
      <c r="BV236" s="1"/>
      <c r="BW236" s="61">
        <f t="shared" si="242"/>
        <v>227</v>
      </c>
    </row>
    <row r="237" spans="2:85" x14ac:dyDescent="0.3">
      <c r="B237" s="56"/>
      <c r="D237" s="1"/>
      <c r="E237" s="1"/>
      <c r="F237" s="1"/>
      <c r="G237" s="1"/>
      <c r="H237" s="59"/>
      <c r="I237" s="1"/>
      <c r="J237" s="5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59"/>
      <c r="X237" s="1"/>
      <c r="Y237" s="1"/>
      <c r="Z237" s="1"/>
      <c r="AA237" s="1"/>
      <c r="AB237" s="1"/>
      <c r="AC237" s="59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59"/>
      <c r="BD237" s="1"/>
      <c r="BE237" s="59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</row>
    <row r="238" spans="2:85" x14ac:dyDescent="0.3">
      <c r="B238" s="179" t="s">
        <v>82</v>
      </c>
      <c r="D238" s="56">
        <f>+D222</f>
        <v>44941</v>
      </c>
      <c r="E238" s="56">
        <f>+E193</f>
        <v>0</v>
      </c>
      <c r="F238" s="56">
        <f>+F193</f>
        <v>0</v>
      </c>
      <c r="G238" s="56">
        <f>+G193</f>
        <v>0</v>
      </c>
      <c r="H238" s="56">
        <f t="shared" ref="H238:BR238" si="363">+H222</f>
        <v>8386005</v>
      </c>
      <c r="I238" s="56">
        <f t="shared" si="363"/>
        <v>0</v>
      </c>
      <c r="J238" s="56">
        <f t="shared" si="363"/>
        <v>5.3879217327669465E-3</v>
      </c>
      <c r="K238" s="56">
        <f t="shared" si="363"/>
        <v>0</v>
      </c>
      <c r="L238" s="56">
        <f t="shared" si="363"/>
        <v>0</v>
      </c>
      <c r="M238" s="56">
        <f t="shared" si="363"/>
        <v>0</v>
      </c>
      <c r="N238" s="56">
        <f t="shared" si="363"/>
        <v>394007</v>
      </c>
      <c r="O238" s="56">
        <f t="shared" si="363"/>
        <v>39370.915492957749</v>
      </c>
      <c r="P238" s="56">
        <f t="shared" si="363"/>
        <v>0</v>
      </c>
      <c r="Q238" s="56">
        <f t="shared" si="363"/>
        <v>0</v>
      </c>
      <c r="R238" s="56">
        <f t="shared" si="363"/>
        <v>0</v>
      </c>
      <c r="S238" s="56">
        <f t="shared" si="363"/>
        <v>0</v>
      </c>
      <c r="T238" s="56">
        <f t="shared" si="363"/>
        <v>0</v>
      </c>
      <c r="U238" s="56">
        <f t="shared" si="363"/>
        <v>0</v>
      </c>
      <c r="V238" s="56">
        <f t="shared" si="363"/>
        <v>114</v>
      </c>
      <c r="W238" s="56">
        <f t="shared" si="363"/>
        <v>448</v>
      </c>
      <c r="X238" s="56">
        <f t="shared" si="363"/>
        <v>0</v>
      </c>
      <c r="Y238" s="56">
        <f t="shared" si="363"/>
        <v>0</v>
      </c>
      <c r="Z238" s="56">
        <f t="shared" si="363"/>
        <v>0</v>
      </c>
      <c r="AA238" s="56">
        <f t="shared" si="363"/>
        <v>224712</v>
      </c>
      <c r="AB238" s="56">
        <f t="shared" si="363"/>
        <v>0</v>
      </c>
      <c r="AC238" s="56">
        <f t="shared" si="363"/>
        <v>2.6796072742622978E-2</v>
      </c>
      <c r="AD238" s="56">
        <f t="shared" si="363"/>
        <v>0</v>
      </c>
      <c r="AE238" s="56">
        <f t="shared" si="363"/>
        <v>1054.9859154929577</v>
      </c>
      <c r="AF238" s="56">
        <f t="shared" si="363"/>
        <v>0</v>
      </c>
      <c r="AG238" s="56">
        <f t="shared" si="363"/>
        <v>5017</v>
      </c>
      <c r="AH238" s="56">
        <f t="shared" si="363"/>
        <v>458606299.35152841</v>
      </c>
      <c r="AI238" s="56">
        <f t="shared" si="363"/>
        <v>3.3999999999999998E-3</v>
      </c>
      <c r="AJ238" s="56">
        <f t="shared" si="363"/>
        <v>0</v>
      </c>
      <c r="AK238" s="56">
        <f t="shared" si="363"/>
        <v>0</v>
      </c>
      <c r="AL238" s="56">
        <f t="shared" si="363"/>
        <v>25492</v>
      </c>
      <c r="AM238" s="56">
        <f t="shared" si="363"/>
        <v>0</v>
      </c>
      <c r="AN238" s="56">
        <f t="shared" si="363"/>
        <v>0</v>
      </c>
      <c r="AO238" s="56">
        <f t="shared" si="363"/>
        <v>178263</v>
      </c>
      <c r="AP238" s="56">
        <f t="shared" si="363"/>
        <v>5457684</v>
      </c>
      <c r="AQ238" s="56">
        <f t="shared" si="363"/>
        <v>0</v>
      </c>
      <c r="AR238" s="56">
        <f t="shared" si="363"/>
        <v>4.6927649096350057E-3</v>
      </c>
      <c r="AS238" s="56">
        <f t="shared" si="363"/>
        <v>0</v>
      </c>
      <c r="AT238" s="56">
        <f t="shared" si="363"/>
        <v>0</v>
      </c>
      <c r="AU238" s="56">
        <f t="shared" si="363"/>
        <v>0</v>
      </c>
      <c r="AV238" s="56">
        <f t="shared" si="363"/>
        <v>0.65080857929371616</v>
      </c>
      <c r="AW238" s="56">
        <f t="shared" si="363"/>
        <v>0</v>
      </c>
      <c r="AX238" s="56">
        <f t="shared" si="363"/>
        <v>25622.929577464787</v>
      </c>
      <c r="AY238" s="56">
        <f t="shared" si="363"/>
        <v>0</v>
      </c>
      <c r="AZ238" s="56">
        <f t="shared" si="363"/>
        <v>0</v>
      </c>
      <c r="BA238" s="56">
        <f t="shared" si="363"/>
        <v>891213</v>
      </c>
      <c r="BB238" s="56">
        <f t="shared" si="363"/>
        <v>0</v>
      </c>
      <c r="BC238" s="56">
        <f t="shared" si="363"/>
        <v>125683881</v>
      </c>
      <c r="BD238" s="56">
        <f t="shared" si="363"/>
        <v>0</v>
      </c>
      <c r="BE238" s="56">
        <f t="shared" si="363"/>
        <v>44941</v>
      </c>
      <c r="BF238" s="56">
        <f t="shared" si="363"/>
        <v>0</v>
      </c>
      <c r="BG238" s="56">
        <f t="shared" si="363"/>
        <v>5.0426777885870154E-2</v>
      </c>
      <c r="BH238" s="56">
        <f t="shared" si="363"/>
        <v>0</v>
      </c>
      <c r="BI238" s="56">
        <f t="shared" si="363"/>
        <v>0</v>
      </c>
      <c r="BJ238" s="56">
        <f t="shared" si="363"/>
        <v>0</v>
      </c>
      <c r="BK238" s="56">
        <f t="shared" si="363"/>
        <v>7196983</v>
      </c>
      <c r="BL238" s="56">
        <f t="shared" si="363"/>
        <v>0</v>
      </c>
      <c r="BM238" s="56">
        <f t="shared" si="363"/>
        <v>0</v>
      </c>
      <c r="BN238" s="56">
        <f t="shared" si="363"/>
        <v>590065.1690140845</v>
      </c>
      <c r="BO238" s="56">
        <f t="shared" si="363"/>
        <v>0</v>
      </c>
      <c r="BP238" s="56">
        <f t="shared" si="363"/>
        <v>8043358</v>
      </c>
      <c r="BQ238" s="56">
        <f t="shared" si="363"/>
        <v>0</v>
      </c>
      <c r="BR238" s="56">
        <f t="shared" si="363"/>
        <v>6.39967347921091E-2</v>
      </c>
      <c r="BS238" s="56">
        <f t="shared" ref="BS238" si="364">+BS215</f>
        <v>0</v>
      </c>
      <c r="BT238" s="10"/>
      <c r="BU238" s="10"/>
      <c r="BV238" s="10"/>
      <c r="BW238" s="160"/>
      <c r="BX238" s="10"/>
      <c r="BY238" s="62"/>
      <c r="BZ238" s="10"/>
      <c r="CA238" s="160"/>
      <c r="CB238" s="61"/>
      <c r="CC238" s="61"/>
      <c r="CD238" s="61"/>
      <c r="CE238" s="61"/>
      <c r="CF238" s="61"/>
      <c r="CG238" s="157"/>
    </row>
    <row r="239" spans="2:85" x14ac:dyDescent="0.3">
      <c r="B239" t="s">
        <v>118</v>
      </c>
      <c r="D239" s="56">
        <f>+D221-D238</f>
        <v>9291</v>
      </c>
      <c r="E239" s="56">
        <f>+E192-E238</f>
        <v>0</v>
      </c>
      <c r="F239" s="56">
        <f>+F192-F238</f>
        <v>0</v>
      </c>
      <c r="G239" s="56">
        <f>+G192-G238</f>
        <v>0</v>
      </c>
      <c r="H239" s="56">
        <f t="shared" ref="H239:BR239" si="365">+H221-H238</f>
        <v>-44941</v>
      </c>
      <c r="I239" s="56">
        <f t="shared" si="365"/>
        <v>0</v>
      </c>
      <c r="J239" s="56">
        <f t="shared" si="365"/>
        <v>1.1564368351393416E-3</v>
      </c>
      <c r="K239" s="56">
        <f t="shared" si="365"/>
        <v>0</v>
      </c>
      <c r="L239" s="56">
        <f t="shared" si="365"/>
        <v>0</v>
      </c>
      <c r="M239" s="56">
        <f t="shared" si="365"/>
        <v>0</v>
      </c>
      <c r="N239" s="56">
        <f t="shared" si="365"/>
        <v>-3006</v>
      </c>
      <c r="O239" s="56">
        <f t="shared" si="365"/>
        <v>-26.273983523788047</v>
      </c>
      <c r="P239" s="56">
        <f t="shared" si="365"/>
        <v>0</v>
      </c>
      <c r="Q239" s="56">
        <f t="shared" si="365"/>
        <v>0</v>
      </c>
      <c r="R239" s="56">
        <f t="shared" si="365"/>
        <v>0</v>
      </c>
      <c r="S239" s="56">
        <f t="shared" si="365"/>
        <v>0</v>
      </c>
      <c r="T239" s="56">
        <f t="shared" si="365"/>
        <v>0</v>
      </c>
      <c r="U239" s="56">
        <f t="shared" si="365"/>
        <v>0</v>
      </c>
      <c r="V239" s="56">
        <f t="shared" si="365"/>
        <v>-1</v>
      </c>
      <c r="W239" s="56">
        <f t="shared" si="365"/>
        <v>190</v>
      </c>
      <c r="X239" s="56">
        <f t="shared" si="365"/>
        <v>0</v>
      </c>
      <c r="Y239" s="56">
        <f t="shared" si="365"/>
        <v>0</v>
      </c>
      <c r="Z239" s="56">
        <f t="shared" si="365"/>
        <v>0</v>
      </c>
      <c r="AA239" s="56">
        <f t="shared" si="365"/>
        <v>-448</v>
      </c>
      <c r="AB239" s="56">
        <f t="shared" si="365"/>
        <v>0</v>
      </c>
      <c r="AC239" s="56">
        <f t="shared" si="365"/>
        <v>9.0664968537133156E-5</v>
      </c>
      <c r="AD239" s="56">
        <f t="shared" si="365"/>
        <v>0</v>
      </c>
      <c r="AE239" s="56">
        <f t="shared" si="365"/>
        <v>2.8631411108158318</v>
      </c>
      <c r="AF239" s="56">
        <f t="shared" si="365"/>
        <v>0</v>
      </c>
      <c r="AG239" s="56">
        <f t="shared" si="365"/>
        <v>-123</v>
      </c>
      <c r="AH239" s="56">
        <f t="shared" si="365"/>
        <v>51345</v>
      </c>
      <c r="AI239" s="56">
        <f t="shared" si="365"/>
        <v>-2.59684042340723E-2</v>
      </c>
      <c r="AJ239" s="56">
        <f t="shared" si="365"/>
        <v>0</v>
      </c>
      <c r="AK239" s="56">
        <f t="shared" si="365"/>
        <v>0</v>
      </c>
      <c r="AL239" s="56">
        <f t="shared" si="365"/>
        <v>11299</v>
      </c>
      <c r="AM239" s="56">
        <f t="shared" si="365"/>
        <v>0</v>
      </c>
      <c r="AN239" s="56">
        <f t="shared" si="365"/>
        <v>0</v>
      </c>
      <c r="AO239" s="56">
        <f t="shared" si="365"/>
        <v>0</v>
      </c>
      <c r="AP239" s="56">
        <f t="shared" si="365"/>
        <v>-25492</v>
      </c>
      <c r="AQ239" s="56">
        <f t="shared" si="365"/>
        <v>0</v>
      </c>
      <c r="AR239" s="56">
        <f t="shared" si="365"/>
        <v>2.126190715720737E-3</v>
      </c>
      <c r="AS239" s="56">
        <f t="shared" si="365"/>
        <v>0</v>
      </c>
      <c r="AT239" s="56">
        <f t="shared" si="365"/>
        <v>0</v>
      </c>
      <c r="AU239" s="56">
        <f t="shared" si="365"/>
        <v>0</v>
      </c>
      <c r="AV239" s="56">
        <f t="shared" si="365"/>
        <v>4.5030086833508509E-4</v>
      </c>
      <c r="AW239" s="56">
        <f t="shared" si="365"/>
        <v>0</v>
      </c>
      <c r="AX239" s="56">
        <f t="shared" si="365"/>
        <v>0.61759234653436579</v>
      </c>
      <c r="AY239" s="56">
        <f t="shared" si="365"/>
        <v>0</v>
      </c>
      <c r="AZ239" s="56">
        <f t="shared" si="365"/>
        <v>0</v>
      </c>
      <c r="BA239" s="56">
        <f t="shared" si="365"/>
        <v>165008</v>
      </c>
      <c r="BB239" s="56">
        <f t="shared" si="365"/>
        <v>0</v>
      </c>
      <c r="BC239" s="56">
        <f t="shared" si="365"/>
        <v>-891213</v>
      </c>
      <c r="BD239" s="56">
        <f t="shared" si="365"/>
        <v>0</v>
      </c>
      <c r="BE239" s="56">
        <f t="shared" si="365"/>
        <v>9291</v>
      </c>
      <c r="BF239" s="56">
        <f t="shared" si="365"/>
        <v>0</v>
      </c>
      <c r="BG239" s="56">
        <f t="shared" si="365"/>
        <v>9.1853715709907385E-4</v>
      </c>
      <c r="BH239" s="56">
        <f t="shared" si="365"/>
        <v>0</v>
      </c>
      <c r="BI239" s="56">
        <f t="shared" si="365"/>
        <v>0</v>
      </c>
      <c r="BJ239" s="56">
        <f t="shared" si="365"/>
        <v>0</v>
      </c>
      <c r="BK239" s="56">
        <f t="shared" si="365"/>
        <v>-5737</v>
      </c>
      <c r="BL239" s="56">
        <f t="shared" si="365"/>
        <v>0</v>
      </c>
      <c r="BM239" s="56">
        <f t="shared" si="365"/>
        <v>0</v>
      </c>
      <c r="BN239" s="56">
        <f t="shared" si="365"/>
        <v>-1420.5086367260665</v>
      </c>
      <c r="BO239" s="56">
        <f t="shared" si="365"/>
        <v>0</v>
      </c>
      <c r="BP239" s="56">
        <f t="shared" si="365"/>
        <v>-44941</v>
      </c>
      <c r="BQ239" s="56">
        <f t="shared" si="365"/>
        <v>0</v>
      </c>
      <c r="BR239" s="56">
        <f t="shared" si="365"/>
        <v>9.6910517245127337E-5</v>
      </c>
      <c r="BS239" s="56">
        <f t="shared" ref="BS239" si="366">+BS214-BS238</f>
        <v>0</v>
      </c>
      <c r="BT239" s="10"/>
      <c r="BU239" s="10"/>
      <c r="BV239" s="10"/>
      <c r="BW239" s="62"/>
      <c r="BX239" s="10"/>
      <c r="BY239" s="10"/>
      <c r="BZ239" s="10"/>
      <c r="CA239" s="62"/>
      <c r="CB239" s="61"/>
      <c r="CC239" s="61"/>
      <c r="CD239" s="61"/>
      <c r="CE239" s="61"/>
      <c r="CF239" s="61"/>
      <c r="CG239" s="117"/>
    </row>
    <row r="240" spans="2:85" x14ac:dyDescent="0.3">
      <c r="B240" s="56"/>
      <c r="D240" s="56"/>
      <c r="H240" s="56"/>
      <c r="O240" s="59"/>
      <c r="AA240" s="56"/>
      <c r="AC240" s="59"/>
      <c r="AE240" s="273"/>
      <c r="BA240" s="59"/>
      <c r="BG240" s="59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61"/>
      <c r="CC240" s="117"/>
      <c r="CD240" s="117"/>
      <c r="CE240" s="117"/>
      <c r="CF240" s="117"/>
    </row>
    <row r="241" spans="2:72" x14ac:dyDescent="0.3">
      <c r="B241" s="56"/>
      <c r="D241" s="56">
        <f>SUM(D144:D173)</f>
        <v>1455371</v>
      </c>
      <c r="H241" s="1"/>
      <c r="J241" t="s">
        <v>157</v>
      </c>
      <c r="O241" s="1">
        <f>SUM(W194:W203)</f>
        <v>6954</v>
      </c>
      <c r="W241" s="56">
        <f>SUM(W175:W203)</f>
        <v>23087</v>
      </c>
      <c r="AA241" s="576">
        <f>SUM(W190:W203)</f>
        <v>10600</v>
      </c>
      <c r="BA241" s="59"/>
      <c r="BC241" s="56"/>
      <c r="BE241" s="59"/>
      <c r="BJ241" s="61"/>
      <c r="BK241" s="10">
        <f>+BK187</f>
        <v>4928581</v>
      </c>
      <c r="BL241" s="61"/>
      <c r="BM241" s="61"/>
      <c r="BN241" s="61"/>
      <c r="BO241" s="61"/>
      <c r="BP241" s="61"/>
      <c r="BQ241" s="61"/>
      <c r="BR241" s="61"/>
      <c r="BS241" s="10"/>
      <c r="BT241" s="10"/>
    </row>
    <row r="242" spans="2:72" x14ac:dyDescent="0.3">
      <c r="B242" s="56"/>
      <c r="D242" s="56">
        <f>SUM(D178:D209)</f>
        <v>1293177</v>
      </c>
      <c r="H242" s="56">
        <f>SUM(D113:D143)</f>
        <v>1970617</v>
      </c>
      <c r="W242" s="56">
        <f>+W241/29</f>
        <v>796.10344827586209</v>
      </c>
      <c r="AA242" s="1">
        <f>+AA241/14</f>
        <v>757.14285714285711</v>
      </c>
      <c r="AD242" s="1"/>
      <c r="AE242" s="1"/>
      <c r="AF242" s="1"/>
      <c r="AG242" s="1">
        <f>+AG238/7</f>
        <v>716.71428571428567</v>
      </c>
      <c r="AH242" s="1"/>
      <c r="AI242" s="1"/>
      <c r="AJ242" s="1"/>
      <c r="AK242" s="1"/>
      <c r="AL242" s="1"/>
      <c r="AM242" s="1"/>
      <c r="AN242" s="1"/>
      <c r="AO242" s="1"/>
      <c r="BC242" s="1">
        <f>SUM(BA144:BA174)</f>
        <v>24131128</v>
      </c>
      <c r="BE242" s="59">
        <f>+D241/BC242</f>
        <v>6.0310939463749894E-2</v>
      </c>
      <c r="BG242" t="s">
        <v>168</v>
      </c>
      <c r="BH242" s="108"/>
      <c r="BI242" s="108"/>
      <c r="BJ242" s="108"/>
      <c r="BK242" s="537"/>
      <c r="BL242" s="108"/>
      <c r="BM242" s="108"/>
      <c r="BN242" s="108"/>
      <c r="BO242" s="108"/>
      <c r="BP242" s="108"/>
      <c r="BQ242" s="108"/>
      <c r="BR242" s="90"/>
      <c r="BS242" s="1"/>
      <c r="BT242" s="1"/>
    </row>
    <row r="243" spans="2:72" x14ac:dyDescent="0.3">
      <c r="D243" s="1"/>
      <c r="E243" s="123" t="s">
        <v>28</v>
      </c>
      <c r="F243" s="124"/>
      <c r="H243" s="124" t="s">
        <v>67</v>
      </c>
      <c r="I243" s="116"/>
      <c r="J243" s="116"/>
      <c r="K243" s="61"/>
      <c r="L243" s="10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BC243" s="56">
        <f>SUM(BA178:BA209)</f>
        <v>27490645</v>
      </c>
      <c r="BE243" s="59">
        <f>+D242/BC243</f>
        <v>4.7040620545643799E-2</v>
      </c>
      <c r="BG243" t="s">
        <v>166</v>
      </c>
      <c r="BH243" s="108"/>
      <c r="BI243" s="108"/>
      <c r="BJ243" s="108"/>
      <c r="BK243" s="537">
        <f>+BK194-BK238</f>
        <v>-1433874</v>
      </c>
      <c r="BL243" s="108"/>
      <c r="BM243" s="108"/>
      <c r="BN243" s="108"/>
      <c r="BO243" s="108"/>
      <c r="BP243" s="108"/>
      <c r="BQ243" s="108"/>
      <c r="BR243" s="90"/>
      <c r="BS243" s="1"/>
      <c r="BT243" s="1"/>
    </row>
    <row r="244" spans="2:72" x14ac:dyDescent="0.3">
      <c r="B244" s="56"/>
      <c r="D244" s="1"/>
      <c r="E244" s="123" t="s">
        <v>40</v>
      </c>
      <c r="F244" s="124"/>
      <c r="H244" s="124" t="s">
        <v>42</v>
      </c>
      <c r="I244" s="10"/>
      <c r="J244" s="10"/>
      <c r="K244" s="61"/>
      <c r="L244" s="10"/>
      <c r="AD244" s="1"/>
      <c r="AE244" s="1"/>
      <c r="AF244" s="1"/>
      <c r="AG244" s="1"/>
      <c r="AH244" s="1"/>
      <c r="AI244" s="1"/>
      <c r="AJ244" s="1"/>
      <c r="AK244" s="1"/>
      <c r="AL244" s="1" t="s">
        <v>17</v>
      </c>
      <c r="AM244" s="1"/>
      <c r="AN244" s="1"/>
      <c r="AO244" s="1"/>
      <c r="BC244" s="56">
        <f>SUM(BA113:BB143)</f>
        <v>24295686</v>
      </c>
      <c r="BE244" s="59">
        <f>+H242/BC244</f>
        <v>8.1109749278122867E-2</v>
      </c>
      <c r="BG244" t="s">
        <v>167</v>
      </c>
      <c r="BH244" s="109"/>
      <c r="BI244" s="109"/>
      <c r="BJ244" s="109"/>
      <c r="BK244" s="537">
        <f>+BK187-BK238</f>
        <v>-2268402</v>
      </c>
      <c r="BL244" s="109"/>
      <c r="BM244" s="109"/>
      <c r="BN244" s="109"/>
      <c r="BO244" s="109"/>
      <c r="BP244" s="109"/>
      <c r="BQ244" s="109"/>
      <c r="BR244" s="90"/>
      <c r="BS244" s="1"/>
      <c r="BT244" s="1"/>
    </row>
    <row r="245" spans="2:72" x14ac:dyDescent="0.3">
      <c r="B245" s="273"/>
      <c r="D245" s="1"/>
      <c r="E245" s="123" t="s">
        <v>47</v>
      </c>
      <c r="F245" s="124"/>
      <c r="H245" s="124" t="s">
        <v>57</v>
      </c>
      <c r="I245" s="10"/>
      <c r="J245" s="10"/>
      <c r="K245" s="61"/>
      <c r="L245" s="10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BC245" s="56"/>
      <c r="BE245" s="59"/>
      <c r="BH245" s="109"/>
      <c r="BI245" s="109"/>
      <c r="BJ245" s="109"/>
      <c r="BK245" s="537"/>
      <c r="BL245" s="109"/>
      <c r="BM245" s="109"/>
      <c r="BN245" s="109"/>
      <c r="BO245" s="109"/>
      <c r="BP245" s="109"/>
      <c r="BQ245" s="109"/>
      <c r="BR245" s="90"/>
      <c r="BS245" s="1"/>
      <c r="BT245" s="1"/>
    </row>
    <row r="246" spans="2:72" x14ac:dyDescent="0.3">
      <c r="D246" s="1"/>
      <c r="E246" s="123" t="s">
        <v>68</v>
      </c>
      <c r="F246" s="61"/>
      <c r="H246" s="93" t="s">
        <v>149</v>
      </c>
      <c r="I246" s="61"/>
      <c r="J246" s="61"/>
      <c r="K246" s="61"/>
      <c r="L246" s="6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BA246">
        <v>400000</v>
      </c>
      <c r="BH246" s="109"/>
      <c r="BI246" s="109"/>
      <c r="BJ246" s="109"/>
      <c r="BK246" s="540"/>
      <c r="BL246" s="109"/>
      <c r="BM246" s="109"/>
      <c r="BN246" s="109"/>
      <c r="BO246" s="109"/>
      <c r="BP246" s="109"/>
      <c r="BQ246" s="109"/>
      <c r="BR246" s="90"/>
      <c r="BS246" s="1"/>
      <c r="BT246" s="1"/>
    </row>
    <row r="247" spans="2:72" x14ac:dyDescent="0.3">
      <c r="E247" s="123" t="s">
        <v>150</v>
      </c>
      <c r="H247" s="93" t="s">
        <v>151</v>
      </c>
      <c r="AD247" s="1"/>
      <c r="AE247" s="1"/>
      <c r="AF247" s="1"/>
      <c r="AG247" s="1"/>
      <c r="AH247" s="1"/>
      <c r="AI247" s="1"/>
      <c r="BA247">
        <v>0.05</v>
      </c>
      <c r="BD247" s="90"/>
      <c r="BE247" s="90"/>
      <c r="BF247" s="90"/>
      <c r="BG247" s="90"/>
      <c r="BH247" s="90"/>
      <c r="BI247" s="90"/>
      <c r="BJ247" s="90"/>
      <c r="BK247" s="538"/>
      <c r="BL247" s="90"/>
      <c r="BM247" s="90"/>
      <c r="BN247" s="90"/>
      <c r="BO247" s="90"/>
      <c r="BP247" s="90"/>
      <c r="BQ247" s="90"/>
      <c r="BR247" s="90"/>
      <c r="BS247" s="1"/>
      <c r="BT247" s="1"/>
    </row>
    <row r="248" spans="2:72" x14ac:dyDescent="0.3">
      <c r="B248" s="56">
        <f>SUM(D144:D174)</f>
        <v>1493931</v>
      </c>
      <c r="AD248" s="1"/>
      <c r="AE248" s="1"/>
      <c r="AF248" s="1"/>
      <c r="AG248" s="1"/>
      <c r="AH248" s="1"/>
      <c r="AI248" s="1"/>
      <c r="BA248">
        <f>+BA246*BA247</f>
        <v>20000</v>
      </c>
      <c r="BK248" s="539"/>
    </row>
    <row r="249" spans="2:72" ht="15" thickBot="1" x14ac:dyDescent="0.35">
      <c r="D249" s="56"/>
      <c r="AD249" s="1"/>
      <c r="AE249" s="1"/>
      <c r="AF249" s="1"/>
      <c r="AG249" s="1"/>
      <c r="AH249" s="1"/>
      <c r="AI249" s="528"/>
      <c r="AJ249" s="529"/>
      <c r="AK249" s="529"/>
      <c r="AL249" s="529"/>
      <c r="AM249" s="529"/>
      <c r="AN249" s="529"/>
      <c r="AO249" s="529"/>
      <c r="AP249" s="529"/>
      <c r="AQ249" s="529"/>
      <c r="AR249" s="529"/>
      <c r="AS249" s="529"/>
      <c r="AT249" s="529"/>
      <c r="AU249" s="529"/>
      <c r="AV249" s="529"/>
      <c r="AW249" s="529"/>
      <c r="AX249" s="529"/>
      <c r="AZ249" s="118"/>
      <c r="BA249" s="118"/>
      <c r="BB249" s="118"/>
      <c r="BC249" s="118"/>
      <c r="BK249" s="1"/>
    </row>
    <row r="250" spans="2:72" x14ac:dyDescent="0.3">
      <c r="D250" s="575">
        <v>4900</v>
      </c>
      <c r="J250" s="530">
        <f>+BR125</f>
        <v>7.4075240343216359E-2</v>
      </c>
      <c r="V250" s="118"/>
      <c r="AA250" s="56"/>
      <c r="AD250" s="1"/>
      <c r="AE250" s="1"/>
      <c r="AF250" s="1"/>
      <c r="AG250" s="1"/>
      <c r="AH250" s="1"/>
      <c r="AI250" s="528"/>
      <c r="AJ250" s="507"/>
      <c r="AK250" s="508"/>
      <c r="AL250" s="508"/>
      <c r="AM250" s="508"/>
      <c r="AN250" s="508"/>
      <c r="AO250" s="508"/>
      <c r="AP250" s="508"/>
      <c r="AQ250" s="508"/>
      <c r="AR250" s="508"/>
      <c r="AS250" s="508"/>
      <c r="AT250" s="508"/>
      <c r="AU250" s="508"/>
      <c r="AV250" s="508"/>
      <c r="AW250" s="509"/>
      <c r="AX250" s="529"/>
      <c r="AZ250" s="118"/>
      <c r="BA250" s="118"/>
      <c r="BB250" s="118"/>
      <c r="BC250" s="118"/>
      <c r="BK250" s="56"/>
    </row>
    <row r="251" spans="2:72" x14ac:dyDescent="0.3">
      <c r="D251" s="1">
        <v>1000000</v>
      </c>
      <c r="J251" s="232">
        <f>+AC125</f>
        <v>3.9339809186854716E-2</v>
      </c>
      <c r="AD251" s="1"/>
      <c r="AE251" s="1"/>
      <c r="AF251" s="1"/>
      <c r="AG251" s="1"/>
      <c r="AH251" s="1"/>
      <c r="AI251" s="528"/>
      <c r="AJ251" s="510"/>
      <c r="AK251" s="607" t="s">
        <v>156</v>
      </c>
      <c r="AL251" s="607"/>
      <c r="AM251" s="607"/>
      <c r="AN251" s="607"/>
      <c r="AO251" s="607"/>
      <c r="AP251" s="607"/>
      <c r="AQ251" s="607"/>
      <c r="AR251" s="607"/>
      <c r="AS251" s="607"/>
      <c r="AT251" s="607"/>
      <c r="AU251" s="607"/>
      <c r="AV251" s="607"/>
      <c r="AW251" s="511"/>
      <c r="AX251" s="529"/>
      <c r="AZ251" s="118"/>
      <c r="BA251" s="118"/>
      <c r="BB251" s="118"/>
      <c r="BC251" s="118"/>
    </row>
    <row r="252" spans="2:72" ht="15.6" x14ac:dyDescent="0.3">
      <c r="J252" s="57">
        <f>+J250*J251</f>
        <v>2.9141058205725341E-3</v>
      </c>
      <c r="AD252" s="1"/>
      <c r="AE252" s="1"/>
      <c r="AF252" s="1"/>
      <c r="AG252" s="1"/>
      <c r="AH252" s="1"/>
      <c r="AI252" s="528"/>
      <c r="AJ252" s="510"/>
      <c r="AK252" s="607" t="s">
        <v>155</v>
      </c>
      <c r="AL252" s="607"/>
      <c r="AM252" s="607"/>
      <c r="AN252" s="607"/>
      <c r="AO252" s="516"/>
      <c r="AP252" s="517" t="s">
        <v>20</v>
      </c>
      <c r="AQ252" s="516"/>
      <c r="AR252" s="517" t="s">
        <v>4</v>
      </c>
      <c r="AS252" s="518"/>
      <c r="AT252" s="518"/>
      <c r="AU252" s="518"/>
      <c r="AV252" s="522" t="s">
        <v>10</v>
      </c>
      <c r="AW252" s="511"/>
      <c r="AX252" s="529"/>
      <c r="AZ252" s="118"/>
      <c r="BA252" s="118"/>
      <c r="BB252" s="118"/>
      <c r="BC252" s="118"/>
    </row>
    <row r="253" spans="2:72" ht="15.6" x14ac:dyDescent="0.3">
      <c r="AD253" s="1"/>
      <c r="AE253" s="1"/>
      <c r="AF253" s="1"/>
      <c r="AG253" s="1"/>
      <c r="AH253" s="1"/>
      <c r="AI253" s="528"/>
      <c r="AJ253" s="510"/>
      <c r="AK253" s="606" t="s">
        <v>152</v>
      </c>
      <c r="AL253" s="606"/>
      <c r="AM253" s="606"/>
      <c r="AN253" s="606"/>
      <c r="AO253" s="516"/>
      <c r="AP253" s="519">
        <f>+AH50</f>
        <v>898992</v>
      </c>
      <c r="AQ253" s="520"/>
      <c r="AR253" s="519">
        <f>+AH51</f>
        <v>55687</v>
      </c>
      <c r="AS253" s="521"/>
      <c r="AT253" s="521"/>
      <c r="AU253" s="521"/>
      <c r="AV253" s="535">
        <f>+AR253/AP253</f>
        <v>6.194382152455194E-2</v>
      </c>
      <c r="AW253" s="511"/>
      <c r="AX253" s="529"/>
      <c r="AZ253" s="118"/>
      <c r="BA253" s="118"/>
      <c r="BB253" s="118"/>
      <c r="BC253" s="118"/>
    </row>
    <row r="254" spans="2:72" ht="15.6" x14ac:dyDescent="0.3">
      <c r="D254" s="277">
        <f>+D250/D251</f>
        <v>4.8999999999999998E-3</v>
      </c>
      <c r="AD254" s="1"/>
      <c r="AE254" s="1"/>
      <c r="AF254" s="1"/>
      <c r="AG254" s="1"/>
      <c r="AH254" s="1"/>
      <c r="AI254" s="528"/>
      <c r="AJ254" s="510"/>
      <c r="AK254" s="589" t="s">
        <v>153</v>
      </c>
      <c r="AL254" s="590"/>
      <c r="AM254" s="590"/>
      <c r="AN254" s="590"/>
      <c r="AO254" s="65"/>
      <c r="AP254" s="512">
        <f>+AG83</f>
        <v>742147</v>
      </c>
      <c r="AQ254" s="65"/>
      <c r="AR254" s="512">
        <f>+AG84</f>
        <v>42339</v>
      </c>
      <c r="AS254" s="65"/>
      <c r="AT254" s="65"/>
      <c r="AU254" s="65"/>
      <c r="AV254" s="533">
        <f>+AR254/AP254</f>
        <v>5.7049344671608188E-2</v>
      </c>
      <c r="AW254" s="511"/>
      <c r="AX254" s="529"/>
      <c r="AZ254" s="118"/>
      <c r="BA254" s="118"/>
      <c r="BB254" s="118"/>
      <c r="BC254" s="118"/>
    </row>
    <row r="255" spans="2:72" ht="15.6" x14ac:dyDescent="0.3">
      <c r="AD255" s="1"/>
      <c r="AE255" s="1"/>
      <c r="AF255" s="1"/>
      <c r="AG255" s="1"/>
      <c r="AH255" s="1"/>
      <c r="AI255" s="528"/>
      <c r="AJ255" s="510"/>
      <c r="AK255" s="590" t="s">
        <v>154</v>
      </c>
      <c r="AL255" s="590"/>
      <c r="AM255" s="590"/>
      <c r="AN255" s="590"/>
      <c r="AO255" s="65"/>
      <c r="AP255" s="512">
        <f>+AH113</f>
        <v>869627</v>
      </c>
      <c r="AQ255" s="65"/>
      <c r="AR255" s="512">
        <f>+AH114</f>
        <v>21252</v>
      </c>
      <c r="AS255" s="65"/>
      <c r="AT255" s="65"/>
      <c r="AU255" s="65"/>
      <c r="AV255" s="533">
        <f>+AR255/AP255</f>
        <v>2.4438063675575852E-2</v>
      </c>
      <c r="AW255" s="511"/>
      <c r="AX255" s="529"/>
      <c r="AZ255" s="118"/>
      <c r="BA255" s="118"/>
      <c r="BB255" s="118"/>
      <c r="BC255" s="118"/>
    </row>
    <row r="256" spans="2:72" ht="15.6" x14ac:dyDescent="0.3">
      <c r="D256" s="471">
        <v>32000</v>
      </c>
      <c r="AD256" s="1"/>
      <c r="AE256" s="1"/>
      <c r="AF256" s="1"/>
      <c r="AG256" s="1"/>
      <c r="AH256" s="1"/>
      <c r="AI256" s="528"/>
      <c r="AJ256" s="510"/>
      <c r="AK256" s="590" t="s">
        <v>158</v>
      </c>
      <c r="AL256" s="590"/>
      <c r="AM256" s="590"/>
      <c r="AN256" s="590"/>
      <c r="AO256" s="65"/>
      <c r="AP256" s="512">
        <f>+AG259</f>
        <v>1970617</v>
      </c>
      <c r="AQ256" s="65"/>
      <c r="AR256" s="512">
        <f>+AG261</f>
        <v>25901</v>
      </c>
      <c r="AS256" s="65"/>
      <c r="AT256" s="65"/>
      <c r="AU256" s="65"/>
      <c r="AV256" s="533">
        <f>+AR256/AP256</f>
        <v>1.3143599187462607E-2</v>
      </c>
      <c r="AW256" s="511"/>
      <c r="AX256" s="529"/>
    </row>
    <row r="257" spans="2:87" ht="15" thickBot="1" x14ac:dyDescent="0.35">
      <c r="B257" s="470"/>
      <c r="D257" s="277"/>
      <c r="AD257" s="1"/>
      <c r="AE257" s="1"/>
      <c r="AF257" s="1"/>
      <c r="AG257" s="1"/>
      <c r="AH257" s="1"/>
      <c r="AI257" s="528"/>
      <c r="AJ257" s="510"/>
      <c r="AK257" s="523"/>
      <c r="AL257" s="523"/>
      <c r="AM257" s="523"/>
      <c r="AN257" s="523"/>
      <c r="AO257" s="524"/>
      <c r="AP257" s="525"/>
      <c r="AQ257" s="524"/>
      <c r="AR257" s="525"/>
      <c r="AS257" s="524"/>
      <c r="AT257" s="524"/>
      <c r="AU257" s="524"/>
      <c r="AV257" s="526"/>
      <c r="AW257" s="511"/>
      <c r="AX257" s="529"/>
    </row>
    <row r="258" spans="2:87" ht="15.6" x14ac:dyDescent="0.3">
      <c r="B258" s="470"/>
      <c r="D258" s="277"/>
      <c r="AD258" s="1"/>
      <c r="AE258" s="1"/>
      <c r="AF258" s="1"/>
      <c r="AG258" s="1"/>
      <c r="AH258" s="1"/>
      <c r="AI258" s="528"/>
      <c r="AJ258" s="510"/>
      <c r="AK258" s="606" t="s">
        <v>152</v>
      </c>
      <c r="AL258" s="606"/>
      <c r="AM258" s="606"/>
      <c r="AN258" s="606"/>
      <c r="AO258" s="65"/>
      <c r="AP258" s="512"/>
      <c r="AQ258" s="65"/>
      <c r="AR258" s="512">
        <f>+AR253</f>
        <v>55687</v>
      </c>
      <c r="AS258" s="65"/>
      <c r="AT258" s="65"/>
      <c r="AU258" s="65"/>
      <c r="AV258" s="156"/>
      <c r="AW258" s="511"/>
      <c r="AX258" s="529"/>
    </row>
    <row r="259" spans="2:87" ht="15.6" x14ac:dyDescent="0.3">
      <c r="B259" s="470"/>
      <c r="D259" s="277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10"/>
      <c r="AE259" s="10"/>
      <c r="AF259" s="1"/>
      <c r="AG259" s="33">
        <f>SUM(D113:D143)</f>
        <v>1970617</v>
      </c>
      <c r="AH259" s="1"/>
      <c r="AI259" s="528"/>
      <c r="AJ259" s="510"/>
      <c r="AK259" s="590" t="s">
        <v>158</v>
      </c>
      <c r="AL259" s="590"/>
      <c r="AM259" s="590"/>
      <c r="AN259" s="64"/>
      <c r="AO259" s="65"/>
      <c r="AP259" s="512"/>
      <c r="AQ259" s="65"/>
      <c r="AR259" s="512">
        <f>+AR256</f>
        <v>25901</v>
      </c>
      <c r="AS259" s="65"/>
      <c r="AT259" s="65"/>
      <c r="AU259" s="65"/>
      <c r="AV259" s="156"/>
      <c r="AW259" s="511"/>
      <c r="AX259" s="529"/>
    </row>
    <row r="260" spans="2:87" ht="15.6" x14ac:dyDescent="0.3">
      <c r="B260" s="470"/>
      <c r="D260" s="277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10"/>
      <c r="AE260" s="10"/>
      <c r="AF260" s="1"/>
      <c r="AG260" s="33">
        <f>SUM(W125:W138)</f>
        <v>12117</v>
      </c>
      <c r="AH260" s="1"/>
      <c r="AI260" s="528"/>
      <c r="AJ260" s="510"/>
      <c r="AK260" s="64"/>
      <c r="AL260" s="541" t="s">
        <v>3</v>
      </c>
      <c r="AM260" s="64"/>
      <c r="AN260" s="64"/>
      <c r="AO260" s="65"/>
      <c r="AP260" s="512"/>
      <c r="AQ260" s="65"/>
      <c r="AR260" s="512">
        <f>+AR258-AR259</f>
        <v>29786</v>
      </c>
      <c r="AS260" s="65"/>
      <c r="AT260" s="65"/>
      <c r="AU260" s="65"/>
      <c r="AV260" s="527">
        <f>+AR260/AR258</f>
        <v>0.53488246808052153</v>
      </c>
      <c r="AW260" s="511"/>
      <c r="AX260" s="529"/>
    </row>
    <row r="261" spans="2:87" ht="15" thickBot="1" x14ac:dyDescent="0.35">
      <c r="D261" s="470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10"/>
      <c r="AE261" s="10"/>
      <c r="AF261" s="1"/>
      <c r="AG261" s="33">
        <f>SUM(W113:W143)</f>
        <v>25901</v>
      </c>
      <c r="AH261" s="1"/>
      <c r="AI261" s="528"/>
      <c r="AJ261" s="513"/>
      <c r="AK261" s="514"/>
      <c r="AL261" s="514"/>
      <c r="AM261" s="514"/>
      <c r="AN261" s="514"/>
      <c r="AO261" s="514"/>
      <c r="AP261" s="514"/>
      <c r="AQ261" s="514"/>
      <c r="AR261" s="514"/>
      <c r="AS261" s="514"/>
      <c r="AT261" s="514"/>
      <c r="AU261" s="514"/>
      <c r="AV261" s="514"/>
      <c r="AW261" s="515"/>
      <c r="AX261" s="529"/>
      <c r="BD261" s="90"/>
      <c r="BE261" s="90"/>
      <c r="BF261" s="90"/>
      <c r="BG261" s="90"/>
      <c r="BH261" s="90"/>
      <c r="BI261" s="90"/>
      <c r="BJ261" s="90"/>
      <c r="BK261" s="90"/>
      <c r="BL261" s="90"/>
      <c r="BM261" s="90"/>
      <c r="BN261" s="90"/>
      <c r="BO261" s="90"/>
      <c r="BP261" s="90"/>
      <c r="BQ261" s="90"/>
      <c r="BR261" s="90"/>
      <c r="BS261" s="1"/>
      <c r="BT261" s="1"/>
      <c r="BU261" s="1"/>
      <c r="BV261" s="1"/>
      <c r="BW261" s="90"/>
      <c r="BX261" s="90"/>
      <c r="BY261" s="90"/>
      <c r="BZ261" s="90"/>
      <c r="CA261" s="90"/>
      <c r="CB261" s="90"/>
      <c r="CC261" s="90"/>
      <c r="CD261" s="90"/>
      <c r="CE261" s="90"/>
      <c r="CF261" s="90"/>
      <c r="CG261" s="90"/>
      <c r="CH261" s="90"/>
      <c r="CI261" s="90"/>
    </row>
    <row r="262" spans="2:87" x14ac:dyDescent="0.3"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10"/>
      <c r="AE262" s="10"/>
      <c r="AF262" s="10"/>
      <c r="AG262" s="10"/>
      <c r="AH262" s="10"/>
      <c r="AI262" s="528"/>
      <c r="AJ262" s="529"/>
      <c r="AK262" s="529"/>
      <c r="AL262" s="529"/>
      <c r="AM262" s="529"/>
      <c r="AN262" s="529"/>
      <c r="AO262" s="529"/>
      <c r="AP262" s="529"/>
      <c r="AQ262" s="529"/>
      <c r="AR262" s="529"/>
      <c r="AS262" s="529"/>
      <c r="AT262" s="529"/>
      <c r="AU262" s="529"/>
      <c r="AV262" s="529"/>
      <c r="AW262" s="529"/>
      <c r="AX262" s="529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89"/>
      <c r="BX262" s="89"/>
      <c r="BY262" s="89"/>
      <c r="BZ262" s="89"/>
      <c r="CA262" s="121"/>
      <c r="CB262" s="1"/>
      <c r="CC262" s="1"/>
      <c r="CD262" s="1"/>
      <c r="CE262" s="1"/>
      <c r="CF262" s="1"/>
      <c r="CG262" s="1"/>
      <c r="CH262" s="1"/>
      <c r="CI262" s="1"/>
    </row>
    <row r="263" spans="2:87" x14ac:dyDescent="0.3">
      <c r="D263">
        <v>10</v>
      </c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10"/>
      <c r="AE263" s="10"/>
      <c r="AF263" s="10"/>
      <c r="AG263" s="10"/>
      <c r="AH263" s="10"/>
      <c r="AI263" s="10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89"/>
      <c r="BX263" s="89"/>
      <c r="BY263" s="89"/>
      <c r="BZ263" s="89"/>
      <c r="CA263" s="89"/>
      <c r="CB263" s="1"/>
      <c r="CC263" s="1"/>
      <c r="CD263" s="1"/>
      <c r="CE263" s="1"/>
      <c r="CF263" s="1"/>
      <c r="CG263" s="1"/>
      <c r="CH263" s="1"/>
      <c r="CI263" s="1"/>
    </row>
    <row r="264" spans="2:87" x14ac:dyDescent="0.3">
      <c r="D264" s="1">
        <v>77000000</v>
      </c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10"/>
      <c r="AE264" s="10"/>
      <c r="AF264" s="10"/>
      <c r="AG264" s="10"/>
      <c r="AH264" s="10"/>
      <c r="AI264" s="10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89"/>
      <c r="BX264" s="89"/>
      <c r="BY264" s="89"/>
      <c r="BZ264" s="89"/>
      <c r="CA264" s="89"/>
      <c r="CB264" s="1"/>
      <c r="CC264" s="1"/>
      <c r="CD264" s="1"/>
      <c r="CE264" s="1"/>
      <c r="CF264" s="1"/>
      <c r="CG264" s="1"/>
    </row>
    <row r="265" spans="2:87" x14ac:dyDescent="0.3">
      <c r="D265" s="57">
        <f>+D264/D267</f>
        <v>0.23262839879154079</v>
      </c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10"/>
      <c r="AE265" s="10"/>
      <c r="AF265" s="10"/>
      <c r="AG265" s="545"/>
      <c r="AH265" s="10"/>
      <c r="AI265" s="10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89"/>
      <c r="BX265" s="89"/>
      <c r="BY265" s="89"/>
      <c r="BZ265" s="89"/>
      <c r="CA265" s="89"/>
      <c r="CB265" s="1"/>
      <c r="CC265" s="1"/>
      <c r="CD265" s="1"/>
      <c r="CE265" s="1"/>
      <c r="CF265" s="1"/>
      <c r="CG265" s="1"/>
    </row>
    <row r="266" spans="2:87" x14ac:dyDescent="0.3"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10"/>
      <c r="AE266" s="10"/>
      <c r="AF266" s="551"/>
      <c r="AG266" s="570"/>
      <c r="AH266" s="551"/>
      <c r="AI266" s="551"/>
      <c r="AJ266" s="544"/>
      <c r="AK266" s="544"/>
      <c r="AL266" s="544"/>
      <c r="AM266" s="544"/>
      <c r="AN266" s="544"/>
      <c r="AO266" s="544"/>
      <c r="AP266" s="544"/>
      <c r="AQ266" s="544"/>
      <c r="AR266" s="544"/>
      <c r="AS266" s="544"/>
      <c r="AT266" s="544"/>
      <c r="AU266" s="544"/>
      <c r="AV266" s="544"/>
      <c r="AW266" s="544"/>
      <c r="AX266" s="544"/>
      <c r="AY266" s="544"/>
      <c r="AZ266" s="544"/>
      <c r="BA266" s="544"/>
      <c r="BB266" s="544"/>
      <c r="BC266" s="544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89"/>
      <c r="BX266" s="89"/>
      <c r="BY266" s="122"/>
      <c r="BZ266" s="89"/>
      <c r="CA266" s="89"/>
    </row>
    <row r="267" spans="2:87" x14ac:dyDescent="0.3">
      <c r="D267" s="1">
        <v>331000000</v>
      </c>
      <c r="H267">
        <v>0.13400000000000001</v>
      </c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10"/>
      <c r="AE267" s="10"/>
      <c r="AF267" s="551"/>
      <c r="AG267" s="571"/>
      <c r="AH267" s="551"/>
      <c r="AI267" s="551"/>
      <c r="AJ267" s="568"/>
      <c r="AK267" s="568"/>
      <c r="AL267" s="569"/>
      <c r="AM267" s="569"/>
      <c r="AN267" s="569"/>
      <c r="AO267" s="569"/>
      <c r="AP267" s="569"/>
      <c r="AQ267" s="569"/>
      <c r="AR267" s="569"/>
      <c r="AS267" s="569"/>
      <c r="AT267" s="569"/>
      <c r="AU267" s="569"/>
      <c r="AV267" s="569"/>
      <c r="AW267" s="569"/>
      <c r="AX267" s="569"/>
      <c r="AY267" s="569"/>
      <c r="AZ267" s="569"/>
      <c r="BA267" s="569"/>
      <c r="BB267" s="568"/>
      <c r="BC267" s="568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89"/>
      <c r="BX267" s="89"/>
      <c r="BY267" s="89"/>
      <c r="BZ267" s="89"/>
      <c r="CA267" s="89"/>
    </row>
    <row r="268" spans="2:87" x14ac:dyDescent="0.3">
      <c r="D268" s="1">
        <f>+D267*H267</f>
        <v>44354000</v>
      </c>
      <c r="H268" s="1">
        <f>+D268*0.001</f>
        <v>44354</v>
      </c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10"/>
      <c r="AE268" s="10"/>
      <c r="AF268" s="551"/>
      <c r="AG268" s="570"/>
      <c r="AH268" s="551"/>
      <c r="AI268" s="551"/>
      <c r="AJ268" s="568"/>
      <c r="AK268" s="568"/>
      <c r="AL268" s="150"/>
      <c r="AM268" s="150"/>
      <c r="AN268" s="150"/>
      <c r="AO268" s="150"/>
      <c r="AP268" s="150"/>
      <c r="AQ268" s="150"/>
      <c r="AR268" s="150"/>
      <c r="AS268" s="90"/>
      <c r="AT268" s="90"/>
      <c r="AU268" s="90"/>
      <c r="AV268" s="110"/>
      <c r="AW268" s="110"/>
      <c r="AX268" s="110"/>
      <c r="AY268" s="110"/>
      <c r="AZ268" s="568"/>
      <c r="BA268" s="568"/>
      <c r="BB268" s="574"/>
      <c r="BC268" s="568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89"/>
      <c r="BX268" s="89"/>
      <c r="BY268" s="89"/>
      <c r="BZ268" s="89"/>
      <c r="CA268" s="89"/>
    </row>
    <row r="269" spans="2:87" x14ac:dyDescent="0.3">
      <c r="D269" s="468">
        <v>7.1999999999999995E-2</v>
      </c>
      <c r="H269" s="1">
        <f>+AA204*H267</f>
        <v>28384.416000000001</v>
      </c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10"/>
      <c r="AE269" s="10"/>
      <c r="AF269" s="551"/>
      <c r="AG269" s="570">
        <v>44031</v>
      </c>
      <c r="AH269" s="551"/>
      <c r="AI269" s="551"/>
      <c r="AJ269" s="568"/>
      <c r="AK269" s="568"/>
      <c r="AL269" s="150"/>
      <c r="AM269" s="150"/>
      <c r="AN269" s="150"/>
      <c r="AO269" s="150"/>
      <c r="AP269" s="150"/>
      <c r="AQ269" s="150"/>
      <c r="AR269" s="150"/>
      <c r="AS269" s="150"/>
      <c r="AT269" s="110"/>
      <c r="AU269" s="90"/>
      <c r="AV269" s="110"/>
      <c r="AW269" s="110"/>
      <c r="AX269" s="110"/>
      <c r="AY269" s="110"/>
      <c r="AZ269" s="568"/>
      <c r="BA269" s="568"/>
      <c r="BB269" s="574"/>
      <c r="BC269" s="568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89"/>
      <c r="BX269" s="89"/>
      <c r="BY269" s="89"/>
      <c r="BZ269" s="89"/>
      <c r="CA269" s="89"/>
    </row>
    <row r="270" spans="2:87" x14ac:dyDescent="0.3"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10"/>
      <c r="AE270" s="10"/>
      <c r="AF270" s="551"/>
      <c r="AG270" s="570">
        <v>44038</v>
      </c>
      <c r="AH270" s="551"/>
      <c r="AI270" s="551"/>
      <c r="AJ270" s="568"/>
      <c r="AK270" s="568"/>
      <c r="AL270" s="90"/>
      <c r="AM270" s="90"/>
      <c r="AN270" s="151"/>
      <c r="AO270" s="151"/>
      <c r="AP270" s="151"/>
      <c r="AQ270" s="151"/>
      <c r="AR270" s="151"/>
      <c r="AS270" s="90"/>
      <c r="AT270" s="90"/>
      <c r="AU270" s="90"/>
      <c r="AV270" s="110"/>
      <c r="AW270" s="110"/>
      <c r="AX270" s="110"/>
      <c r="AY270" s="110"/>
      <c r="AZ270" s="568"/>
      <c r="BA270" s="568"/>
      <c r="BB270" s="574"/>
      <c r="BC270" s="568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89"/>
      <c r="BX270" s="89"/>
      <c r="BY270" s="89"/>
      <c r="BZ270" s="89"/>
      <c r="CA270" s="89"/>
    </row>
    <row r="271" spans="2:87" x14ac:dyDescent="0.3">
      <c r="D271" s="277">
        <v>4.2000000000000003E-2</v>
      </c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10"/>
      <c r="AE271" s="10"/>
      <c r="AF271" s="551"/>
      <c r="AG271" s="570">
        <v>44045</v>
      </c>
      <c r="AH271" s="551"/>
      <c r="AI271" s="551"/>
      <c r="AJ271" s="568"/>
      <c r="AK271" s="568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10"/>
      <c r="AW271" s="110"/>
      <c r="AX271" s="110"/>
      <c r="AY271" s="110"/>
      <c r="AZ271" s="568"/>
      <c r="BA271" s="568"/>
      <c r="BB271" s="574"/>
      <c r="BC271" s="568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</row>
    <row r="272" spans="2:87" x14ac:dyDescent="0.3">
      <c r="D272" s="575">
        <f>+D267*D269*D271</f>
        <v>1000944.0000000001</v>
      </c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10"/>
      <c r="AE272" s="10"/>
      <c r="AF272" s="551"/>
      <c r="AG272" s="570">
        <v>44052</v>
      </c>
      <c r="AH272" s="551"/>
      <c r="AI272" s="551"/>
      <c r="AJ272" s="568"/>
      <c r="AK272" s="568"/>
      <c r="AL272" s="90"/>
      <c r="AM272" s="90"/>
      <c r="AN272" s="151"/>
      <c r="AO272" s="151"/>
      <c r="AP272" s="151"/>
      <c r="AQ272" s="151"/>
      <c r="AR272" s="151"/>
      <c r="AS272" s="151"/>
      <c r="AT272" s="151"/>
      <c r="AU272" s="90"/>
      <c r="AV272" s="110"/>
      <c r="AW272" s="110"/>
      <c r="AX272" s="110"/>
      <c r="AY272" s="110"/>
      <c r="AZ272" s="568"/>
      <c r="BA272" s="568"/>
      <c r="BB272" s="574"/>
      <c r="BC272" s="568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</row>
    <row r="273" spans="2:79" x14ac:dyDescent="0.3"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10"/>
      <c r="AE273" s="10"/>
      <c r="AF273" s="551"/>
      <c r="AG273" s="570"/>
      <c r="AH273" s="551"/>
      <c r="AI273" s="551"/>
      <c r="AJ273" s="568"/>
      <c r="AK273" s="568"/>
      <c r="AL273" s="90"/>
      <c r="AM273" s="90"/>
      <c r="AN273" s="151"/>
      <c r="AO273" s="151"/>
      <c r="AP273" s="151"/>
      <c r="AQ273" s="151"/>
      <c r="AR273" s="151"/>
      <c r="AS273" s="151"/>
      <c r="AT273" s="151"/>
      <c r="AU273" s="90"/>
      <c r="AV273" s="110"/>
      <c r="AW273" s="110"/>
      <c r="AX273" s="110"/>
      <c r="AY273" s="110"/>
      <c r="AZ273" s="568"/>
      <c r="BA273" s="568"/>
      <c r="BB273" s="574"/>
      <c r="BC273" s="568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</row>
    <row r="274" spans="2:79" x14ac:dyDescent="0.3"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10"/>
      <c r="AE274" s="10"/>
      <c r="AF274" s="551"/>
      <c r="AG274" s="570"/>
      <c r="AH274" s="551"/>
      <c r="AI274" s="551"/>
      <c r="AJ274" s="568"/>
      <c r="AK274" s="568"/>
      <c r="AL274" s="90"/>
      <c r="AM274" s="90"/>
      <c r="AN274" s="151"/>
      <c r="AO274" s="151"/>
      <c r="AP274" s="151"/>
      <c r="AQ274" s="151"/>
      <c r="AR274" s="151"/>
      <c r="AS274" s="151"/>
      <c r="AT274" s="151"/>
      <c r="AU274" s="90"/>
      <c r="AV274" s="110"/>
      <c r="AW274" s="110"/>
      <c r="AX274" s="110"/>
      <c r="AY274" s="110"/>
      <c r="AZ274" s="568"/>
      <c r="BA274" s="568"/>
      <c r="BB274" s="574"/>
      <c r="BC274" s="568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</row>
    <row r="275" spans="2:79" x14ac:dyDescent="0.3"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10"/>
      <c r="AE275" s="10"/>
      <c r="AF275" s="551"/>
      <c r="AG275" s="572"/>
      <c r="AH275" s="551"/>
      <c r="AI275" s="551"/>
      <c r="AJ275" s="568"/>
      <c r="AK275" s="568"/>
      <c r="AL275" s="90"/>
      <c r="AM275" s="90"/>
      <c r="AN275" s="151"/>
      <c r="AO275" s="151"/>
      <c r="AP275" s="151"/>
      <c r="AQ275" s="151"/>
      <c r="AR275" s="151"/>
      <c r="AS275" s="151"/>
      <c r="AT275" s="151"/>
      <c r="AU275" s="90"/>
      <c r="AV275" s="110"/>
      <c r="AW275" s="110"/>
      <c r="AX275" s="110"/>
      <c r="AY275" s="110"/>
      <c r="AZ275" s="568"/>
      <c r="BA275" s="568"/>
      <c r="BB275" s="574"/>
      <c r="BC275" s="568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</row>
    <row r="276" spans="2:79" x14ac:dyDescent="0.3"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10"/>
      <c r="AE276" s="10"/>
      <c r="AF276" s="551"/>
      <c r="AG276" s="551"/>
      <c r="AH276" s="551"/>
      <c r="AI276" s="551"/>
      <c r="AJ276" s="568"/>
      <c r="AK276" s="568"/>
      <c r="AL276" s="90"/>
      <c r="AM276" s="90"/>
      <c r="AN276" s="151"/>
      <c r="AO276" s="151"/>
      <c r="AP276" s="151"/>
      <c r="AQ276" s="151"/>
      <c r="AR276" s="151"/>
      <c r="AS276" s="151"/>
      <c r="AT276" s="151"/>
      <c r="AU276" s="90"/>
      <c r="AV276" s="110"/>
      <c r="AW276" s="110"/>
      <c r="AX276" s="110"/>
      <c r="AY276" s="110"/>
      <c r="AZ276" s="568"/>
      <c r="BA276" s="568"/>
      <c r="BB276" s="574"/>
      <c r="BC276" s="568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</row>
    <row r="277" spans="2:79" x14ac:dyDescent="0.3"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10"/>
      <c r="AE277" s="10"/>
      <c r="AF277" s="551"/>
      <c r="AG277" s="551"/>
      <c r="AH277" s="551"/>
      <c r="AI277" s="551"/>
      <c r="AJ277" s="568"/>
      <c r="AK277" s="568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90"/>
      <c r="AW277" s="90"/>
      <c r="AX277" s="90"/>
      <c r="AY277" s="90"/>
      <c r="AZ277" s="568"/>
      <c r="BA277" s="574"/>
      <c r="BB277" s="574"/>
      <c r="BC277" s="568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</row>
    <row r="278" spans="2:79" x14ac:dyDescent="0.3">
      <c r="AD278" s="10"/>
      <c r="AE278" s="10"/>
      <c r="AF278" s="551"/>
      <c r="AG278" s="551"/>
      <c r="AH278" s="551"/>
      <c r="AI278" s="551"/>
      <c r="AJ278" s="568"/>
      <c r="AK278" s="568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90"/>
      <c r="AW278" s="90"/>
      <c r="AX278" s="90"/>
      <c r="AY278" s="90"/>
      <c r="AZ278" s="568"/>
      <c r="BA278" s="574"/>
      <c r="BB278" s="574"/>
      <c r="BC278" s="568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</row>
    <row r="279" spans="2:79" ht="15" thickBot="1" x14ac:dyDescent="0.35">
      <c r="B279" s="544"/>
      <c r="C279" s="544"/>
      <c r="D279" s="544"/>
      <c r="E279" s="544"/>
      <c r="F279" s="544"/>
      <c r="G279" s="544"/>
      <c r="H279" s="544"/>
      <c r="I279" s="544"/>
      <c r="J279" s="544"/>
      <c r="K279" s="544"/>
      <c r="L279" s="544"/>
      <c r="M279" s="544"/>
      <c r="N279" s="544"/>
      <c r="O279" s="544"/>
      <c r="P279" s="544"/>
      <c r="Q279" s="544"/>
      <c r="R279" s="544"/>
      <c r="S279" s="544"/>
      <c r="T279" s="544"/>
      <c r="U279" s="544"/>
      <c r="V279" s="544"/>
      <c r="AD279" s="10"/>
      <c r="AE279" s="10"/>
      <c r="AF279" s="551"/>
      <c r="AG279" s="551"/>
      <c r="AH279" s="551"/>
      <c r="AI279" s="551"/>
      <c r="AJ279" s="568"/>
      <c r="AK279" s="568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90"/>
      <c r="AW279" s="90"/>
      <c r="AX279" s="90"/>
      <c r="AY279" s="90"/>
      <c r="AZ279" s="568"/>
      <c r="BA279" s="574"/>
      <c r="BB279" s="574"/>
      <c r="BC279" s="568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</row>
    <row r="280" spans="2:79" x14ac:dyDescent="0.3">
      <c r="B280" s="544"/>
      <c r="C280" s="554"/>
      <c r="D280" s="400"/>
      <c r="E280" s="400"/>
      <c r="F280" s="400"/>
      <c r="G280" s="400"/>
      <c r="H280" s="400"/>
      <c r="I280" s="400"/>
      <c r="J280" s="400"/>
      <c r="K280" s="400"/>
      <c r="L280" s="400"/>
      <c r="M280" s="400"/>
      <c r="N280" s="400"/>
      <c r="O280" s="400"/>
      <c r="P280" s="555"/>
      <c r="V280" s="544"/>
      <c r="AD280" s="10"/>
      <c r="AE280" s="10"/>
      <c r="AF280" s="551"/>
      <c r="AG280" s="551"/>
      <c r="AH280" s="551"/>
      <c r="AI280" s="551"/>
      <c r="AJ280" s="568"/>
      <c r="AK280" s="568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90"/>
      <c r="AW280" s="90"/>
      <c r="AX280" s="90"/>
      <c r="AY280" s="90"/>
      <c r="AZ280" s="568"/>
      <c r="BA280" s="574"/>
      <c r="BB280" s="574"/>
      <c r="BC280" s="568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</row>
    <row r="281" spans="2:79" x14ac:dyDescent="0.3">
      <c r="B281" s="544"/>
      <c r="C281" s="556"/>
      <c r="D281" s="546" t="s">
        <v>164</v>
      </c>
      <c r="E281" s="430"/>
      <c r="F281" s="430"/>
      <c r="G281" s="430"/>
      <c r="H281" s="605" t="s">
        <v>20</v>
      </c>
      <c r="I281" s="605"/>
      <c r="J281" s="605"/>
      <c r="K281" s="430"/>
      <c r="L281" s="430"/>
      <c r="M281" s="430"/>
      <c r="N281" s="430"/>
      <c r="O281" s="430"/>
      <c r="P281" s="557"/>
      <c r="V281" s="544"/>
      <c r="AD281" s="10"/>
      <c r="AE281" s="10"/>
      <c r="AF281" s="551"/>
      <c r="AG281" s="551"/>
      <c r="AH281" s="551"/>
      <c r="AI281" s="551"/>
      <c r="AJ281" s="568"/>
      <c r="AK281" s="568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90"/>
      <c r="AW281" s="90"/>
      <c r="AX281" s="90"/>
      <c r="AY281" s="90"/>
      <c r="AZ281" s="568"/>
      <c r="BA281" s="574"/>
      <c r="BB281" s="574"/>
      <c r="BC281" s="568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</row>
    <row r="282" spans="2:79" x14ac:dyDescent="0.3">
      <c r="B282" s="544"/>
      <c r="C282" s="556"/>
      <c r="D282" s="558" t="s">
        <v>165</v>
      </c>
      <c r="E282" s="430"/>
      <c r="F282" s="430"/>
      <c r="G282" s="430"/>
      <c r="H282" s="559" t="s">
        <v>162</v>
      </c>
      <c r="I282" s="546"/>
      <c r="J282" s="560" t="s">
        <v>163</v>
      </c>
      <c r="K282" s="546"/>
      <c r="L282" s="546"/>
      <c r="M282" s="546"/>
      <c r="N282" s="546"/>
      <c r="O282" s="561" t="s">
        <v>3</v>
      </c>
      <c r="P282" s="557"/>
      <c r="V282" s="544"/>
      <c r="AD282" s="10"/>
      <c r="AE282" s="10"/>
      <c r="AF282" s="551"/>
      <c r="AG282" s="551"/>
      <c r="AH282" s="551"/>
      <c r="AI282" s="551"/>
      <c r="AJ282" s="568"/>
      <c r="AK282" s="568"/>
      <c r="AL282" s="573"/>
      <c r="AM282" s="573"/>
      <c r="AN282" s="573"/>
      <c r="AO282" s="573"/>
      <c r="AP282" s="573"/>
      <c r="AQ282" s="573"/>
      <c r="AR282" s="573"/>
      <c r="AS282" s="573"/>
      <c r="AT282" s="573"/>
      <c r="AU282" s="573"/>
      <c r="AV282" s="568"/>
      <c r="AW282" s="568"/>
      <c r="AX282" s="568"/>
      <c r="AY282" s="568"/>
      <c r="AZ282" s="568"/>
      <c r="BA282" s="574"/>
      <c r="BB282" s="574"/>
      <c r="BC282" s="568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</row>
    <row r="283" spans="2:79" x14ac:dyDescent="0.3">
      <c r="B283" s="544"/>
      <c r="C283" s="556"/>
      <c r="D283" s="547" t="s">
        <v>161</v>
      </c>
      <c r="E283" s="15"/>
      <c r="F283" s="15"/>
      <c r="G283" s="15"/>
      <c r="H283" s="562">
        <f>SUM(D133:D139)</f>
        <v>471981</v>
      </c>
      <c r="I283" s="15"/>
      <c r="J283" s="16">
        <f>+H283/7</f>
        <v>67425.857142857145</v>
      </c>
      <c r="K283" s="15"/>
      <c r="L283" s="15"/>
      <c r="M283" s="15"/>
      <c r="N283" s="15"/>
      <c r="O283" s="15"/>
      <c r="P283" s="557"/>
      <c r="V283" s="544"/>
      <c r="AD283" s="10"/>
      <c r="AE283" s="10"/>
      <c r="AF283" s="551"/>
      <c r="AG283" s="551"/>
      <c r="AH283" s="551"/>
      <c r="AI283" s="551"/>
      <c r="AJ283" s="568"/>
      <c r="AK283" s="568"/>
      <c r="AL283" s="573"/>
      <c r="AM283" s="573"/>
      <c r="AN283" s="573"/>
      <c r="AO283" s="573"/>
      <c r="AP283" s="573"/>
      <c r="AQ283" s="573"/>
      <c r="AR283" s="573"/>
      <c r="AS283" s="573"/>
      <c r="AT283" s="573"/>
      <c r="AU283" s="573"/>
      <c r="AV283" s="573"/>
      <c r="AW283" s="573"/>
      <c r="AX283" s="573"/>
      <c r="AY283" s="573"/>
      <c r="AZ283" s="568"/>
      <c r="BA283" s="568"/>
      <c r="BB283" s="574"/>
      <c r="BC283" s="568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</row>
    <row r="284" spans="2:79" x14ac:dyDescent="0.3">
      <c r="B284" s="544"/>
      <c r="C284" s="556"/>
      <c r="D284" s="547" t="s">
        <v>160</v>
      </c>
      <c r="E284" s="15"/>
      <c r="F284" s="15"/>
      <c r="G284" s="15"/>
      <c r="H284" s="16">
        <f>SUM(D140:D146)</f>
        <v>427527</v>
      </c>
      <c r="I284" s="15"/>
      <c r="J284" s="16">
        <f>+H284/7</f>
        <v>61075.285714285717</v>
      </c>
      <c r="K284" s="15"/>
      <c r="L284" s="15"/>
      <c r="M284" s="15"/>
      <c r="N284" s="15"/>
      <c r="O284" s="15"/>
      <c r="P284" s="557"/>
      <c r="V284" s="544"/>
      <c r="AJ284" s="110"/>
      <c r="AK284" s="110"/>
      <c r="AL284" s="110"/>
      <c r="AM284" s="110"/>
      <c r="AN284" s="110"/>
      <c r="AO284" s="110"/>
      <c r="AP284" s="110"/>
      <c r="AQ284" s="110"/>
      <c r="AR284" s="110"/>
      <c r="AS284" s="110"/>
      <c r="AT284" s="90"/>
      <c r="AU284" s="110"/>
      <c r="AV284" s="152"/>
      <c r="AW284" s="152"/>
      <c r="AX284" s="152"/>
      <c r="AY284" s="152"/>
      <c r="AZ284" s="110"/>
      <c r="BA284" s="110"/>
      <c r="BB284" s="110"/>
      <c r="BC284" s="110"/>
    </row>
    <row r="285" spans="2:79" x14ac:dyDescent="0.3">
      <c r="B285" s="550"/>
      <c r="C285" s="556"/>
      <c r="D285" s="547" t="s">
        <v>159</v>
      </c>
      <c r="E285" s="15"/>
      <c r="F285" s="15"/>
      <c r="G285" s="15"/>
      <c r="H285" s="16">
        <f>SUM(D147:D153)</f>
        <v>383516</v>
      </c>
      <c r="I285" s="15"/>
      <c r="J285" s="16">
        <f>+H285/7</f>
        <v>54788</v>
      </c>
      <c r="K285" s="15"/>
      <c r="L285" s="15"/>
      <c r="M285" s="15"/>
      <c r="N285" s="15"/>
      <c r="O285" s="562">
        <f>+H283-H285</f>
        <v>88465</v>
      </c>
      <c r="P285" s="557"/>
      <c r="V285" s="544"/>
      <c r="AA285">
        <f>+O285/7</f>
        <v>12637.857142857143</v>
      </c>
      <c r="AJ285" s="110"/>
      <c r="AK285" s="110"/>
      <c r="AL285" s="110"/>
      <c r="AM285" s="110"/>
      <c r="AN285" s="110"/>
      <c r="AO285" s="110"/>
      <c r="AP285" s="110"/>
      <c r="AQ285" s="110"/>
      <c r="AR285" s="110"/>
      <c r="AS285" s="110"/>
      <c r="AT285" s="110"/>
      <c r="AU285" s="110"/>
      <c r="AV285" s="90"/>
      <c r="AW285" s="90"/>
      <c r="AX285" s="90"/>
      <c r="AY285" s="90"/>
      <c r="AZ285" s="110"/>
      <c r="BA285" s="153"/>
      <c r="BB285" s="110"/>
      <c r="BC285" s="110"/>
    </row>
    <row r="286" spans="2:79" x14ac:dyDescent="0.3">
      <c r="B286" s="551"/>
      <c r="C286" s="556"/>
      <c r="D286" s="563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60">
        <f>+O285/H283</f>
        <v>0.18743339244588236</v>
      </c>
      <c r="P286" s="557"/>
      <c r="V286" s="544"/>
      <c r="X286" s="61"/>
      <c r="Y286" s="61"/>
      <c r="Z286" s="110"/>
      <c r="AA286" s="110"/>
      <c r="AB286" s="110"/>
      <c r="AC286" s="110"/>
      <c r="AD286" s="110"/>
      <c r="AE286" s="110"/>
      <c r="AF286" s="110"/>
      <c r="AG286" s="110"/>
      <c r="AH286" s="110"/>
      <c r="AI286" s="110"/>
      <c r="AJ286" s="110"/>
      <c r="AK286" s="110"/>
      <c r="AL286" s="110"/>
      <c r="AM286" s="110"/>
      <c r="AN286" s="110"/>
      <c r="AO286" s="110"/>
      <c r="AP286" s="90">
        <v>480454</v>
      </c>
      <c r="AQ286" s="110"/>
      <c r="AR286" s="110"/>
      <c r="AS286" s="110"/>
      <c r="AT286" s="110"/>
      <c r="AU286" s="110"/>
      <c r="AV286" s="110"/>
      <c r="AW286" s="110"/>
      <c r="AX286" s="110"/>
      <c r="AY286" s="110"/>
      <c r="AZ286" s="110"/>
      <c r="BA286" s="110"/>
      <c r="BB286" s="110"/>
      <c r="BC286" s="110"/>
    </row>
    <row r="287" spans="2:79" ht="15" thickBot="1" x14ac:dyDescent="0.35">
      <c r="B287" s="551"/>
      <c r="C287" s="564"/>
      <c r="D287" s="565"/>
      <c r="E287" s="565"/>
      <c r="F287" s="565"/>
      <c r="G287" s="565"/>
      <c r="H287" s="565"/>
      <c r="I287" s="565"/>
      <c r="J287" s="566"/>
      <c r="K287" s="565"/>
      <c r="L287" s="565"/>
      <c r="M287" s="565"/>
      <c r="N287" s="565"/>
      <c r="O287" s="565"/>
      <c r="P287" s="567"/>
      <c r="V287" s="544"/>
      <c r="X287" s="61"/>
      <c r="Y287" s="61"/>
      <c r="Z287" s="110"/>
      <c r="AA287" s="110"/>
      <c r="AB287" s="110"/>
      <c r="AC287" s="110"/>
      <c r="AD287" s="110"/>
      <c r="AE287" s="110"/>
      <c r="AF287" s="110"/>
      <c r="AG287" s="110"/>
      <c r="AH287" s="110"/>
      <c r="AI287" s="110"/>
      <c r="AJ287" s="110"/>
      <c r="AK287" s="110"/>
      <c r="AL287" s="110"/>
      <c r="AM287" s="110"/>
      <c r="AN287" s="110"/>
      <c r="AO287" s="110"/>
      <c r="AP287" s="152">
        <f>+N201</f>
        <v>290088</v>
      </c>
      <c r="AQ287" s="110"/>
      <c r="AR287" s="110"/>
      <c r="AS287" s="110"/>
      <c r="AT287" s="110"/>
      <c r="AU287" s="110"/>
      <c r="AV287" s="110"/>
      <c r="AW287" s="110"/>
      <c r="AX287" s="110"/>
      <c r="AY287" s="110"/>
      <c r="AZ287" s="110"/>
      <c r="BA287" s="110"/>
      <c r="BB287" s="110"/>
      <c r="BC287" s="110"/>
    </row>
    <row r="288" spans="2:79" x14ac:dyDescent="0.3">
      <c r="B288" s="551"/>
      <c r="C288" s="544"/>
      <c r="D288" s="552"/>
      <c r="E288" s="544"/>
      <c r="F288" s="544"/>
      <c r="G288" s="544"/>
      <c r="H288" s="553"/>
      <c r="I288" s="544"/>
      <c r="J288" s="544"/>
      <c r="K288" s="544"/>
      <c r="L288" s="544"/>
      <c r="M288" s="544"/>
      <c r="N288" s="544"/>
      <c r="O288" s="544"/>
      <c r="P288" s="544"/>
      <c r="Q288" s="544"/>
      <c r="R288" s="544"/>
      <c r="S288" s="544"/>
      <c r="T288" s="544"/>
      <c r="U288" s="544"/>
      <c r="V288" s="544"/>
      <c r="X288" s="61"/>
      <c r="Y288" s="61"/>
      <c r="Z288" s="110"/>
      <c r="AA288" s="110"/>
      <c r="AB288" s="110"/>
      <c r="AC288" s="110"/>
      <c r="AD288" s="110"/>
      <c r="AE288" s="110"/>
      <c r="AF288" s="110"/>
      <c r="AG288" s="110"/>
      <c r="AH288" s="110"/>
      <c r="AI288" s="110"/>
      <c r="AJ288" s="110"/>
      <c r="AK288" s="110"/>
      <c r="AL288" s="110"/>
      <c r="AM288" s="110"/>
      <c r="AN288" s="110"/>
      <c r="AO288" s="110"/>
      <c r="AP288" s="152">
        <f>+AP286-AP287</f>
        <v>190366</v>
      </c>
      <c r="AQ288" s="110"/>
      <c r="AR288" s="110"/>
    </row>
    <row r="289" spans="2:61" x14ac:dyDescent="0.3">
      <c r="B289" s="1"/>
      <c r="D289" s="55"/>
      <c r="X289" s="61"/>
      <c r="Y289" s="61"/>
      <c r="Z289" s="110"/>
      <c r="AA289" s="110"/>
      <c r="AB289" s="110"/>
      <c r="AC289" s="110"/>
      <c r="AD289" s="110"/>
      <c r="AE289" s="110"/>
      <c r="AF289" s="110"/>
      <c r="AG289" s="110"/>
      <c r="AH289" s="110"/>
      <c r="AI289" s="110"/>
      <c r="AJ289" s="110"/>
      <c r="AK289" s="110"/>
      <c r="AL289" s="110"/>
      <c r="AM289" s="110"/>
      <c r="AN289" s="110"/>
      <c r="AO289" s="110"/>
      <c r="AP289" s="96">
        <f>+AP288/AP286</f>
        <v>0.3962210742339537</v>
      </c>
      <c r="AQ289" s="110"/>
      <c r="AR289" s="110"/>
    </row>
    <row r="290" spans="2:61" x14ac:dyDescent="0.3">
      <c r="B290" s="55"/>
      <c r="D290" s="55"/>
      <c r="J290" s="56">
        <f>+J283-J285</f>
        <v>12637.857142857145</v>
      </c>
      <c r="X290" s="61"/>
      <c r="Y290" s="61"/>
      <c r="Z290" s="110"/>
      <c r="AA290" s="110"/>
      <c r="AB290" s="110"/>
      <c r="AC290" s="110"/>
      <c r="AD290" s="110"/>
      <c r="AE290" s="110"/>
      <c r="AF290" s="110"/>
      <c r="AG290" s="110"/>
      <c r="AH290" s="110"/>
      <c r="AI290" s="110"/>
      <c r="AJ290" s="110"/>
      <c r="AK290" s="110"/>
      <c r="AL290" s="110"/>
      <c r="AM290" s="110"/>
      <c r="AN290" s="110"/>
      <c r="AO290" s="110"/>
      <c r="AP290" s="110"/>
      <c r="AQ290" s="110"/>
      <c r="AR290" s="110"/>
    </row>
    <row r="291" spans="2:61" x14ac:dyDescent="0.3">
      <c r="B291" s="57"/>
      <c r="D291" s="55"/>
      <c r="X291" s="61"/>
      <c r="Y291" s="61"/>
      <c r="Z291" s="110"/>
      <c r="AA291" s="110"/>
      <c r="AB291" s="110"/>
      <c r="AC291" s="110"/>
      <c r="AD291" s="110"/>
      <c r="AE291" s="110"/>
      <c r="AF291" s="110"/>
      <c r="AG291" s="110"/>
      <c r="AH291" s="110"/>
      <c r="AI291" s="110"/>
      <c r="AJ291" s="110"/>
      <c r="AK291" s="110"/>
      <c r="AL291" s="110"/>
      <c r="AM291" s="110"/>
      <c r="AN291" s="110"/>
      <c r="AO291" s="110"/>
      <c r="AP291" s="110"/>
      <c r="AQ291" s="110"/>
      <c r="AR291" s="110"/>
    </row>
    <row r="292" spans="2:61" x14ac:dyDescent="0.3">
      <c r="B292" s="1"/>
      <c r="D292" s="55"/>
      <c r="X292" s="61"/>
      <c r="Y292" s="61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0"/>
      <c r="AK292" s="110"/>
      <c r="AL292" s="110"/>
      <c r="AM292" s="110"/>
      <c r="AN292" s="110"/>
      <c r="AO292" s="110"/>
      <c r="AP292" s="110"/>
      <c r="AQ292" s="110"/>
      <c r="AR292" s="110"/>
    </row>
    <row r="293" spans="2:61" x14ac:dyDescent="0.3">
      <c r="B293" s="1"/>
      <c r="D293" s="55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</row>
    <row r="294" spans="2:61" x14ac:dyDescent="0.3">
      <c r="B294" s="1"/>
      <c r="D294" s="55"/>
      <c r="AT294" s="544"/>
      <c r="AU294" s="544"/>
      <c r="AV294" s="544"/>
      <c r="AW294" s="544"/>
      <c r="AX294" s="544"/>
      <c r="AY294" s="544"/>
      <c r="AZ294" s="544"/>
      <c r="BA294" s="544"/>
      <c r="BB294" s="544"/>
      <c r="BC294" s="544"/>
      <c r="BD294" s="544"/>
      <c r="BE294" s="544"/>
      <c r="BF294" s="544"/>
      <c r="BG294" s="544"/>
      <c r="BH294" s="544"/>
      <c r="BI294" s="544"/>
    </row>
    <row r="295" spans="2:61" ht="15.6" x14ac:dyDescent="0.3">
      <c r="B295" s="1"/>
      <c r="D295" s="55"/>
      <c r="AT295" s="544"/>
      <c r="AU295" s="578"/>
      <c r="AV295" s="579"/>
      <c r="AW295" s="579"/>
      <c r="AX295" s="579"/>
      <c r="AY295" s="579"/>
      <c r="AZ295" s="579"/>
      <c r="BA295" s="579"/>
      <c r="BB295" s="579"/>
      <c r="BC295" s="579"/>
      <c r="BD295" s="579"/>
      <c r="BE295" s="579" t="s">
        <v>174</v>
      </c>
      <c r="BF295" s="579"/>
      <c r="BG295" s="579" t="s">
        <v>2</v>
      </c>
      <c r="BH295" s="578"/>
      <c r="BI295" s="544"/>
    </row>
    <row r="296" spans="2:61" ht="16.2" thickBot="1" x14ac:dyDescent="0.35">
      <c r="B296" s="57" t="e">
        <f>+B295/B294</f>
        <v>#DIV/0!</v>
      </c>
      <c r="D296" s="55"/>
      <c r="AT296" s="544"/>
      <c r="AU296" s="578"/>
      <c r="AV296" s="588" t="s">
        <v>173</v>
      </c>
      <c r="AW296" s="588"/>
      <c r="AX296" s="588"/>
      <c r="AY296" s="579"/>
      <c r="AZ296" s="579"/>
      <c r="BA296" s="580" t="s">
        <v>20</v>
      </c>
      <c r="BB296" s="579"/>
      <c r="BC296" s="580" t="s">
        <v>3</v>
      </c>
      <c r="BD296" s="579"/>
      <c r="BE296" s="580" t="s">
        <v>73</v>
      </c>
      <c r="BF296" s="579"/>
      <c r="BG296" s="580" t="s">
        <v>73</v>
      </c>
      <c r="BH296" s="578"/>
      <c r="BI296" s="544"/>
    </row>
    <row r="297" spans="2:61" ht="21" x14ac:dyDescent="0.4">
      <c r="B297" s="1"/>
      <c r="D297" s="55"/>
      <c r="AT297" s="544"/>
      <c r="AU297" s="578"/>
      <c r="AV297" s="581" t="s">
        <v>158</v>
      </c>
      <c r="AW297" s="578"/>
      <c r="AX297" s="582"/>
      <c r="AY297" s="578"/>
      <c r="AZ297" s="578"/>
      <c r="BA297" s="583">
        <f>+N143</f>
        <v>1970617</v>
      </c>
      <c r="BB297" s="582"/>
      <c r="BC297" s="582"/>
      <c r="BD297" s="582"/>
      <c r="BE297" s="582"/>
      <c r="BF297" s="582"/>
      <c r="BG297" s="582"/>
      <c r="BH297" s="578"/>
      <c r="BI297" s="544"/>
    </row>
    <row r="298" spans="2:61" ht="21" x14ac:dyDescent="0.4">
      <c r="B298" s="1"/>
      <c r="D298" s="55"/>
      <c r="AT298" s="544"/>
      <c r="AU298" s="578"/>
      <c r="AV298" s="581" t="s">
        <v>169</v>
      </c>
      <c r="AW298" s="578"/>
      <c r="AX298" s="582"/>
      <c r="AY298" s="578"/>
      <c r="AZ298" s="578"/>
      <c r="BA298" s="583">
        <f>+N174</f>
        <v>1493931</v>
      </c>
      <c r="BB298" s="582"/>
      <c r="BC298" s="583">
        <f>+BA298-BA297</f>
        <v>-476686</v>
      </c>
      <c r="BD298" s="582"/>
      <c r="BE298" s="584">
        <f>+BC298/BA297</f>
        <v>-0.24189682723735764</v>
      </c>
      <c r="BF298" s="582"/>
      <c r="BG298" s="582"/>
      <c r="BH298" s="578"/>
      <c r="BI298" s="544"/>
    </row>
    <row r="299" spans="2:61" ht="21" x14ac:dyDescent="0.4">
      <c r="B299" s="1">
        <f>+B295*50</f>
        <v>0</v>
      </c>
      <c r="D299" s="55"/>
      <c r="AT299" s="544"/>
      <c r="AU299" s="578"/>
      <c r="AV299" s="581" t="s">
        <v>170</v>
      </c>
      <c r="AW299" s="578"/>
      <c r="AX299" s="582"/>
      <c r="AY299" s="578"/>
      <c r="AZ299" s="578"/>
      <c r="BA299" s="583">
        <f>+N204</f>
        <v>1202331</v>
      </c>
      <c r="BB299" s="582"/>
      <c r="BC299" s="583">
        <f>+BA299-BA298</f>
        <v>-291600</v>
      </c>
      <c r="BD299" s="582"/>
      <c r="BE299" s="584">
        <f t="shared" ref="BE299:BE300" si="367">+BC299/BA298</f>
        <v>-0.19518973767864781</v>
      </c>
      <c r="BF299" s="582"/>
      <c r="BG299" s="582"/>
      <c r="BH299" s="578"/>
      <c r="BI299" s="544"/>
    </row>
    <row r="300" spans="2:61" ht="21" x14ac:dyDescent="0.4">
      <c r="B300" s="1"/>
      <c r="D300" s="55"/>
      <c r="AT300" s="544"/>
      <c r="AU300" s="578"/>
      <c r="AV300" s="581" t="s">
        <v>171</v>
      </c>
      <c r="AW300" s="578"/>
      <c r="AX300" s="582"/>
      <c r="AY300" s="578"/>
      <c r="AZ300" s="585" t="s">
        <v>28</v>
      </c>
      <c r="BA300" s="583">
        <f>+N218</f>
        <v>371489</v>
      </c>
      <c r="BB300" s="582"/>
      <c r="BC300" s="583">
        <f>+BA300-BA299</f>
        <v>-830842</v>
      </c>
      <c r="BD300" s="582"/>
      <c r="BE300" s="584">
        <f t="shared" si="367"/>
        <v>-0.69102601529861574</v>
      </c>
      <c r="BF300" s="582"/>
      <c r="BG300" s="584">
        <f>+(BA300-BA297)/BA297</f>
        <v>-0.81148594577231392</v>
      </c>
      <c r="BH300" s="578"/>
      <c r="BI300" s="544"/>
    </row>
    <row r="301" spans="2:61" x14ac:dyDescent="0.3">
      <c r="B301" s="1"/>
      <c r="D301" s="55"/>
      <c r="AT301" s="544"/>
      <c r="AU301" s="578"/>
      <c r="AV301" s="578"/>
      <c r="AW301" s="578"/>
      <c r="AX301" s="578"/>
      <c r="AY301" s="578"/>
      <c r="AZ301" s="578"/>
      <c r="BA301" s="578"/>
      <c r="BB301" s="578"/>
      <c r="BC301" s="578"/>
      <c r="BD301" s="578"/>
      <c r="BE301" s="578"/>
      <c r="BF301" s="578"/>
      <c r="BG301" s="578"/>
      <c r="BH301" s="578"/>
      <c r="BI301" s="544"/>
    </row>
    <row r="302" spans="2:61" ht="16.2" x14ac:dyDescent="0.3">
      <c r="B302" s="1"/>
      <c r="D302" s="55"/>
      <c r="AT302" s="544"/>
      <c r="AU302" s="578"/>
      <c r="AV302" s="578"/>
      <c r="AW302" s="578"/>
      <c r="AX302" s="586" t="s">
        <v>28</v>
      </c>
      <c r="AY302" s="578"/>
      <c r="AZ302" s="587" t="s">
        <v>172</v>
      </c>
      <c r="BA302" s="578"/>
      <c r="BB302" s="578"/>
      <c r="BC302" s="578"/>
      <c r="BD302" s="578"/>
      <c r="BE302" s="578"/>
      <c r="BF302" s="578"/>
      <c r="BG302" s="578"/>
      <c r="BH302" s="578"/>
      <c r="BI302" s="544"/>
    </row>
    <row r="303" spans="2:61" x14ac:dyDescent="0.3">
      <c r="B303" s="1"/>
      <c r="D303" s="55"/>
      <c r="AT303" s="544"/>
      <c r="AU303" s="578"/>
      <c r="AV303" s="578"/>
      <c r="AW303" s="578"/>
      <c r="AX303" s="578"/>
      <c r="AY303" s="578"/>
      <c r="AZ303" s="578"/>
      <c r="BA303" s="578"/>
      <c r="BB303" s="578"/>
      <c r="BC303" s="578"/>
      <c r="BD303" s="578"/>
      <c r="BE303" s="578"/>
      <c r="BF303" s="578"/>
      <c r="BG303" s="578"/>
      <c r="BH303" s="578"/>
      <c r="BI303" s="544"/>
    </row>
    <row r="304" spans="2:61" x14ac:dyDescent="0.3">
      <c r="B304" s="1"/>
      <c r="D304" s="55"/>
      <c r="AT304" s="577"/>
      <c r="AU304" s="577"/>
      <c r="AV304" s="577"/>
      <c r="AW304" s="577"/>
      <c r="AX304" s="577"/>
      <c r="AY304" s="577"/>
      <c r="AZ304" s="577"/>
      <c r="BA304" s="577"/>
      <c r="BB304" s="577"/>
      <c r="BC304" s="577"/>
      <c r="BD304" s="577"/>
      <c r="BE304" s="577"/>
      <c r="BF304" s="577"/>
      <c r="BG304" s="577"/>
      <c r="BH304" s="577"/>
      <c r="BI304" s="577"/>
    </row>
    <row r="305" spans="2:4" x14ac:dyDescent="0.3">
      <c r="B305" s="1"/>
      <c r="D305" s="55"/>
    </row>
    <row r="306" spans="2:4" x14ac:dyDescent="0.3">
      <c r="B306" s="1"/>
      <c r="D306" s="55"/>
    </row>
    <row r="307" spans="2:4" x14ac:dyDescent="0.3">
      <c r="B307" s="1"/>
      <c r="D307" s="55"/>
    </row>
    <row r="308" spans="2:4" x14ac:dyDescent="0.3">
      <c r="B308" s="1"/>
      <c r="D308" s="55"/>
    </row>
    <row r="309" spans="2:4" x14ac:dyDescent="0.3">
      <c r="B309" s="1"/>
    </row>
    <row r="310" spans="2:4" x14ac:dyDescent="0.3">
      <c r="B310" s="1"/>
    </row>
    <row r="311" spans="2:4" x14ac:dyDescent="0.3">
      <c r="B311" s="1"/>
    </row>
    <row r="312" spans="2:4" x14ac:dyDescent="0.3">
      <c r="B312" s="1"/>
    </row>
    <row r="313" spans="2:4" x14ac:dyDescent="0.3">
      <c r="B313" s="1"/>
    </row>
    <row r="314" spans="2:4" x14ac:dyDescent="0.3">
      <c r="B314" s="1"/>
    </row>
    <row r="315" spans="2:4" x14ac:dyDescent="0.3">
      <c r="B315" s="1"/>
    </row>
    <row r="316" spans="2:4" x14ac:dyDescent="0.3">
      <c r="B316" s="1"/>
    </row>
  </sheetData>
  <mergeCells count="29">
    <mergeCell ref="AK252:AN252"/>
    <mergeCell ref="AK251:AV251"/>
    <mergeCell ref="AK253:AN253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V296:AX296"/>
    <mergeCell ref="AK254:AN254"/>
    <mergeCell ref="AK255:AN255"/>
    <mergeCell ref="AK256:AN256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H281:J281"/>
    <mergeCell ref="AK258:AN258"/>
    <mergeCell ref="AK259:AM259"/>
  </mergeCells>
  <printOptions horizontalCentered="1"/>
  <pageMargins left="0.45" right="0.45" top="0.5" bottom="0.5" header="0.3" footer="0.3"/>
  <pageSetup scale="19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244"/>
  <sheetViews>
    <sheetView topLeftCell="A188" workbookViewId="0">
      <selection activeCell="AJ19" sqref="AJ19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25" t="s">
        <v>7</v>
      </c>
      <c r="F7" s="626"/>
      <c r="G7" s="630">
        <v>0.7</v>
      </c>
      <c r="H7" s="630"/>
      <c r="I7" s="630"/>
      <c r="J7" s="630"/>
      <c r="K7" s="630"/>
      <c r="L7" s="630"/>
      <c r="M7" s="630"/>
      <c r="N7" s="630"/>
      <c r="O7" s="630"/>
      <c r="P7" s="630"/>
      <c r="Q7" s="630"/>
      <c r="R7" s="630"/>
      <c r="S7" s="630"/>
      <c r="T7" s="630"/>
      <c r="U7" s="631"/>
    </row>
    <row r="8" spans="3:40" x14ac:dyDescent="0.3">
      <c r="E8" s="627" t="s">
        <v>123</v>
      </c>
      <c r="F8" s="628"/>
      <c r="G8" s="628"/>
      <c r="H8" s="628"/>
      <c r="I8" s="628"/>
      <c r="J8" s="628"/>
      <c r="K8" s="628"/>
      <c r="L8" s="628"/>
      <c r="M8" s="628"/>
      <c r="N8" s="628"/>
      <c r="O8" s="628"/>
      <c r="P8" s="628"/>
      <c r="Q8" s="628"/>
      <c r="R8" s="628"/>
      <c r="S8" s="628"/>
      <c r="T8" s="628"/>
      <c r="U8" s="629"/>
    </row>
    <row r="9" spans="3:40" x14ac:dyDescent="0.3">
      <c r="E9" s="645" t="s">
        <v>37</v>
      </c>
      <c r="F9" s="646"/>
      <c r="G9" s="646"/>
      <c r="H9" s="646"/>
      <c r="I9" s="646"/>
      <c r="J9" s="646"/>
      <c r="K9" s="646"/>
      <c r="L9" s="646"/>
      <c r="M9" s="646"/>
      <c r="N9" s="646"/>
      <c r="O9" s="646"/>
      <c r="P9" s="647"/>
      <c r="Q9" s="643" t="s">
        <v>116</v>
      </c>
      <c r="R9" s="5"/>
      <c r="S9" s="640" t="s">
        <v>4</v>
      </c>
      <c r="T9" s="641"/>
      <c r="U9" s="642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44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37" t="s">
        <v>48</v>
      </c>
      <c r="AE14" s="638"/>
      <c r="AF14" s="639"/>
      <c r="AG14" s="206"/>
      <c r="AH14" s="635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36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+K232</f>
        <v>766758</v>
      </c>
      <c r="AG16" s="200"/>
      <c r="AH16" s="214">
        <f>+AJ31</f>
        <v>2364.9245764033662</v>
      </c>
      <c r="AI16" s="214"/>
      <c r="AJ16" s="215">
        <f>+S232</f>
        <v>54110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143660</v>
      </c>
      <c r="AG17" s="201"/>
      <c r="AH17" s="162">
        <v>2084</v>
      </c>
      <c r="AI17" s="214"/>
      <c r="AJ17" s="161">
        <v>9737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186754</v>
      </c>
      <c r="AG18" s="201"/>
      <c r="AH18" s="162">
        <v>1459</v>
      </c>
      <c r="AI18" s="214"/>
      <c r="AJ18" s="161">
        <v>8465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1097172</v>
      </c>
      <c r="AG19" s="201"/>
      <c r="AH19" s="201"/>
      <c r="AI19" s="201"/>
      <c r="AJ19" s="219">
        <f>SUM(AJ16:AJ18)</f>
        <v>72312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Table'!H238</f>
        <v>0.13083369256278765</v>
      </c>
      <c r="AG21" s="201"/>
      <c r="AH21" s="201"/>
      <c r="AI21" s="201"/>
      <c r="AJ21" s="221">
        <f>+AJ19/'Main Table'!AA238</f>
        <v>0.3217985688347752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37" t="s">
        <v>133</v>
      </c>
      <c r="AB25" s="638"/>
      <c r="AC25" s="638"/>
      <c r="AD25" s="638"/>
      <c r="AE25" s="638"/>
      <c r="AF25" s="638"/>
      <c r="AG25" s="638"/>
      <c r="AH25" s="638"/>
      <c r="AI25" s="638"/>
      <c r="AJ25" s="638"/>
      <c r="AK25" s="639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+E232</f>
        <v>484281</v>
      </c>
      <c r="AE27" s="168"/>
      <c r="AF27" s="199">
        <v>2482</v>
      </c>
      <c r="AG27" s="168"/>
      <c r="AH27" s="190">
        <f>+AD27/AD$31</f>
        <v>0.53193258481269046</v>
      </c>
      <c r="AI27" s="190"/>
      <c r="AJ27" s="168">
        <f>+AF27*AH27</f>
        <v>1320.2566755050977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+G232</f>
        <v>219647</v>
      </c>
      <c r="AE28" s="168"/>
      <c r="AF28" s="199">
        <v>2463</v>
      </c>
      <c r="AG28" s="168"/>
      <c r="AH28" s="190">
        <f>+AD28/AD$31</f>
        <v>0.24125950936822427</v>
      </c>
      <c r="AI28" s="190"/>
      <c r="AJ28" s="168">
        <f>+AF28*AH28</f>
        <v>594.22217157393641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+I232</f>
        <v>62830</v>
      </c>
      <c r="AE29" s="168"/>
      <c r="AF29" s="199">
        <v>1762</v>
      </c>
      <c r="AG29" s="168"/>
      <c r="AH29" s="190">
        <f>+AD29/AD$31</f>
        <v>6.9012255908824302E-2</v>
      </c>
      <c r="AI29" s="190"/>
      <c r="AJ29" s="168">
        <f>+AF29*AH29</f>
        <v>121.59959491134842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143660</v>
      </c>
      <c r="AE30" s="280"/>
      <c r="AF30" s="168">
        <f>+AH17</f>
        <v>2084</v>
      </c>
      <c r="AG30" s="280"/>
      <c r="AH30" s="190">
        <f>+AD30/AD$31</f>
        <v>0.15779564991026099</v>
      </c>
      <c r="AI30" s="280"/>
      <c r="AJ30" s="168">
        <f>+AF30*AH30</f>
        <v>328.84613441298387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910418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2364.9245764033662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32" t="s">
        <v>31</v>
      </c>
      <c r="AB36" s="633"/>
      <c r="AC36" s="633"/>
      <c r="AD36" s="633"/>
      <c r="AE36" s="633"/>
      <c r="AF36" s="633"/>
      <c r="AG36" s="633"/>
      <c r="AH36" s="633"/>
      <c r="AI36" s="634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Table'!AA238</f>
        <v>224712</v>
      </c>
      <c r="AJ49" s="56">
        <f>+AJ19</f>
        <v>72312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72312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152400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64008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88392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0.39335683007583039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230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230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:K183" si="33">SUM(E166:I166)</f>
        <v>670750</v>
      </c>
      <c r="L166" s="6"/>
      <c r="M166" s="481">
        <f t="shared" ref="M166:M183" si="34">+(K166-K165)/K165</f>
        <v>1.0745787502052147E-3</v>
      </c>
      <c r="N166" s="29"/>
      <c r="O166" s="29"/>
      <c r="P166" s="29"/>
      <c r="Q166" s="375">
        <f t="shared" ref="Q166:Q183" si="35">+K166-K165</f>
        <v>720</v>
      </c>
      <c r="R166" s="6"/>
      <c r="S166" s="7">
        <f>32883+15946+4460</f>
        <v>53289</v>
      </c>
      <c r="T166" s="6"/>
      <c r="U166" s="286">
        <f t="shared" ref="U166:U183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si="33"/>
        <v>671876</v>
      </c>
      <c r="L167" s="6"/>
      <c r="M167" s="481">
        <f t="shared" si="34"/>
        <v>1.6787178531494596E-3</v>
      </c>
      <c r="N167" s="29"/>
      <c r="O167" s="29"/>
      <c r="P167" s="29"/>
      <c r="Q167" s="375">
        <f t="shared" si="35"/>
        <v>1126</v>
      </c>
      <c r="R167" s="6"/>
      <c r="S167" s="7">
        <f>32887+15946+4460</f>
        <v>53293</v>
      </c>
      <c r="T167" s="6"/>
      <c r="U167" s="286">
        <f t="shared" si="36"/>
        <v>7.931969589626657E-2</v>
      </c>
      <c r="W167">
        <f t="shared" si="20"/>
        <v>157</v>
      </c>
      <c r="Y167" s="56"/>
    </row>
    <row r="168" spans="3:25" x14ac:dyDescent="0.3">
      <c r="C168" s="170">
        <f t="shared" si="15"/>
        <v>44067</v>
      </c>
      <c r="E168" s="284">
        <v>430774</v>
      </c>
      <c r="F168" s="7"/>
      <c r="G168" s="7">
        <v>190021</v>
      </c>
      <c r="H168" s="7"/>
      <c r="I168" s="7">
        <v>52040</v>
      </c>
      <c r="J168" s="287"/>
      <c r="K168" s="7">
        <f t="shared" si="33"/>
        <v>672835</v>
      </c>
      <c r="L168" s="6"/>
      <c r="M168" s="481">
        <f t="shared" si="34"/>
        <v>1.427346712786288E-3</v>
      </c>
      <c r="N168" s="29"/>
      <c r="O168" s="29"/>
      <c r="P168" s="29"/>
      <c r="Q168" s="375">
        <f t="shared" si="35"/>
        <v>959</v>
      </c>
      <c r="R168" s="6"/>
      <c r="S168" s="7">
        <f>32918+15953+4463</f>
        <v>53334</v>
      </c>
      <c r="T168" s="6"/>
      <c r="U168" s="286">
        <f t="shared" si="36"/>
        <v>7.9267576746156185E-2</v>
      </c>
      <c r="W168">
        <f t="shared" si="20"/>
        <v>158</v>
      </c>
      <c r="Y168" s="56"/>
    </row>
    <row r="169" spans="3:25" x14ac:dyDescent="0.3">
      <c r="C169" s="170">
        <f t="shared" si="15"/>
        <v>44068</v>
      </c>
      <c r="E169" s="284">
        <v>431340</v>
      </c>
      <c r="F169" s="7"/>
      <c r="G169" s="7">
        <v>190306</v>
      </c>
      <c r="H169" s="7"/>
      <c r="I169" s="7">
        <v>52220</v>
      </c>
      <c r="J169" s="287"/>
      <c r="K169" s="7">
        <f t="shared" si="33"/>
        <v>673866</v>
      </c>
      <c r="L169" s="6"/>
      <c r="M169" s="481">
        <f t="shared" si="34"/>
        <v>1.5323221889467699E-3</v>
      </c>
      <c r="N169" s="29"/>
      <c r="O169" s="29"/>
      <c r="P169" s="29"/>
      <c r="Q169" s="375">
        <f t="shared" si="35"/>
        <v>1031</v>
      </c>
      <c r="R169" s="6"/>
      <c r="S169" s="7">
        <f>32921+15914+4463</f>
        <v>53298</v>
      </c>
      <c r="T169" s="6"/>
      <c r="U169" s="286">
        <f t="shared" si="36"/>
        <v>7.9092876031733317E-2</v>
      </c>
      <c r="W169">
        <f t="shared" si="20"/>
        <v>159</v>
      </c>
      <c r="Y169" s="56"/>
    </row>
    <row r="170" spans="3:25" x14ac:dyDescent="0.3">
      <c r="C170" s="170">
        <f t="shared" si="15"/>
        <v>44069</v>
      </c>
      <c r="E170" s="284">
        <v>431750</v>
      </c>
      <c r="F170" s="7"/>
      <c r="G170" s="7">
        <v>190422</v>
      </c>
      <c r="H170" s="7"/>
      <c r="I170" s="7">
        <v>52280</v>
      </c>
      <c r="J170" s="287"/>
      <c r="K170" s="7">
        <f t="shared" si="33"/>
        <v>674452</v>
      </c>
      <c r="L170" s="6"/>
      <c r="M170" s="481">
        <f t="shared" si="34"/>
        <v>8.6960909142173664E-4</v>
      </c>
      <c r="N170" s="29"/>
      <c r="O170" s="29"/>
      <c r="P170" s="29"/>
      <c r="Q170" s="375">
        <f t="shared" si="35"/>
        <v>586</v>
      </c>
      <c r="R170" s="6"/>
      <c r="S170" s="7">
        <f>32921+15914+4463</f>
        <v>53298</v>
      </c>
      <c r="T170" s="6"/>
      <c r="U170" s="286">
        <f t="shared" si="36"/>
        <v>7.9024155907314389E-2</v>
      </c>
      <c r="W170">
        <f t="shared" si="20"/>
        <v>160</v>
      </c>
      <c r="Y170" s="56"/>
    </row>
    <row r="171" spans="3:25" x14ac:dyDescent="0.3">
      <c r="C171" s="170">
        <f t="shared" si="15"/>
        <v>44070</v>
      </c>
      <c r="E171" s="284">
        <v>432131</v>
      </c>
      <c r="F171" s="7"/>
      <c r="G171" s="7">
        <v>190613</v>
      </c>
      <c r="H171" s="7"/>
      <c r="I171" s="7">
        <v>52350</v>
      </c>
      <c r="J171" s="287"/>
      <c r="K171" s="7">
        <f t="shared" si="33"/>
        <v>675094</v>
      </c>
      <c r="L171" s="6"/>
      <c r="M171" s="481">
        <f t="shared" si="34"/>
        <v>9.5188389981792627E-4</v>
      </c>
      <c r="N171" s="29"/>
      <c r="O171" s="29"/>
      <c r="P171" s="29"/>
      <c r="Q171" s="375">
        <f t="shared" si="35"/>
        <v>642</v>
      </c>
      <c r="R171" s="6"/>
      <c r="S171" s="7">
        <f>32926+15921+4465</f>
        <v>53312</v>
      </c>
      <c r="T171" s="6"/>
      <c r="U171" s="286">
        <f t="shared" si="36"/>
        <v>7.8969743472760826E-2</v>
      </c>
      <c r="W171">
        <f t="shared" si="20"/>
        <v>161</v>
      </c>
      <c r="Y171" s="56"/>
    </row>
    <row r="172" spans="3:25" x14ac:dyDescent="0.3">
      <c r="C172" s="170">
        <f t="shared" si="15"/>
        <v>44071</v>
      </c>
      <c r="E172" s="284">
        <v>432767</v>
      </c>
      <c r="F172" s="7"/>
      <c r="G172" s="7">
        <v>190971</v>
      </c>
      <c r="H172" s="7"/>
      <c r="I172" s="7">
        <v>52495</v>
      </c>
      <c r="J172" s="287"/>
      <c r="K172" s="7">
        <f t="shared" si="33"/>
        <v>676233</v>
      </c>
      <c r="L172" s="6"/>
      <c r="M172" s="481">
        <f t="shared" si="34"/>
        <v>1.687172453021357E-3</v>
      </c>
      <c r="N172" s="29"/>
      <c r="O172" s="29"/>
      <c r="P172" s="29"/>
      <c r="Q172" s="375">
        <f t="shared" si="35"/>
        <v>1139</v>
      </c>
      <c r="R172" s="6"/>
      <c r="S172" s="7">
        <f>32934+15930+4465</f>
        <v>53329</v>
      </c>
      <c r="T172" s="6"/>
      <c r="U172" s="286">
        <f t="shared" si="36"/>
        <v>7.8861871573851022E-2</v>
      </c>
      <c r="W172">
        <f t="shared" si="20"/>
        <v>162</v>
      </c>
      <c r="Y172" s="56"/>
    </row>
    <row r="173" spans="3:25" x14ac:dyDescent="0.3">
      <c r="C173" s="170">
        <f t="shared" si="15"/>
        <v>44072</v>
      </c>
      <c r="E173" s="284">
        <v>433402</v>
      </c>
      <c r="F173" s="7"/>
      <c r="G173" s="7">
        <v>191420</v>
      </c>
      <c r="H173" s="7"/>
      <c r="I173" s="7">
        <v>52495</v>
      </c>
      <c r="J173" s="287"/>
      <c r="K173" s="7">
        <f t="shared" si="33"/>
        <v>677317</v>
      </c>
      <c r="L173" s="6"/>
      <c r="M173" s="481">
        <f t="shared" si="34"/>
        <v>1.6029977833084158E-3</v>
      </c>
      <c r="N173" s="29"/>
      <c r="O173" s="29"/>
      <c r="P173" s="29"/>
      <c r="Q173" s="375">
        <f t="shared" si="35"/>
        <v>1084</v>
      </c>
      <c r="R173" s="6"/>
      <c r="S173" s="7">
        <f>32938+15933+4465</f>
        <v>53336</v>
      </c>
      <c r="T173" s="6"/>
      <c r="U173" s="286">
        <f t="shared" si="36"/>
        <v>7.8745993382714444E-2</v>
      </c>
      <c r="W173">
        <f t="shared" si="20"/>
        <v>163</v>
      </c>
      <c r="Y173" s="56"/>
    </row>
    <row r="174" spans="3:25" x14ac:dyDescent="0.3">
      <c r="C174" s="170">
        <f t="shared" si="15"/>
        <v>44073</v>
      </c>
      <c r="E174" s="284">
        <v>434100</v>
      </c>
      <c r="F174" s="7"/>
      <c r="G174" s="7">
        <v>191611</v>
      </c>
      <c r="H174" s="7"/>
      <c r="I174" s="7">
        <v>52495</v>
      </c>
      <c r="J174" s="287"/>
      <c r="K174" s="7">
        <f t="shared" si="33"/>
        <v>678206</v>
      </c>
      <c r="L174" s="6"/>
      <c r="M174" s="481">
        <f t="shared" si="34"/>
        <v>1.3125316506155907E-3</v>
      </c>
      <c r="N174" s="29"/>
      <c r="O174" s="29"/>
      <c r="P174" s="29"/>
      <c r="Q174" s="375">
        <f t="shared" si="35"/>
        <v>889</v>
      </c>
      <c r="R174" s="6"/>
      <c r="S174" s="7">
        <f>32948+15934+4465</f>
        <v>53347</v>
      </c>
      <c r="T174" s="6"/>
      <c r="U174" s="286">
        <f t="shared" si="36"/>
        <v>7.8658991515852122E-2</v>
      </c>
      <c r="W174">
        <f t="shared" si="20"/>
        <v>164</v>
      </c>
      <c r="Y174" s="56"/>
    </row>
    <row r="175" spans="3:25" x14ac:dyDescent="0.3">
      <c r="C175" s="170">
        <f t="shared" si="15"/>
        <v>44074</v>
      </c>
      <c r="E175" s="284">
        <v>434756</v>
      </c>
      <c r="F175" s="7"/>
      <c r="G175" s="7">
        <v>191960</v>
      </c>
      <c r="H175" s="7"/>
      <c r="I175" s="7">
        <v>52879</v>
      </c>
      <c r="J175" s="287"/>
      <c r="K175" s="7">
        <f t="shared" si="33"/>
        <v>679595</v>
      </c>
      <c r="L175" s="6"/>
      <c r="M175" s="481">
        <f t="shared" si="34"/>
        <v>2.0480502974022643E-3</v>
      </c>
      <c r="N175" s="29"/>
      <c r="O175" s="29"/>
      <c r="P175" s="29"/>
      <c r="Q175" s="375">
        <f t="shared" si="35"/>
        <v>1389</v>
      </c>
      <c r="R175" s="6"/>
      <c r="S175" s="7">
        <f>32957+15945+4465</f>
        <v>53367</v>
      </c>
      <c r="T175" s="6"/>
      <c r="U175" s="286">
        <f t="shared" si="36"/>
        <v>7.8527652498914802E-2</v>
      </c>
      <c r="W175">
        <f t="shared" si="20"/>
        <v>165</v>
      </c>
      <c r="Y175" s="56"/>
    </row>
    <row r="176" spans="3:25" x14ac:dyDescent="0.3">
      <c r="C176" s="170">
        <f t="shared" si="15"/>
        <v>44075</v>
      </c>
      <c r="E176" s="284">
        <v>435510</v>
      </c>
      <c r="F176" s="7"/>
      <c r="G176" s="7">
        <v>192290</v>
      </c>
      <c r="H176" s="7"/>
      <c r="I176" s="7">
        <v>53006</v>
      </c>
      <c r="J176" s="287"/>
      <c r="K176" s="7">
        <f t="shared" si="33"/>
        <v>680806</v>
      </c>
      <c r="L176" s="6"/>
      <c r="M176" s="481">
        <f t="shared" si="34"/>
        <v>1.7819436576196118E-3</v>
      </c>
      <c r="N176" s="29"/>
      <c r="O176" s="29"/>
      <c r="P176" s="29"/>
      <c r="Q176" s="375">
        <f t="shared" si="35"/>
        <v>1211</v>
      </c>
      <c r="R176" s="6"/>
      <c r="S176" s="7">
        <f>32966+15950+4466</f>
        <v>53382</v>
      </c>
      <c r="T176" s="6"/>
      <c r="U176" s="286">
        <f t="shared" si="36"/>
        <v>7.8410002262024714E-2</v>
      </c>
      <c r="W176">
        <f t="shared" si="20"/>
        <v>166</v>
      </c>
      <c r="Y176" s="56"/>
    </row>
    <row r="177" spans="3:25" x14ac:dyDescent="0.3">
      <c r="C177" s="170">
        <f t="shared" si="15"/>
        <v>44076</v>
      </c>
      <c r="E177" s="284">
        <v>436218</v>
      </c>
      <c r="F177" s="7"/>
      <c r="G177" s="7">
        <v>192595</v>
      </c>
      <c r="H177" s="7"/>
      <c r="I177" s="7">
        <v>53108</v>
      </c>
      <c r="J177" s="287"/>
      <c r="K177" s="7">
        <f t="shared" si="33"/>
        <v>681921</v>
      </c>
      <c r="L177" s="6"/>
      <c r="M177" s="481">
        <f t="shared" si="34"/>
        <v>1.6377646495477419E-3</v>
      </c>
      <c r="N177" s="29"/>
      <c r="O177" s="29"/>
      <c r="P177" s="29"/>
      <c r="Q177" s="375">
        <f t="shared" si="35"/>
        <v>1115</v>
      </c>
      <c r="R177" s="6"/>
      <c r="S177" s="7">
        <f>32972+15964+4467</f>
        <v>53403</v>
      </c>
      <c r="T177" s="6"/>
      <c r="U177" s="286">
        <f t="shared" si="36"/>
        <v>7.8312590461358425E-2</v>
      </c>
      <c r="W177">
        <f t="shared" si="20"/>
        <v>167</v>
      </c>
      <c r="Y177" s="56"/>
    </row>
    <row r="178" spans="3:25" x14ac:dyDescent="0.3">
      <c r="C178" s="170">
        <f t="shared" si="15"/>
        <v>44077</v>
      </c>
      <c r="E178" s="284">
        <v>437107</v>
      </c>
      <c r="F178" s="7"/>
      <c r="G178" s="7">
        <v>192973</v>
      </c>
      <c r="H178" s="7"/>
      <c r="I178" s="7">
        <v>53209</v>
      </c>
      <c r="J178" s="287"/>
      <c r="K178" s="7">
        <f t="shared" si="33"/>
        <v>683289</v>
      </c>
      <c r="L178" s="6"/>
      <c r="M178" s="481">
        <f t="shared" si="34"/>
        <v>2.0060974804999407E-3</v>
      </c>
      <c r="N178" s="29"/>
      <c r="O178" s="29"/>
      <c r="P178" s="29"/>
      <c r="Q178" s="375">
        <f t="shared" si="35"/>
        <v>1368</v>
      </c>
      <c r="R178" s="6"/>
      <c r="S178" s="7">
        <f>32976+15971+4468</f>
        <v>53415</v>
      </c>
      <c r="T178" s="6"/>
      <c r="U178" s="286">
        <f t="shared" si="36"/>
        <v>7.8173364418276894E-2</v>
      </c>
      <c r="W178">
        <f t="shared" si="20"/>
        <v>168</v>
      </c>
      <c r="Y178" s="56"/>
    </row>
    <row r="179" spans="3:25" x14ac:dyDescent="0.3">
      <c r="C179" s="170">
        <f t="shared" si="15"/>
        <v>44078</v>
      </c>
      <c r="E179" s="284">
        <v>437562</v>
      </c>
      <c r="F179" s="7"/>
      <c r="G179" s="7">
        <v>193488</v>
      </c>
      <c r="H179" s="7"/>
      <c r="I179" s="7">
        <v>53274</v>
      </c>
      <c r="J179" s="287"/>
      <c r="K179" s="7">
        <f t="shared" si="33"/>
        <v>684324</v>
      </c>
      <c r="L179" s="6"/>
      <c r="M179" s="481">
        <f t="shared" si="34"/>
        <v>1.5147324192252474E-3</v>
      </c>
      <c r="N179" s="29"/>
      <c r="O179" s="29"/>
      <c r="P179" s="29"/>
      <c r="Q179" s="375">
        <f t="shared" si="35"/>
        <v>1035</v>
      </c>
      <c r="R179" s="6"/>
      <c r="S179" s="7">
        <f>32987+15985+4468</f>
        <v>53440</v>
      </c>
      <c r="T179" s="6"/>
      <c r="U179" s="286">
        <f t="shared" si="36"/>
        <v>7.8091664182463272E-2</v>
      </c>
      <c r="W179">
        <f t="shared" si="20"/>
        <v>169</v>
      </c>
      <c r="Y179" s="56"/>
    </row>
    <row r="180" spans="3:25" x14ac:dyDescent="0.3">
      <c r="C180" s="170">
        <f t="shared" si="15"/>
        <v>44079</v>
      </c>
      <c r="E180" s="284">
        <v>438772</v>
      </c>
      <c r="F180" s="7"/>
      <c r="G180" s="7">
        <v>193747</v>
      </c>
      <c r="H180" s="7"/>
      <c r="I180" s="7">
        <v>53365</v>
      </c>
      <c r="J180" s="287"/>
      <c r="K180" s="7">
        <f t="shared" si="33"/>
        <v>685884</v>
      </c>
      <c r="L180" s="6"/>
      <c r="M180" s="481">
        <f t="shared" si="34"/>
        <v>2.2796219334701106E-3</v>
      </c>
      <c r="N180" s="29"/>
      <c r="O180" s="29"/>
      <c r="P180" s="29"/>
      <c r="Q180" s="375">
        <f t="shared" si="35"/>
        <v>1560</v>
      </c>
      <c r="R180" s="6"/>
      <c r="S180" s="7">
        <f>32987+15985+4468</f>
        <v>53440</v>
      </c>
      <c r="T180" s="6"/>
      <c r="U180" s="286">
        <f t="shared" si="36"/>
        <v>7.791404960605583E-2</v>
      </c>
      <c r="W180">
        <f t="shared" si="20"/>
        <v>170</v>
      </c>
      <c r="Y180" s="56"/>
    </row>
    <row r="181" spans="3:25" x14ac:dyDescent="0.3">
      <c r="C181" s="170">
        <f t="shared" si="15"/>
        <v>44080</v>
      </c>
      <c r="E181" s="284">
        <v>439501</v>
      </c>
      <c r="F181" s="7"/>
      <c r="G181" s="7">
        <v>194058</v>
      </c>
      <c r="H181" s="7"/>
      <c r="I181" s="7">
        <v>53365</v>
      </c>
      <c r="J181" s="287"/>
      <c r="K181" s="7">
        <f t="shared" si="33"/>
        <v>686924</v>
      </c>
      <c r="L181" s="6"/>
      <c r="M181" s="481">
        <f t="shared" si="34"/>
        <v>1.5162913845489909E-3</v>
      </c>
      <c r="N181" s="29"/>
      <c r="O181" s="29"/>
      <c r="P181" s="29"/>
      <c r="Q181" s="375">
        <f t="shared" si="35"/>
        <v>1040</v>
      </c>
      <c r="R181" s="6"/>
      <c r="S181" s="7">
        <f>32987+15985+4468</f>
        <v>53440</v>
      </c>
      <c r="T181" s="6"/>
      <c r="U181" s="286">
        <f t="shared" si="36"/>
        <v>7.7796088067966757E-2</v>
      </c>
      <c r="W181">
        <f t="shared" si="20"/>
        <v>171</v>
      </c>
      <c r="Y181" s="56"/>
    </row>
    <row r="182" spans="3:25" x14ac:dyDescent="0.3">
      <c r="C182" s="170">
        <f t="shared" si="15"/>
        <v>44081</v>
      </c>
      <c r="E182" s="284">
        <v>440021</v>
      </c>
      <c r="F182" s="7"/>
      <c r="G182" s="7">
        <v>194390</v>
      </c>
      <c r="H182" s="7"/>
      <c r="I182" s="7">
        <v>53365</v>
      </c>
      <c r="J182" s="287"/>
      <c r="K182" s="7">
        <f t="shared" si="33"/>
        <v>687776</v>
      </c>
      <c r="L182" s="6"/>
      <c r="M182" s="481">
        <f t="shared" si="34"/>
        <v>1.24031188311953E-3</v>
      </c>
      <c r="N182" s="29"/>
      <c r="O182" s="29"/>
      <c r="P182" s="29"/>
      <c r="Q182" s="375">
        <f t="shared" si="35"/>
        <v>852</v>
      </c>
      <c r="R182" s="6"/>
      <c r="S182" s="7">
        <f>32987+15985+4468</f>
        <v>53440</v>
      </c>
      <c r="T182" s="6"/>
      <c r="U182" s="286">
        <f t="shared" si="36"/>
        <v>7.7699716186665421E-2</v>
      </c>
      <c r="W182">
        <f t="shared" si="20"/>
        <v>172</v>
      </c>
      <c r="Y182" s="56"/>
    </row>
    <row r="183" spans="3:25" x14ac:dyDescent="0.3">
      <c r="C183" s="170">
        <f t="shared" si="15"/>
        <v>44082</v>
      </c>
      <c r="E183" s="284">
        <v>440578</v>
      </c>
      <c r="F183" s="7"/>
      <c r="G183" s="7">
        <v>194667</v>
      </c>
      <c r="H183" s="7"/>
      <c r="I183" s="7">
        <v>53782</v>
      </c>
      <c r="J183" s="287"/>
      <c r="K183" s="7">
        <f t="shared" si="33"/>
        <v>689027</v>
      </c>
      <c r="L183" s="6"/>
      <c r="M183" s="481">
        <f t="shared" si="34"/>
        <v>1.818906155492486E-3</v>
      </c>
      <c r="N183" s="29"/>
      <c r="O183" s="29"/>
      <c r="P183" s="29"/>
      <c r="Q183" s="375">
        <f t="shared" si="35"/>
        <v>1251</v>
      </c>
      <c r="R183" s="6"/>
      <c r="S183" s="7">
        <f>33010+15996+4474</f>
        <v>53480</v>
      </c>
      <c r="T183" s="6"/>
      <c r="U183" s="286">
        <f t="shared" si="36"/>
        <v>7.7616697168616036E-2</v>
      </c>
      <c r="W183">
        <f t="shared" si="20"/>
        <v>173</v>
      </c>
      <c r="Y183" s="56"/>
    </row>
    <row r="184" spans="3:25" x14ac:dyDescent="0.3">
      <c r="C184" s="170">
        <f t="shared" si="15"/>
        <v>44083</v>
      </c>
      <c r="E184" s="284">
        <v>441154</v>
      </c>
      <c r="F184" s="7"/>
      <c r="G184" s="7">
        <v>194994</v>
      </c>
      <c r="H184" s="7"/>
      <c r="I184" s="7">
        <v>53871</v>
      </c>
      <c r="J184" s="287"/>
      <c r="K184" s="7">
        <f t="shared" ref="K184:K213" si="37">SUM(E184:I184)</f>
        <v>690019</v>
      </c>
      <c r="L184" s="6"/>
      <c r="M184" s="481">
        <f t="shared" ref="M184:M213" si="38">+(K184-K183)/K183</f>
        <v>1.4397113610932519E-3</v>
      </c>
      <c r="N184" s="29"/>
      <c r="O184" s="29"/>
      <c r="P184" s="29"/>
      <c r="Q184" s="375">
        <f t="shared" ref="Q184:Q213" si="39">+K184-K183</f>
        <v>992</v>
      </c>
      <c r="R184" s="6"/>
      <c r="S184" s="7">
        <f>33019+16008+4474</f>
        <v>53501</v>
      </c>
      <c r="T184" s="6"/>
      <c r="U184" s="286">
        <f t="shared" ref="U184:U213" si="40">+S184/K184</f>
        <v>7.7535546122643004E-2</v>
      </c>
      <c r="W184">
        <f t="shared" si="20"/>
        <v>174</v>
      </c>
      <c r="Y184" s="56"/>
    </row>
    <row r="185" spans="3:25" x14ac:dyDescent="0.3">
      <c r="C185" s="170">
        <f t="shared" si="15"/>
        <v>44084</v>
      </c>
      <c r="E185" s="284">
        <v>441911</v>
      </c>
      <c r="F185" s="7"/>
      <c r="G185" s="7">
        <v>195414</v>
      </c>
      <c r="H185" s="7"/>
      <c r="I185" s="7">
        <v>54093</v>
      </c>
      <c r="J185" s="287"/>
      <c r="K185" s="7">
        <f t="shared" si="37"/>
        <v>691418</v>
      </c>
      <c r="L185" s="6"/>
      <c r="M185" s="481">
        <f t="shared" si="38"/>
        <v>2.0274804027135486E-3</v>
      </c>
      <c r="N185" s="29"/>
      <c r="O185" s="29"/>
      <c r="P185" s="29"/>
      <c r="Q185" s="375">
        <f t="shared" si="39"/>
        <v>1399</v>
      </c>
      <c r="R185" s="6"/>
      <c r="S185" s="7">
        <f>33019+16008+4474</f>
        <v>53501</v>
      </c>
      <c r="T185" s="6"/>
      <c r="U185" s="286">
        <f t="shared" si="40"/>
        <v>7.7378662401036705E-2</v>
      </c>
      <c r="W185">
        <f t="shared" si="20"/>
        <v>175</v>
      </c>
      <c r="Y185" s="56"/>
    </row>
    <row r="186" spans="3:25" x14ac:dyDescent="0.3">
      <c r="C186" s="170">
        <f t="shared" si="15"/>
        <v>44085</v>
      </c>
      <c r="E186" s="284">
        <v>442791</v>
      </c>
      <c r="F186" s="7"/>
      <c r="G186" s="7">
        <v>195888</v>
      </c>
      <c r="H186" s="7"/>
      <c r="I186" s="7">
        <v>54326</v>
      </c>
      <c r="J186" s="287"/>
      <c r="K186" s="7">
        <f t="shared" si="37"/>
        <v>693005</v>
      </c>
      <c r="L186" s="6"/>
      <c r="M186" s="481">
        <f t="shared" si="38"/>
        <v>2.2952830270545461E-3</v>
      </c>
      <c r="N186" s="29"/>
      <c r="O186" s="29"/>
      <c r="P186" s="29"/>
      <c r="Q186" s="375">
        <f t="shared" si="39"/>
        <v>1587</v>
      </c>
      <c r="R186" s="6"/>
      <c r="S186" s="7">
        <f>33019+16008+4474</f>
        <v>53501</v>
      </c>
      <c r="T186" s="6"/>
      <c r="U186" s="286">
        <f t="shared" si="40"/>
        <v>7.7201463192906258E-2</v>
      </c>
      <c r="W186">
        <f t="shared" si="20"/>
        <v>176</v>
      </c>
      <c r="Y186" s="56"/>
    </row>
    <row r="187" spans="3:25" x14ac:dyDescent="0.3">
      <c r="C187" s="170">
        <f t="shared" si="15"/>
        <v>44086</v>
      </c>
      <c r="E187" s="284">
        <v>443640</v>
      </c>
      <c r="F187" s="7"/>
      <c r="G187" s="7">
        <v>196337</v>
      </c>
      <c r="H187" s="7"/>
      <c r="I187" s="7">
        <v>54326</v>
      </c>
      <c r="J187" s="287"/>
      <c r="K187" s="7">
        <f t="shared" si="37"/>
        <v>694303</v>
      </c>
      <c r="L187" s="6"/>
      <c r="M187" s="481">
        <f t="shared" si="38"/>
        <v>1.873002359290337E-3</v>
      </c>
      <c r="N187" s="29"/>
      <c r="O187" s="29"/>
      <c r="P187" s="29"/>
      <c r="Q187" s="375">
        <f t="shared" si="39"/>
        <v>1298</v>
      </c>
      <c r="R187" s="6"/>
      <c r="S187" s="7">
        <f>33023+16027+4480</f>
        <v>53530</v>
      </c>
      <c r="T187" s="6"/>
      <c r="U187" s="286">
        <f t="shared" si="40"/>
        <v>7.7098903504665833E-2</v>
      </c>
      <c r="W187">
        <f t="shared" si="20"/>
        <v>177</v>
      </c>
      <c r="Y187" s="56"/>
    </row>
    <row r="188" spans="3:25" x14ac:dyDescent="0.3">
      <c r="C188" s="170">
        <f t="shared" si="15"/>
        <v>44087</v>
      </c>
      <c r="E188" s="284">
        <v>444366</v>
      </c>
      <c r="F188" s="7"/>
      <c r="G188" s="7">
        <v>196634</v>
      </c>
      <c r="H188" s="7"/>
      <c r="I188" s="7">
        <v>54326</v>
      </c>
      <c r="J188" s="287"/>
      <c r="K188" s="7">
        <f t="shared" si="37"/>
        <v>695326</v>
      </c>
      <c r="L188" s="6"/>
      <c r="M188" s="481">
        <f t="shared" si="38"/>
        <v>1.4734201062072323E-3</v>
      </c>
      <c r="N188" s="29"/>
      <c r="O188" s="29"/>
      <c r="P188" s="29"/>
      <c r="Q188" s="375">
        <f t="shared" si="39"/>
        <v>1023</v>
      </c>
      <c r="R188" s="6"/>
      <c r="S188" s="7">
        <f>33023+16027+4480</f>
        <v>53530</v>
      </c>
      <c r="T188" s="6"/>
      <c r="U188" s="286">
        <f t="shared" si="40"/>
        <v>7.6985471562979094E-2</v>
      </c>
      <c r="W188">
        <f t="shared" si="20"/>
        <v>178</v>
      </c>
      <c r="Y188" s="56"/>
    </row>
    <row r="189" spans="3:25" x14ac:dyDescent="0.3">
      <c r="C189" s="170">
        <f t="shared" si="15"/>
        <v>44088</v>
      </c>
      <c r="E189" s="284">
        <v>444946</v>
      </c>
      <c r="F189" s="7"/>
      <c r="G189" s="7">
        <v>196968</v>
      </c>
      <c r="H189" s="7"/>
      <c r="I189" s="7">
        <v>54895</v>
      </c>
      <c r="J189" s="287"/>
      <c r="K189" s="7">
        <f t="shared" si="37"/>
        <v>696809</v>
      </c>
      <c r="L189" s="6"/>
      <c r="M189" s="481">
        <f t="shared" si="38"/>
        <v>2.1328125224714736E-3</v>
      </c>
      <c r="N189" s="29"/>
      <c r="O189" s="29"/>
      <c r="P189" s="29"/>
      <c r="Q189" s="375">
        <f t="shared" si="39"/>
        <v>1483</v>
      </c>
      <c r="R189" s="6"/>
      <c r="S189" s="7">
        <f>33030+16034+4485</f>
        <v>53549</v>
      </c>
      <c r="T189" s="6"/>
      <c r="U189" s="286">
        <f t="shared" si="40"/>
        <v>7.6848892594670856E-2</v>
      </c>
      <c r="W189">
        <f t="shared" si="20"/>
        <v>179</v>
      </c>
      <c r="Y189" s="56"/>
    </row>
    <row r="190" spans="3:25" x14ac:dyDescent="0.3">
      <c r="C190" s="170">
        <f t="shared" si="15"/>
        <v>44089</v>
      </c>
      <c r="E190" s="284">
        <v>445714</v>
      </c>
      <c r="F190" s="7"/>
      <c r="G190" s="7">
        <v>197404</v>
      </c>
      <c r="H190" s="7"/>
      <c r="I190" s="7">
        <v>55031</v>
      </c>
      <c r="J190" s="287"/>
      <c r="K190" s="7">
        <f t="shared" si="37"/>
        <v>698149</v>
      </c>
      <c r="L190" s="6"/>
      <c r="M190" s="481">
        <f t="shared" si="38"/>
        <v>1.9230520845741085E-3</v>
      </c>
      <c r="N190" s="29"/>
      <c r="O190" s="29"/>
      <c r="P190" s="29"/>
      <c r="Q190" s="375">
        <f t="shared" si="39"/>
        <v>1340</v>
      </c>
      <c r="R190" s="6"/>
      <c r="S190" s="7">
        <f>33038+16043+4485</f>
        <v>53566</v>
      </c>
      <c r="T190" s="6"/>
      <c r="U190" s="286">
        <f t="shared" si="40"/>
        <v>7.6725741926150434E-2</v>
      </c>
      <c r="W190">
        <f t="shared" si="20"/>
        <v>180</v>
      </c>
      <c r="Y190" s="56"/>
    </row>
    <row r="191" spans="3:25" x14ac:dyDescent="0.3">
      <c r="C191" s="170">
        <f t="shared" si="15"/>
        <v>44090</v>
      </c>
      <c r="E191" s="284">
        <v>446366</v>
      </c>
      <c r="F191" s="7"/>
      <c r="G191" s="7">
        <v>197792</v>
      </c>
      <c r="H191" s="7"/>
      <c r="I191" s="7">
        <v>55166</v>
      </c>
      <c r="J191" s="287"/>
      <c r="K191" s="7">
        <f t="shared" si="37"/>
        <v>699324</v>
      </c>
      <c r="L191" s="6"/>
      <c r="M191" s="481">
        <f t="shared" si="38"/>
        <v>1.6830218191245707E-3</v>
      </c>
      <c r="N191" s="29"/>
      <c r="O191" s="29"/>
      <c r="P191" s="29"/>
      <c r="Q191" s="375">
        <f t="shared" si="39"/>
        <v>1175</v>
      </c>
      <c r="R191" s="6"/>
      <c r="S191" s="7">
        <f>33038+16043+4485</f>
        <v>53566</v>
      </c>
      <c r="T191" s="6"/>
      <c r="U191" s="286">
        <f t="shared" si="40"/>
        <v>7.6596827793697919E-2</v>
      </c>
      <c r="W191">
        <f t="shared" si="20"/>
        <v>181</v>
      </c>
      <c r="Y191" s="56"/>
    </row>
    <row r="192" spans="3:25" x14ac:dyDescent="0.3">
      <c r="C192" s="170">
        <f t="shared" si="15"/>
        <v>44091</v>
      </c>
      <c r="E192" s="284">
        <v>447262</v>
      </c>
      <c r="F192" s="7"/>
      <c r="G192" s="7">
        <v>198361</v>
      </c>
      <c r="H192" s="7"/>
      <c r="I192" s="7">
        <v>55386</v>
      </c>
      <c r="J192" s="287"/>
      <c r="K192" s="7">
        <f t="shared" si="37"/>
        <v>701009</v>
      </c>
      <c r="L192" s="6"/>
      <c r="M192" s="481">
        <f t="shared" si="38"/>
        <v>2.4094697164690473E-3</v>
      </c>
      <c r="N192" s="29"/>
      <c r="O192" s="29"/>
      <c r="P192" s="29"/>
      <c r="Q192" s="375">
        <f t="shared" si="39"/>
        <v>1685</v>
      </c>
      <c r="R192" s="6"/>
      <c r="S192" s="7">
        <f>33070+16057+4488</f>
        <v>53615</v>
      </c>
      <c r="T192" s="6"/>
      <c r="U192" s="286">
        <f t="shared" si="40"/>
        <v>7.6482612919377635E-2</v>
      </c>
      <c r="W192">
        <f t="shared" si="20"/>
        <v>182</v>
      </c>
      <c r="Y192" s="56"/>
    </row>
    <row r="193" spans="3:25" x14ac:dyDescent="0.3">
      <c r="C193" s="170">
        <f t="shared" si="15"/>
        <v>44092</v>
      </c>
      <c r="E193" s="284">
        <v>448052</v>
      </c>
      <c r="F193" s="7"/>
      <c r="G193" s="7">
        <v>198848</v>
      </c>
      <c r="H193" s="7"/>
      <c r="I193" s="7">
        <v>55527</v>
      </c>
      <c r="J193" s="287"/>
      <c r="K193" s="7">
        <f t="shared" si="37"/>
        <v>702427</v>
      </c>
      <c r="L193" s="6"/>
      <c r="M193" s="481">
        <f t="shared" si="38"/>
        <v>2.0227985660669122E-3</v>
      </c>
      <c r="N193" s="29"/>
      <c r="O193" s="29"/>
      <c r="P193" s="29"/>
      <c r="Q193" s="375">
        <f t="shared" si="39"/>
        <v>1418</v>
      </c>
      <c r="R193" s="6"/>
      <c r="S193" s="7">
        <f>33085+16061+4492</f>
        <v>53638</v>
      </c>
      <c r="T193" s="6"/>
      <c r="U193" s="286">
        <f t="shared" si="40"/>
        <v>7.6360959928932118E-2</v>
      </c>
      <c r="W193">
        <f t="shared" si="20"/>
        <v>183</v>
      </c>
      <c r="Y193" s="56"/>
    </row>
    <row r="194" spans="3:25" x14ac:dyDescent="0.3">
      <c r="C194" s="170">
        <f t="shared" si="15"/>
        <v>44093</v>
      </c>
      <c r="E194" s="284">
        <v>449039</v>
      </c>
      <c r="F194" s="7"/>
      <c r="G194" s="7">
        <v>199309</v>
      </c>
      <c r="H194" s="7"/>
      <c r="I194" s="7">
        <v>55527</v>
      </c>
      <c r="J194" s="287"/>
      <c r="K194" s="7">
        <f t="shared" si="37"/>
        <v>703875</v>
      </c>
      <c r="L194" s="6"/>
      <c r="M194" s="481">
        <f t="shared" si="38"/>
        <v>2.0614241764624649E-3</v>
      </c>
      <c r="N194" s="29"/>
      <c r="O194" s="29"/>
      <c r="P194" s="29"/>
      <c r="Q194" s="375">
        <f t="shared" si="39"/>
        <v>1448</v>
      </c>
      <c r="R194" s="6"/>
      <c r="S194" s="7">
        <f>33081+16064+4492</f>
        <v>53637</v>
      </c>
      <c r="T194" s="6"/>
      <c r="U194" s="286">
        <f t="shared" si="40"/>
        <v>7.6202450719232817E-2</v>
      </c>
      <c r="W194">
        <f t="shared" si="20"/>
        <v>184</v>
      </c>
      <c r="Y194" s="56"/>
    </row>
    <row r="195" spans="3:25" x14ac:dyDescent="0.3">
      <c r="C195" s="170">
        <f t="shared" si="15"/>
        <v>44094</v>
      </c>
      <c r="E195" s="284">
        <v>449900</v>
      </c>
      <c r="F195" s="7"/>
      <c r="G195" s="7">
        <v>199762</v>
      </c>
      <c r="H195" s="7"/>
      <c r="I195" s="7">
        <v>55527</v>
      </c>
      <c r="J195" s="287"/>
      <c r="K195" s="7">
        <f t="shared" si="37"/>
        <v>705189</v>
      </c>
      <c r="L195" s="6"/>
      <c r="M195" s="481">
        <f t="shared" si="38"/>
        <v>1.86680873734683E-3</v>
      </c>
      <c r="N195" s="29"/>
      <c r="O195" s="29"/>
      <c r="P195" s="29"/>
      <c r="Q195" s="375">
        <f t="shared" si="39"/>
        <v>1314</v>
      </c>
      <c r="R195" s="6"/>
      <c r="S195" s="7">
        <f>33087+16067+4492</f>
        <v>53646</v>
      </c>
      <c r="T195" s="6"/>
      <c r="U195" s="286">
        <f t="shared" si="40"/>
        <v>7.6073222923216333E-2</v>
      </c>
      <c r="W195">
        <f t="shared" si="20"/>
        <v>185</v>
      </c>
      <c r="Y195" s="56"/>
    </row>
    <row r="196" spans="3:25" x14ac:dyDescent="0.3">
      <c r="C196" s="170">
        <f t="shared" si="15"/>
        <v>44095</v>
      </c>
      <c r="E196" s="284">
        <v>450473</v>
      </c>
      <c r="F196" s="7"/>
      <c r="G196" s="7">
        <v>200154</v>
      </c>
      <c r="H196" s="7"/>
      <c r="I196" s="7">
        <v>56024</v>
      </c>
      <c r="J196" s="287"/>
      <c r="K196" s="7">
        <f t="shared" si="37"/>
        <v>706651</v>
      </c>
      <c r="L196" s="6"/>
      <c r="M196" s="481">
        <f t="shared" si="38"/>
        <v>2.0732030703825501E-3</v>
      </c>
      <c r="N196" s="29"/>
      <c r="O196" s="29"/>
      <c r="P196" s="29"/>
      <c r="Q196" s="375">
        <f t="shared" si="39"/>
        <v>1462</v>
      </c>
      <c r="R196" s="6"/>
      <c r="S196" s="7">
        <f>33092+16069+4495</f>
        <v>53656</v>
      </c>
      <c r="T196" s="6"/>
      <c r="U196" s="286">
        <f t="shared" si="40"/>
        <v>7.592998524023882E-2</v>
      </c>
      <c r="W196">
        <f t="shared" si="20"/>
        <v>186</v>
      </c>
      <c r="Y196" s="56"/>
    </row>
    <row r="197" spans="3:25" x14ac:dyDescent="0.3">
      <c r="C197" s="170">
        <f t="shared" si="15"/>
        <v>44096</v>
      </c>
      <c r="E197" s="284">
        <v>451227</v>
      </c>
      <c r="F197" s="7"/>
      <c r="G197" s="7">
        <v>200580</v>
      </c>
      <c r="H197" s="7"/>
      <c r="I197" s="7">
        <v>56160</v>
      </c>
      <c r="J197" s="287"/>
      <c r="K197" s="7">
        <f t="shared" si="37"/>
        <v>707967</v>
      </c>
      <c r="L197" s="6"/>
      <c r="M197" s="481">
        <f t="shared" si="38"/>
        <v>1.8623054379035761E-3</v>
      </c>
      <c r="N197" s="29"/>
      <c r="O197" s="29"/>
      <c r="P197" s="29"/>
      <c r="Q197" s="375">
        <f t="shared" si="39"/>
        <v>1316</v>
      </c>
      <c r="R197" s="6"/>
      <c r="S197" s="7">
        <f>33092+16069+4495</f>
        <v>53656</v>
      </c>
      <c r="T197" s="6"/>
      <c r="U197" s="286">
        <f t="shared" si="40"/>
        <v>7.5788843265293435E-2</v>
      </c>
      <c r="W197">
        <f t="shared" si="20"/>
        <v>187</v>
      </c>
      <c r="Y197" s="56"/>
    </row>
    <row r="198" spans="3:25" x14ac:dyDescent="0.3">
      <c r="C198" s="170">
        <f t="shared" si="15"/>
        <v>44097</v>
      </c>
      <c r="E198" s="284">
        <v>451892</v>
      </c>
      <c r="F198" s="7"/>
      <c r="G198" s="7">
        <v>200988</v>
      </c>
      <c r="H198" s="7"/>
      <c r="I198" s="7">
        <v>56315</v>
      </c>
      <c r="J198" s="287"/>
      <c r="K198" s="7">
        <f t="shared" si="37"/>
        <v>709195</v>
      </c>
      <c r="L198" s="6"/>
      <c r="M198" s="481">
        <f t="shared" si="38"/>
        <v>1.7345441242317791E-3</v>
      </c>
      <c r="N198" s="29"/>
      <c r="O198" s="29"/>
      <c r="P198" s="29"/>
      <c r="Q198" s="375">
        <f t="shared" si="39"/>
        <v>1228</v>
      </c>
      <c r="R198" s="6"/>
      <c r="S198" s="7">
        <f>33090+16082+4497</f>
        <v>53669</v>
      </c>
      <c r="T198" s="6"/>
      <c r="U198" s="286">
        <f t="shared" si="40"/>
        <v>7.5675942441782579E-2</v>
      </c>
      <c r="W198">
        <f t="shared" si="20"/>
        <v>188</v>
      </c>
      <c r="Y198" s="56"/>
    </row>
    <row r="199" spans="3:25" x14ac:dyDescent="0.3">
      <c r="C199" s="170">
        <f t="shared" si="15"/>
        <v>44098</v>
      </c>
      <c r="E199" s="284">
        <v>452847</v>
      </c>
      <c r="F199" s="7"/>
      <c r="G199" s="7">
        <v>201216</v>
      </c>
      <c r="H199" s="7"/>
      <c r="I199" s="7">
        <v>56472</v>
      </c>
      <c r="J199" s="287"/>
      <c r="K199" s="7">
        <f t="shared" si="37"/>
        <v>710535</v>
      </c>
      <c r="L199" s="6"/>
      <c r="M199" s="481">
        <f t="shared" si="38"/>
        <v>1.8894662257912141E-3</v>
      </c>
      <c r="N199" s="29"/>
      <c r="O199" s="29"/>
      <c r="P199" s="29"/>
      <c r="Q199" s="375">
        <f t="shared" si="39"/>
        <v>1340</v>
      </c>
      <c r="R199" s="6"/>
      <c r="S199" s="7">
        <f>33096+16091+4499</f>
        <v>53686</v>
      </c>
      <c r="T199" s="6"/>
      <c r="U199" s="286">
        <f t="shared" si="40"/>
        <v>7.5557150597788988E-2</v>
      </c>
      <c r="W199">
        <f t="shared" si="20"/>
        <v>189</v>
      </c>
      <c r="Y199" s="56"/>
    </row>
    <row r="200" spans="3:25" x14ac:dyDescent="0.3">
      <c r="C200" s="170">
        <f t="shared" si="15"/>
        <v>44099</v>
      </c>
      <c r="E200" s="284">
        <v>453756</v>
      </c>
      <c r="F200" s="7"/>
      <c r="G200" s="7">
        <v>202100</v>
      </c>
      <c r="H200" s="7"/>
      <c r="I200" s="7">
        <v>56587</v>
      </c>
      <c r="J200" s="287"/>
      <c r="K200" s="7">
        <f t="shared" si="37"/>
        <v>712443</v>
      </c>
      <c r="L200" s="6"/>
      <c r="M200" s="481">
        <f t="shared" si="38"/>
        <v>2.6853005129937302E-3</v>
      </c>
      <c r="N200" s="29"/>
      <c r="O200" s="29"/>
      <c r="P200" s="29"/>
      <c r="Q200" s="375">
        <f t="shared" si="39"/>
        <v>1908</v>
      </c>
      <c r="R200" s="6"/>
      <c r="S200" s="7">
        <f>33102+16097+4501</f>
        <v>53700</v>
      </c>
      <c r="T200" s="6"/>
      <c r="U200" s="286">
        <f t="shared" si="40"/>
        <v>7.5374451008712276E-2</v>
      </c>
      <c r="W200">
        <f t="shared" si="20"/>
        <v>190</v>
      </c>
      <c r="Y200" s="56"/>
    </row>
    <row r="201" spans="3:25" x14ac:dyDescent="0.3">
      <c r="C201" s="170">
        <f t="shared" si="15"/>
        <v>44100</v>
      </c>
      <c r="E201" s="284">
        <v>454760</v>
      </c>
      <c r="F201" s="7"/>
      <c r="G201" s="7">
        <v>202850</v>
      </c>
      <c r="H201" s="7"/>
      <c r="I201" s="7">
        <v>56587</v>
      </c>
      <c r="J201" s="287"/>
      <c r="K201" s="7">
        <f t="shared" si="37"/>
        <v>714197</v>
      </c>
      <c r="L201" s="6"/>
      <c r="M201" s="481">
        <f t="shared" si="38"/>
        <v>2.461951342072278E-3</v>
      </c>
      <c r="N201" s="29"/>
      <c r="O201" s="29"/>
      <c r="P201" s="29"/>
      <c r="Q201" s="375">
        <f t="shared" si="39"/>
        <v>1754</v>
      </c>
      <c r="R201" s="6"/>
      <c r="S201" s="7">
        <f>33126+16103+4501</f>
        <v>53730</v>
      </c>
      <c r="T201" s="6"/>
      <c r="U201" s="286">
        <f t="shared" si="40"/>
        <v>7.5231343732891628E-2</v>
      </c>
      <c r="W201">
        <f t="shared" si="20"/>
        <v>191</v>
      </c>
      <c r="Y201" s="56"/>
    </row>
    <row r="202" spans="3:25" x14ac:dyDescent="0.3">
      <c r="C202" s="170">
        <f t="shared" si="15"/>
        <v>44101</v>
      </c>
      <c r="E202" s="284">
        <v>455626</v>
      </c>
      <c r="F202" s="7"/>
      <c r="G202" s="7">
        <v>202850</v>
      </c>
      <c r="H202" s="7"/>
      <c r="I202" s="7">
        <v>56587</v>
      </c>
      <c r="J202" s="287"/>
      <c r="K202" s="7">
        <f t="shared" si="37"/>
        <v>715063</v>
      </c>
      <c r="L202" s="6"/>
      <c r="M202" s="481">
        <f t="shared" si="38"/>
        <v>1.212550598784369E-3</v>
      </c>
      <c r="N202" s="29"/>
      <c r="O202" s="29"/>
      <c r="P202" s="29"/>
      <c r="Q202" s="375">
        <f t="shared" si="39"/>
        <v>866</v>
      </c>
      <c r="R202" s="6"/>
      <c r="S202" s="7">
        <f>33131+16103+4501</f>
        <v>53735</v>
      </c>
      <c r="T202" s="6"/>
      <c r="U202" s="286">
        <f t="shared" si="40"/>
        <v>7.5147224789983535E-2</v>
      </c>
      <c r="W202">
        <f t="shared" si="20"/>
        <v>192</v>
      </c>
      <c r="Y202" s="56"/>
    </row>
    <row r="203" spans="3:25" x14ac:dyDescent="0.3">
      <c r="C203" s="170">
        <f t="shared" si="15"/>
        <v>44102</v>
      </c>
      <c r="E203" s="284">
        <v>456460</v>
      </c>
      <c r="F203" s="7"/>
      <c r="G203" s="7">
        <v>204107</v>
      </c>
      <c r="H203" s="7"/>
      <c r="I203" s="7">
        <v>57147</v>
      </c>
      <c r="J203" s="287"/>
      <c r="K203" s="7">
        <f t="shared" si="37"/>
        <v>717714</v>
      </c>
      <c r="L203" s="6"/>
      <c r="M203" s="481">
        <f t="shared" si="38"/>
        <v>3.7073656447054316E-3</v>
      </c>
      <c r="N203" s="29"/>
      <c r="O203" s="29"/>
      <c r="P203" s="29"/>
      <c r="Q203" s="375">
        <f t="shared" si="39"/>
        <v>2651</v>
      </c>
      <c r="R203" s="6"/>
      <c r="S203" s="7">
        <f>33140+16107+4503</f>
        <v>53750</v>
      </c>
      <c r="T203" s="6"/>
      <c r="U203" s="286">
        <f t="shared" si="40"/>
        <v>7.4890555290826152E-2</v>
      </c>
      <c r="W203">
        <f t="shared" si="20"/>
        <v>193</v>
      </c>
      <c r="Y203" s="56"/>
    </row>
    <row r="204" spans="3:25" x14ac:dyDescent="0.3">
      <c r="C204" s="170">
        <f t="shared" si="15"/>
        <v>44103</v>
      </c>
      <c r="E204" s="284">
        <v>457649</v>
      </c>
      <c r="F204" s="7"/>
      <c r="G204" s="7">
        <v>204563</v>
      </c>
      <c r="H204" s="7"/>
      <c r="I204" s="7">
        <v>57329</v>
      </c>
      <c r="J204" s="287"/>
      <c r="K204" s="7">
        <f t="shared" si="37"/>
        <v>719541</v>
      </c>
      <c r="L204" s="6"/>
      <c r="M204" s="481">
        <f t="shared" si="38"/>
        <v>2.5455822235598024E-3</v>
      </c>
      <c r="N204" s="29"/>
      <c r="O204" s="29"/>
      <c r="P204" s="29"/>
      <c r="Q204" s="375">
        <f t="shared" si="39"/>
        <v>1827</v>
      </c>
      <c r="R204" s="6"/>
      <c r="S204" s="7">
        <f>33144+16117+4506</f>
        <v>53767</v>
      </c>
      <c r="T204" s="6"/>
      <c r="U204" s="286">
        <f t="shared" si="40"/>
        <v>7.4724025455116527E-2</v>
      </c>
      <c r="W204">
        <f t="shared" si="20"/>
        <v>194</v>
      </c>
      <c r="Y204" s="56"/>
    </row>
    <row r="205" spans="3:25" x14ac:dyDescent="0.3">
      <c r="C205" s="170">
        <f t="shared" si="15"/>
        <v>44104</v>
      </c>
      <c r="E205" s="284">
        <v>458649</v>
      </c>
      <c r="F205" s="7"/>
      <c r="G205" s="7">
        <v>205275</v>
      </c>
      <c r="H205" s="7"/>
      <c r="I205" s="7">
        <v>57550</v>
      </c>
      <c r="J205" s="287"/>
      <c r="K205" s="7">
        <f t="shared" si="37"/>
        <v>721474</v>
      </c>
      <c r="L205" s="6"/>
      <c r="M205" s="481">
        <f t="shared" si="38"/>
        <v>2.6864348244227919E-3</v>
      </c>
      <c r="N205" s="29"/>
      <c r="O205" s="29"/>
      <c r="P205" s="29"/>
      <c r="Q205" s="375">
        <f t="shared" si="39"/>
        <v>1933</v>
      </c>
      <c r="R205" s="6"/>
      <c r="S205" s="7">
        <f>33153+16122+4508</f>
        <v>53783</v>
      </c>
      <c r="T205" s="6"/>
      <c r="U205" s="286">
        <f t="shared" si="40"/>
        <v>7.4545998885614723E-2</v>
      </c>
      <c r="W205">
        <f t="shared" si="20"/>
        <v>195</v>
      </c>
      <c r="Y205" s="56"/>
    </row>
    <row r="206" spans="3:25" x14ac:dyDescent="0.3">
      <c r="C206" s="170">
        <f t="shared" si="15"/>
        <v>44105</v>
      </c>
      <c r="E206" s="284">
        <v>460031</v>
      </c>
      <c r="F206" s="7"/>
      <c r="G206" s="7">
        <v>205889</v>
      </c>
      <c r="H206" s="7"/>
      <c r="I206" s="7">
        <v>57742</v>
      </c>
      <c r="J206" s="287"/>
      <c r="K206" s="7">
        <f t="shared" si="37"/>
        <v>723662</v>
      </c>
      <c r="L206" s="6"/>
      <c r="M206" s="481">
        <f t="shared" si="38"/>
        <v>3.0326803183482703E-3</v>
      </c>
      <c r="N206" s="29"/>
      <c r="O206" s="29"/>
      <c r="P206" s="29"/>
      <c r="Q206" s="375">
        <f t="shared" si="39"/>
        <v>2188</v>
      </c>
      <c r="R206" s="6"/>
      <c r="S206" s="7">
        <f>33159+16140+4511</f>
        <v>53810</v>
      </c>
      <c r="T206" s="6"/>
      <c r="U206" s="286">
        <f t="shared" si="40"/>
        <v>7.4357918475752488E-2</v>
      </c>
      <c r="W206">
        <f t="shared" si="20"/>
        <v>196</v>
      </c>
      <c r="Y206" s="56"/>
    </row>
    <row r="207" spans="3:25" x14ac:dyDescent="0.3">
      <c r="C207" s="170">
        <f t="shared" si="15"/>
        <v>44106</v>
      </c>
      <c r="E207" s="284">
        <v>461629</v>
      </c>
      <c r="F207" s="7"/>
      <c r="G207" s="7">
        <v>206629</v>
      </c>
      <c r="H207" s="7"/>
      <c r="I207" s="7">
        <v>58297</v>
      </c>
      <c r="J207" s="287"/>
      <c r="K207" s="7">
        <f t="shared" si="37"/>
        <v>726555</v>
      </c>
      <c r="L207" s="6"/>
      <c r="M207" s="481">
        <f t="shared" si="38"/>
        <v>3.9977226937437643E-3</v>
      </c>
      <c r="N207" s="29"/>
      <c r="O207" s="29"/>
      <c r="P207" s="29"/>
      <c r="Q207" s="375">
        <f t="shared" si="39"/>
        <v>2893</v>
      </c>
      <c r="R207" s="6"/>
      <c r="S207" s="7">
        <f>33199+16131+4513</f>
        <v>53843</v>
      </c>
      <c r="T207" s="6"/>
      <c r="U207" s="286">
        <f t="shared" si="40"/>
        <v>7.4107259601819547E-2</v>
      </c>
      <c r="W207">
        <f t="shared" si="20"/>
        <v>197</v>
      </c>
      <c r="Y207" s="56"/>
    </row>
    <row r="208" spans="3:25" x14ac:dyDescent="0.3">
      <c r="C208" s="170">
        <f t="shared" si="15"/>
        <v>44107</v>
      </c>
      <c r="E208" s="284">
        <v>463360</v>
      </c>
      <c r="F208" s="7"/>
      <c r="G208" s="7">
        <v>207576</v>
      </c>
      <c r="H208" s="7"/>
      <c r="I208" s="7">
        <v>58297</v>
      </c>
      <c r="J208" s="287"/>
      <c r="K208" s="7">
        <f t="shared" si="37"/>
        <v>729233</v>
      </c>
      <c r="L208" s="6"/>
      <c r="M208" s="481">
        <f t="shared" si="38"/>
        <v>3.6858875102366647E-3</v>
      </c>
      <c r="N208" s="29"/>
      <c r="O208" s="29"/>
      <c r="P208" s="29"/>
      <c r="Q208" s="375">
        <f t="shared" si="39"/>
        <v>2678</v>
      </c>
      <c r="R208" s="6"/>
      <c r="S208" s="7">
        <f>33197+16135+4513</f>
        <v>53845</v>
      </c>
      <c r="T208" s="6"/>
      <c r="U208" s="286">
        <f t="shared" si="40"/>
        <v>7.3837854293483704E-2</v>
      </c>
      <c r="W208">
        <f t="shared" si="20"/>
        <v>198</v>
      </c>
      <c r="Y208" s="56"/>
    </row>
    <row r="209" spans="3:25" x14ac:dyDescent="0.3">
      <c r="C209" s="170">
        <f t="shared" si="15"/>
        <v>44108</v>
      </c>
      <c r="E209" s="284">
        <v>464582</v>
      </c>
      <c r="F209" s="7"/>
      <c r="G209" s="7">
        <v>208202</v>
      </c>
      <c r="H209" s="7"/>
      <c r="I209" s="7">
        <v>58297</v>
      </c>
      <c r="J209" s="287"/>
      <c r="K209" s="7">
        <f t="shared" si="37"/>
        <v>731081</v>
      </c>
      <c r="L209" s="6"/>
      <c r="M209" s="481">
        <f t="shared" si="38"/>
        <v>2.5341694629837101E-3</v>
      </c>
      <c r="N209" s="29"/>
      <c r="O209" s="29"/>
      <c r="P209" s="29"/>
      <c r="Q209" s="375">
        <f t="shared" si="39"/>
        <v>1848</v>
      </c>
      <c r="R209" s="6"/>
      <c r="S209" s="7">
        <f>33206+16136+4513</f>
        <v>53855</v>
      </c>
      <c r="T209" s="6"/>
      <c r="U209" s="286">
        <f t="shared" si="40"/>
        <v>7.3664888021983885E-2</v>
      </c>
      <c r="W209">
        <f t="shared" si="20"/>
        <v>199</v>
      </c>
      <c r="Y209" s="56"/>
    </row>
    <row r="210" spans="3:25" x14ac:dyDescent="0.3">
      <c r="C210" s="170">
        <f t="shared" si="15"/>
        <v>44109</v>
      </c>
      <c r="E210" s="284">
        <v>465212</v>
      </c>
      <c r="F210" s="7"/>
      <c r="G210" s="7">
        <v>208159</v>
      </c>
      <c r="H210" s="7"/>
      <c r="I210" s="7">
        <v>59120</v>
      </c>
      <c r="J210" s="287"/>
      <c r="K210" s="7">
        <f t="shared" si="37"/>
        <v>732491</v>
      </c>
      <c r="L210" s="6"/>
      <c r="M210" s="481">
        <f t="shared" si="38"/>
        <v>1.9286508608485243E-3</v>
      </c>
      <c r="N210" s="29"/>
      <c r="O210" s="29"/>
      <c r="P210" s="29"/>
      <c r="Q210" s="375">
        <f t="shared" si="39"/>
        <v>1410</v>
      </c>
      <c r="R210" s="6"/>
      <c r="S210" s="7">
        <v>53862</v>
      </c>
      <c r="T210" s="6"/>
      <c r="U210" s="286">
        <f t="shared" si="40"/>
        <v>7.353264408709459E-2</v>
      </c>
      <c r="W210">
        <f t="shared" si="20"/>
        <v>200</v>
      </c>
      <c r="Y210" s="56"/>
    </row>
    <row r="211" spans="3:25" x14ac:dyDescent="0.3">
      <c r="C211" s="170">
        <f t="shared" si="15"/>
        <v>44110</v>
      </c>
      <c r="E211" s="284">
        <v>466908</v>
      </c>
      <c r="F211" s="7"/>
      <c r="G211" s="7">
        <v>209342</v>
      </c>
      <c r="H211" s="7"/>
      <c r="I211" s="7">
        <v>59241</v>
      </c>
      <c r="J211" s="287"/>
      <c r="K211" s="7">
        <f t="shared" si="37"/>
        <v>735491</v>
      </c>
      <c r="L211" s="6"/>
      <c r="M211" s="481">
        <f t="shared" si="38"/>
        <v>4.0956134614623255E-3</v>
      </c>
      <c r="N211" s="29"/>
      <c r="O211" s="29"/>
      <c r="P211" s="29"/>
      <c r="Q211" s="375">
        <f t="shared" si="39"/>
        <v>3000</v>
      </c>
      <c r="R211" s="6"/>
      <c r="S211" s="7">
        <f>33219+16147+4521</f>
        <v>53887</v>
      </c>
      <c r="T211" s="6"/>
      <c r="U211" s="286">
        <f t="shared" si="40"/>
        <v>7.3266702107843598E-2</v>
      </c>
      <c r="W211">
        <f t="shared" si="20"/>
        <v>201</v>
      </c>
      <c r="Y211" s="56"/>
    </row>
    <row r="212" spans="3:25" x14ac:dyDescent="0.3">
      <c r="C212" s="170">
        <f t="shared" si="15"/>
        <v>44111</v>
      </c>
      <c r="E212" s="284">
        <v>468268</v>
      </c>
      <c r="F212" s="7"/>
      <c r="G212" s="7">
        <v>209850</v>
      </c>
      <c r="H212" s="7"/>
      <c r="I212" s="7">
        <v>59364</v>
      </c>
      <c r="J212" s="287"/>
      <c r="K212" s="7">
        <f t="shared" si="37"/>
        <v>737482</v>
      </c>
      <c r="L212" s="6"/>
      <c r="M212" s="481">
        <f t="shared" si="38"/>
        <v>2.7070351642644167E-3</v>
      </c>
      <c r="N212" s="29"/>
      <c r="O212" s="29"/>
      <c r="P212" s="29"/>
      <c r="Q212" s="375">
        <f t="shared" si="39"/>
        <v>1991</v>
      </c>
      <c r="R212" s="6"/>
      <c r="S212" s="7">
        <f>33226+16152+4522</f>
        <v>53900</v>
      </c>
      <c r="T212" s="6"/>
      <c r="U212" s="286">
        <f t="shared" si="40"/>
        <v>7.308652956953525E-2</v>
      </c>
      <c r="W212">
        <f t="shared" si="20"/>
        <v>202</v>
      </c>
      <c r="Y212" s="56"/>
    </row>
    <row r="213" spans="3:25" x14ac:dyDescent="0.3">
      <c r="C213" s="170">
        <f t="shared" si="15"/>
        <v>44112</v>
      </c>
      <c r="E213" s="284">
        <v>470104</v>
      </c>
      <c r="F213" s="7"/>
      <c r="G213" s="7">
        <v>211148</v>
      </c>
      <c r="H213" s="7"/>
      <c r="I213" s="7">
        <v>59748</v>
      </c>
      <c r="J213" s="287"/>
      <c r="K213" s="7">
        <f t="shared" si="37"/>
        <v>741000</v>
      </c>
      <c r="L213" s="6"/>
      <c r="M213" s="481">
        <f t="shared" si="38"/>
        <v>4.7702859188427649E-3</v>
      </c>
      <c r="N213" s="29"/>
      <c r="O213" s="29"/>
      <c r="P213" s="29"/>
      <c r="Q213" s="375">
        <f t="shared" si="39"/>
        <v>3518</v>
      </c>
      <c r="R213" s="6"/>
      <c r="S213" s="7">
        <f>33227+16161+4527</f>
        <v>53915</v>
      </c>
      <c r="T213" s="6"/>
      <c r="U213" s="286">
        <f t="shared" si="40"/>
        <v>7.2759784075573555E-2</v>
      </c>
      <c r="W213">
        <f t="shared" si="20"/>
        <v>203</v>
      </c>
      <c r="Y213" s="56"/>
    </row>
    <row r="214" spans="3:25" x14ac:dyDescent="0.3">
      <c r="C214" s="170">
        <f t="shared" si="15"/>
        <v>44113</v>
      </c>
      <c r="E214" s="284">
        <v>471696</v>
      </c>
      <c r="F214" s="7"/>
      <c r="G214" s="7">
        <v>212013</v>
      </c>
      <c r="H214" s="7"/>
      <c r="I214" s="7">
        <v>60038</v>
      </c>
      <c r="J214" s="287"/>
      <c r="K214" s="7">
        <f t="shared" ref="K214" si="41">SUM(E214:I214)</f>
        <v>743747</v>
      </c>
      <c r="L214" s="6"/>
      <c r="M214" s="481">
        <f t="shared" ref="M214" si="42">+(K214-K213)/K213</f>
        <v>3.7071524966261807E-3</v>
      </c>
      <c r="N214" s="29"/>
      <c r="O214" s="29"/>
      <c r="P214" s="29"/>
      <c r="Q214" s="375">
        <f t="shared" ref="Q214" si="43">+K214-K213</f>
        <v>2747</v>
      </c>
      <c r="R214" s="6"/>
      <c r="S214" s="7">
        <f>33290+16164+4530</f>
        <v>53984</v>
      </c>
      <c r="T214" s="6"/>
      <c r="U214" s="286">
        <f t="shared" ref="U214" si="44">+S214/K214</f>
        <v>7.2583822186845795E-2</v>
      </c>
      <c r="W214">
        <f t="shared" si="20"/>
        <v>204</v>
      </c>
      <c r="Y214" s="56"/>
    </row>
    <row r="215" spans="3:25" x14ac:dyDescent="0.3">
      <c r="C215" s="170">
        <f t="shared" si="15"/>
        <v>44114</v>
      </c>
      <c r="E215" s="284">
        <v>473143</v>
      </c>
      <c r="F215" s="7"/>
      <c r="G215" s="7">
        <v>212844</v>
      </c>
      <c r="H215" s="7"/>
      <c r="I215" s="7">
        <v>60038</v>
      </c>
      <c r="J215" s="287"/>
      <c r="K215" s="7">
        <f t="shared" ref="K215" si="45">SUM(E215:I215)</f>
        <v>746025</v>
      </c>
      <c r="L215" s="6"/>
      <c r="M215" s="481">
        <f t="shared" ref="M215" si="46">+(K215-K214)/K214</f>
        <v>3.0628694972887286E-3</v>
      </c>
      <c r="N215" s="29"/>
      <c r="O215" s="29"/>
      <c r="P215" s="29"/>
      <c r="Q215" s="375">
        <f t="shared" ref="Q215" si="47">+K215-K214</f>
        <v>2278</v>
      </c>
      <c r="R215" s="6"/>
      <c r="S215" s="7">
        <f>33290+16164+4530</f>
        <v>53984</v>
      </c>
      <c r="T215" s="6"/>
      <c r="U215" s="286">
        <f t="shared" ref="U215" si="48">+S215/K215</f>
        <v>7.2362186253811869E-2</v>
      </c>
      <c r="W215">
        <f t="shared" si="20"/>
        <v>205</v>
      </c>
      <c r="Y215" s="56"/>
    </row>
    <row r="216" spans="3:25" x14ac:dyDescent="0.3">
      <c r="C216" s="170">
        <f t="shared" si="15"/>
        <v>44115</v>
      </c>
      <c r="E216" s="284">
        <v>474286</v>
      </c>
      <c r="F216" s="7"/>
      <c r="G216" s="7">
        <v>213628</v>
      </c>
      <c r="H216" s="7"/>
      <c r="I216" s="7">
        <v>60638</v>
      </c>
      <c r="J216" s="287"/>
      <c r="K216" s="7">
        <f t="shared" ref="K216" si="49">SUM(E216:I216)</f>
        <v>748552</v>
      </c>
      <c r="L216" s="6"/>
      <c r="M216" s="481">
        <f t="shared" ref="M216" si="50">+(K216-K215)/K215</f>
        <v>3.3872859488623037E-3</v>
      </c>
      <c r="N216" s="29"/>
      <c r="O216" s="29"/>
      <c r="P216" s="29"/>
      <c r="Q216" s="375">
        <f t="shared" ref="Q216" si="51">+K216-K215</f>
        <v>2527</v>
      </c>
      <c r="R216" s="6"/>
      <c r="S216" s="7">
        <f>33290+16164+4530</f>
        <v>53984</v>
      </c>
      <c r="T216" s="6"/>
      <c r="U216" s="286">
        <f t="shared" ref="U216" si="52">+S216/K216</f>
        <v>7.2117902296700828E-2</v>
      </c>
      <c r="W216">
        <f t="shared" si="20"/>
        <v>206</v>
      </c>
      <c r="Y216" s="56"/>
    </row>
    <row r="217" spans="3:25" x14ac:dyDescent="0.3">
      <c r="C217" s="170">
        <f t="shared" si="15"/>
        <v>44116</v>
      </c>
      <c r="E217" s="284">
        <v>475315</v>
      </c>
      <c r="F217" s="7"/>
      <c r="G217" s="7">
        <v>214097</v>
      </c>
      <c r="H217" s="7"/>
      <c r="I217" s="7">
        <v>61377</v>
      </c>
      <c r="J217" s="287"/>
      <c r="K217" s="7">
        <f t="shared" ref="K217" si="53">SUM(E217:I217)</f>
        <v>750789</v>
      </c>
      <c r="L217" s="6"/>
      <c r="M217" s="481">
        <f t="shared" ref="M217" si="54">+(K217-K216)/K216</f>
        <v>2.9884363410958756E-3</v>
      </c>
      <c r="N217" s="29"/>
      <c r="O217" s="29"/>
      <c r="P217" s="29"/>
      <c r="Q217" s="375">
        <f t="shared" ref="Q217" si="55">+K217-K216</f>
        <v>2237</v>
      </c>
      <c r="R217" s="6"/>
      <c r="S217" s="7">
        <f>33301+16175+4532</f>
        <v>54008</v>
      </c>
      <c r="T217" s="6"/>
      <c r="U217" s="286">
        <f t="shared" ref="U217" si="56">+S217/K217</f>
        <v>7.1934991056075676E-2</v>
      </c>
      <c r="W217">
        <f t="shared" si="20"/>
        <v>207</v>
      </c>
      <c r="Y217" s="56"/>
    </row>
    <row r="218" spans="3:25" x14ac:dyDescent="0.3">
      <c r="C218" s="170">
        <f t="shared" si="15"/>
        <v>44117</v>
      </c>
      <c r="E218" s="284">
        <v>476708</v>
      </c>
      <c r="F218" s="7"/>
      <c r="G218" s="7">
        <v>215085</v>
      </c>
      <c r="H218" s="7"/>
      <c r="I218" s="7">
        <v>61697</v>
      </c>
      <c r="J218" s="287"/>
      <c r="K218" s="7">
        <f t="shared" ref="K218" si="57">SUM(E218:I218)</f>
        <v>753490</v>
      </c>
      <c r="L218" s="6"/>
      <c r="M218" s="481">
        <f t="shared" ref="M218" si="58">+(K218-K217)/K217</f>
        <v>3.5975487120882164E-3</v>
      </c>
      <c r="N218" s="29"/>
      <c r="O218" s="29"/>
      <c r="P218" s="29"/>
      <c r="Q218" s="375">
        <f t="shared" ref="Q218" si="59">+K218-K217</f>
        <v>2701</v>
      </c>
      <c r="R218" s="6"/>
      <c r="S218" s="7">
        <f>33306+16182+4533</f>
        <v>54021</v>
      </c>
      <c r="T218" s="6"/>
      <c r="U218" s="286">
        <f t="shared" ref="U218" si="60">+S218/K218</f>
        <v>7.1694382141766974E-2</v>
      </c>
      <c r="W218">
        <f t="shared" si="20"/>
        <v>208</v>
      </c>
      <c r="Y218" s="56"/>
    </row>
    <row r="219" spans="3:25" x14ac:dyDescent="0.3">
      <c r="C219" s="170">
        <f t="shared" si="15"/>
        <v>44118</v>
      </c>
      <c r="E219" s="284">
        <v>477940</v>
      </c>
      <c r="F219" s="7"/>
      <c r="G219" s="7">
        <v>216023</v>
      </c>
      <c r="H219" s="7"/>
      <c r="I219" s="7">
        <v>61861</v>
      </c>
      <c r="J219" s="287"/>
      <c r="K219" s="7">
        <f t="shared" ref="K219" si="61">SUM(E219:I219)</f>
        <v>755824</v>
      </c>
      <c r="L219" s="6"/>
      <c r="M219" s="481">
        <f t="shared" ref="M219" si="62">+(K219-K218)/K218</f>
        <v>3.097585900277376E-3</v>
      </c>
      <c r="N219" s="29"/>
      <c r="O219" s="29"/>
      <c r="P219" s="29"/>
      <c r="Q219" s="375">
        <f t="shared" ref="Q219" si="63">+K219-K218</f>
        <v>2334</v>
      </c>
      <c r="R219" s="6"/>
      <c r="S219" s="7">
        <f>33316+16191+4537</f>
        <v>54044</v>
      </c>
      <c r="T219" s="6"/>
      <c r="U219" s="286">
        <f t="shared" ref="U219" si="64">+S219/K219</f>
        <v>7.1503418785325679E-2</v>
      </c>
      <c r="W219">
        <f t="shared" si="20"/>
        <v>209</v>
      </c>
      <c r="Y219" s="56"/>
    </row>
    <row r="220" spans="3:25" x14ac:dyDescent="0.3">
      <c r="C220" s="170">
        <f t="shared" si="15"/>
        <v>44119</v>
      </c>
      <c r="E220" s="284">
        <v>479400</v>
      </c>
      <c r="F220" s="7"/>
      <c r="G220" s="7">
        <v>216994</v>
      </c>
      <c r="H220" s="7"/>
      <c r="I220" s="7">
        <v>62028</v>
      </c>
      <c r="J220" s="287"/>
      <c r="K220" s="7">
        <f t="shared" ref="K220" si="65">SUM(E220:I220)</f>
        <v>758422</v>
      </c>
      <c r="L220" s="6"/>
      <c r="M220" s="481">
        <f t="shared" ref="M220" si="66">+(K220-K219)/K219</f>
        <v>3.4373081563961981E-3</v>
      </c>
      <c r="N220" s="29"/>
      <c r="O220" s="29"/>
      <c r="P220" s="29"/>
      <c r="Q220" s="375">
        <f t="shared" ref="Q220" si="67">+K220-K219</f>
        <v>2598</v>
      </c>
      <c r="R220" s="6"/>
      <c r="S220" s="7">
        <f>33316+16191+4537</f>
        <v>54044</v>
      </c>
      <c r="T220" s="6"/>
      <c r="U220" s="286">
        <f t="shared" ref="U220" si="68">+S220/K220</f>
        <v>7.1258481425908002E-2</v>
      </c>
      <c r="W220">
        <f t="shared" si="20"/>
        <v>210</v>
      </c>
      <c r="Y220" s="56"/>
    </row>
    <row r="221" spans="3:25" x14ac:dyDescent="0.3">
      <c r="C221" s="170">
        <f t="shared" si="15"/>
        <v>44120</v>
      </c>
      <c r="E221" s="284">
        <v>481107</v>
      </c>
      <c r="F221" s="7"/>
      <c r="G221" s="7">
        <v>217804</v>
      </c>
      <c r="H221" s="7"/>
      <c r="I221" s="7">
        <v>62830</v>
      </c>
      <c r="J221" s="287"/>
      <c r="K221" s="7">
        <f t="shared" ref="K221" si="69">SUM(E221:I221)</f>
        <v>761741</v>
      </c>
      <c r="L221" s="6"/>
      <c r="M221" s="481">
        <f t="shared" ref="M221" si="70">+(K221-K220)/K220</f>
        <v>4.3761916189140083E-3</v>
      </c>
      <c r="N221" s="29"/>
      <c r="O221" s="29"/>
      <c r="P221" s="29"/>
      <c r="Q221" s="375">
        <f t="shared" ref="Q221" si="71">+K221-K220</f>
        <v>3319</v>
      </c>
      <c r="R221" s="6"/>
      <c r="S221" s="7">
        <f>33337+16202+4542</f>
        <v>54081</v>
      </c>
      <c r="T221" s="6"/>
      <c r="U221" s="286">
        <f t="shared" ref="U221" si="72">+S221/K221</f>
        <v>7.0996572325764271E-2</v>
      </c>
      <c r="W221">
        <f t="shared" si="20"/>
        <v>211</v>
      </c>
      <c r="Y221" s="56"/>
    </row>
    <row r="222" spans="3:25" x14ac:dyDescent="0.3">
      <c r="C222" s="170">
        <f t="shared" si="15"/>
        <v>44121</v>
      </c>
      <c r="E222" s="284">
        <v>482891</v>
      </c>
      <c r="F222" s="7"/>
      <c r="G222" s="7">
        <v>218738</v>
      </c>
      <c r="H222" s="7"/>
      <c r="I222" s="7">
        <v>62830</v>
      </c>
      <c r="J222" s="287"/>
      <c r="K222" s="7">
        <f t="shared" ref="K222" si="73">SUM(E222:I222)</f>
        <v>764459</v>
      </c>
      <c r="L222" s="6"/>
      <c r="M222" s="481">
        <f t="shared" ref="M222" si="74">+(K222-K221)/K221</f>
        <v>3.5681419275055432E-3</v>
      </c>
      <c r="N222" s="29"/>
      <c r="O222" s="29"/>
      <c r="P222" s="29"/>
      <c r="Q222" s="375">
        <f t="shared" ref="Q222" si="75">+K222-K221</f>
        <v>2718</v>
      </c>
      <c r="R222" s="6"/>
      <c r="S222" s="7">
        <f>33347+16204+4542</f>
        <v>54093</v>
      </c>
      <c r="T222" s="6"/>
      <c r="U222" s="286">
        <f t="shared" ref="U222" si="76">+S222/K222</f>
        <v>7.0759844543657677E-2</v>
      </c>
      <c r="W222">
        <f t="shared" si="20"/>
        <v>212</v>
      </c>
      <c r="Y222" s="56"/>
    </row>
    <row r="223" spans="3:25" x14ac:dyDescent="0.3">
      <c r="C223" s="170">
        <f t="shared" si="15"/>
        <v>44122</v>
      </c>
      <c r="E223" s="284">
        <v>484281</v>
      </c>
      <c r="F223" s="7"/>
      <c r="G223" s="7">
        <v>219647</v>
      </c>
      <c r="H223" s="7"/>
      <c r="I223" s="7">
        <v>62830</v>
      </c>
      <c r="J223" s="287"/>
      <c r="K223" s="7">
        <f t="shared" ref="K223" si="77">SUM(E223:I223)</f>
        <v>766758</v>
      </c>
      <c r="L223" s="6"/>
      <c r="M223" s="481">
        <f t="shared" ref="M223" si="78">+(K223-K222)/K222</f>
        <v>3.0073555285502558E-3</v>
      </c>
      <c r="N223" s="29"/>
      <c r="O223" s="29"/>
      <c r="P223" s="29"/>
      <c r="Q223" s="375">
        <f t="shared" ref="Q223" si="79">+K223-K222</f>
        <v>2299</v>
      </c>
      <c r="R223" s="6"/>
      <c r="S223" s="7">
        <f>33357+16211+4542</f>
        <v>54110</v>
      </c>
      <c r="T223" s="6"/>
      <c r="U223" s="286">
        <f t="shared" ref="U223" si="80">+S223/K223</f>
        <v>7.0569853852193262E-2</v>
      </c>
      <c r="W223">
        <f t="shared" si="20"/>
        <v>213</v>
      </c>
      <c r="Y223" s="56"/>
    </row>
    <row r="224" spans="3:25" x14ac:dyDescent="0.3">
      <c r="C224" s="170">
        <f t="shared" si="15"/>
        <v>44123</v>
      </c>
      <c r="E224" s="284"/>
      <c r="F224" s="7"/>
      <c r="G224" s="7"/>
      <c r="H224" s="7"/>
      <c r="I224" s="7"/>
      <c r="J224" s="287"/>
      <c r="K224" s="7"/>
      <c r="L224" s="6"/>
      <c r="M224" s="481"/>
      <c r="N224" s="29"/>
      <c r="O224" s="29"/>
      <c r="P224" s="29"/>
      <c r="Q224" s="375"/>
      <c r="R224" s="6"/>
      <c r="S224" s="7"/>
      <c r="T224" s="6"/>
      <c r="U224" s="286"/>
      <c r="W224">
        <f t="shared" si="20"/>
        <v>214</v>
      </c>
      <c r="Y224" s="56"/>
    </row>
    <row r="225" spans="3:41" x14ac:dyDescent="0.3">
      <c r="C225" s="170">
        <f t="shared" si="15"/>
        <v>44124</v>
      </c>
      <c r="E225" s="284"/>
      <c r="F225" s="7"/>
      <c r="G225" s="7"/>
      <c r="H225" s="7"/>
      <c r="I225" s="7"/>
      <c r="J225" s="287"/>
      <c r="K225" s="7"/>
      <c r="L225" s="6"/>
      <c r="M225" s="481"/>
      <c r="N225" s="29"/>
      <c r="O225" s="29"/>
      <c r="P225" s="29"/>
      <c r="Q225" s="375"/>
      <c r="R225" s="6"/>
      <c r="S225" s="7"/>
      <c r="T225" s="6"/>
      <c r="U225" s="286"/>
      <c r="W225">
        <f t="shared" si="20"/>
        <v>215</v>
      </c>
      <c r="Y225" s="56"/>
    </row>
    <row r="226" spans="3:41" x14ac:dyDescent="0.3">
      <c r="C226" s="170">
        <f t="shared" si="15"/>
        <v>44125</v>
      </c>
      <c r="E226" s="284"/>
      <c r="F226" s="7"/>
      <c r="G226" s="7"/>
      <c r="H226" s="7"/>
      <c r="I226" s="7"/>
      <c r="J226" s="287"/>
      <c r="K226" s="7"/>
      <c r="L226" s="6"/>
      <c r="M226" s="481"/>
      <c r="N226" s="29"/>
      <c r="O226" s="29"/>
      <c r="P226" s="29"/>
      <c r="Q226" s="375"/>
      <c r="R226" s="6"/>
      <c r="S226" s="7"/>
      <c r="T226" s="6"/>
      <c r="U226" s="286"/>
      <c r="W226">
        <f t="shared" si="20"/>
        <v>216</v>
      </c>
      <c r="Y226" s="56"/>
    </row>
    <row r="227" spans="3:41" x14ac:dyDescent="0.3">
      <c r="C227" s="170">
        <f t="shared" si="15"/>
        <v>44126</v>
      </c>
      <c r="E227" s="284"/>
      <c r="F227" s="7"/>
      <c r="G227" s="7"/>
      <c r="H227" s="7"/>
      <c r="I227" s="7"/>
      <c r="J227" s="287"/>
      <c r="K227" s="7"/>
      <c r="L227" s="6"/>
      <c r="M227" s="481"/>
      <c r="N227" s="29"/>
      <c r="O227" s="29"/>
      <c r="P227" s="29"/>
      <c r="Q227" s="375"/>
      <c r="R227" s="6"/>
      <c r="S227" s="7"/>
      <c r="T227" s="6"/>
      <c r="U227" s="286"/>
      <c r="W227">
        <f t="shared" si="20"/>
        <v>217</v>
      </c>
      <c r="Y227" s="56"/>
    </row>
    <row r="228" spans="3:41" x14ac:dyDescent="0.3">
      <c r="C228" s="170">
        <f t="shared" si="15"/>
        <v>44127</v>
      </c>
      <c r="E228" s="284"/>
      <c r="F228" s="7"/>
      <c r="G228" s="7"/>
      <c r="H228" s="7"/>
      <c r="I228" s="7"/>
      <c r="J228" s="287"/>
      <c r="K228" s="7"/>
      <c r="L228" s="6"/>
      <c r="M228" s="481"/>
      <c r="N228" s="29"/>
      <c r="O228" s="29"/>
      <c r="P228" s="29"/>
      <c r="Q228" s="375"/>
      <c r="R228" s="6"/>
      <c r="S228" s="7"/>
      <c r="T228" s="6"/>
      <c r="U228" s="286"/>
      <c r="W228">
        <f t="shared" si="20"/>
        <v>218</v>
      </c>
      <c r="Y228" s="56"/>
    </row>
    <row r="229" spans="3:41" x14ac:dyDescent="0.3">
      <c r="C229" s="170">
        <f t="shared" si="15"/>
        <v>44128</v>
      </c>
      <c r="E229" s="284"/>
      <c r="F229" s="7"/>
      <c r="G229" s="7"/>
      <c r="H229" s="7"/>
      <c r="I229" s="7"/>
      <c r="J229" s="287"/>
      <c r="K229" s="7"/>
      <c r="L229" s="6"/>
      <c r="M229" s="474"/>
      <c r="N229" s="29"/>
      <c r="O229" s="29"/>
      <c r="P229" s="29"/>
      <c r="Q229" s="375"/>
      <c r="R229" s="6"/>
      <c r="S229" s="7"/>
      <c r="T229" s="6"/>
      <c r="U229" s="286"/>
      <c r="W229">
        <f t="shared" si="20"/>
        <v>219</v>
      </c>
      <c r="Y229" s="56"/>
    </row>
    <row r="230" spans="3:41" ht="15" thickBot="1" x14ac:dyDescent="0.35">
      <c r="C230" s="170">
        <f t="shared" si="15"/>
        <v>44129</v>
      </c>
      <c r="E230" s="288"/>
      <c r="F230" s="289"/>
      <c r="G230" s="289"/>
      <c r="H230" s="289"/>
      <c r="I230" s="289"/>
      <c r="J230" s="289"/>
      <c r="K230" s="289"/>
      <c r="L230" s="290"/>
      <c r="M230" s="291"/>
      <c r="N230" s="291"/>
      <c r="O230" s="291"/>
      <c r="P230" s="291"/>
      <c r="Q230" s="374"/>
      <c r="R230" s="290"/>
      <c r="S230" s="290"/>
      <c r="T230" s="290"/>
      <c r="U230" s="292"/>
      <c r="W230">
        <f t="shared" si="20"/>
        <v>220</v>
      </c>
      <c r="Y230" s="59"/>
    </row>
    <row r="231" spans="3:41" x14ac:dyDescent="0.3">
      <c r="E231" s="56"/>
      <c r="F231" s="1"/>
      <c r="G231" s="56"/>
      <c r="H231" s="56"/>
      <c r="I231" s="56"/>
      <c r="J231" s="1"/>
      <c r="K231" s="56"/>
      <c r="S231" s="56"/>
    </row>
    <row r="232" spans="3:41" x14ac:dyDescent="0.3">
      <c r="C232" s="179" t="s">
        <v>81</v>
      </c>
      <c r="E232" s="56">
        <f>+E223</f>
        <v>484281</v>
      </c>
      <c r="F232" s="56"/>
      <c r="G232" s="56">
        <f t="shared" ref="G232:U232" si="81">+G223</f>
        <v>219647</v>
      </c>
      <c r="H232" s="56">
        <f t="shared" si="81"/>
        <v>0</v>
      </c>
      <c r="I232" s="56">
        <f t="shared" si="81"/>
        <v>62830</v>
      </c>
      <c r="J232" s="56">
        <f t="shared" si="81"/>
        <v>0</v>
      </c>
      <c r="K232" s="56">
        <f t="shared" si="81"/>
        <v>766758</v>
      </c>
      <c r="L232" s="56">
        <f t="shared" si="81"/>
        <v>0</v>
      </c>
      <c r="M232" s="56">
        <f t="shared" si="81"/>
        <v>3.0073555285502558E-3</v>
      </c>
      <c r="N232" s="56">
        <f t="shared" si="81"/>
        <v>0</v>
      </c>
      <c r="O232" s="56">
        <f t="shared" si="81"/>
        <v>0</v>
      </c>
      <c r="P232" s="56">
        <f t="shared" si="81"/>
        <v>0</v>
      </c>
      <c r="Q232" s="56">
        <f t="shared" si="81"/>
        <v>2299</v>
      </c>
      <c r="R232" s="56">
        <f t="shared" si="81"/>
        <v>0</v>
      </c>
      <c r="S232" s="56">
        <f t="shared" si="81"/>
        <v>54110</v>
      </c>
      <c r="T232" s="56">
        <f t="shared" si="81"/>
        <v>0</v>
      </c>
      <c r="U232" s="56">
        <f t="shared" si="81"/>
        <v>7.0569853852193262E-2</v>
      </c>
      <c r="V232" s="56">
        <f>+V199</f>
        <v>0</v>
      </c>
    </row>
    <row r="233" spans="3:41" x14ac:dyDescent="0.3">
      <c r="E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</row>
    <row r="234" spans="3:41" x14ac:dyDescent="0.3">
      <c r="E234" s="59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</row>
    <row r="235" spans="3:41" x14ac:dyDescent="0.3">
      <c r="C235" s="123"/>
      <c r="D235" s="124"/>
      <c r="E235" s="392"/>
      <c r="F235" s="10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</row>
    <row r="236" spans="3:41" x14ac:dyDescent="0.3">
      <c r="E236" s="56"/>
      <c r="K236" s="56"/>
      <c r="Q236" s="56"/>
    </row>
    <row r="237" spans="3:41" x14ac:dyDescent="0.3">
      <c r="Q237" s="56"/>
      <c r="S237" s="59"/>
    </row>
    <row r="240" spans="3:41" x14ac:dyDescent="0.3">
      <c r="AO240" s="1">
        <v>3797000</v>
      </c>
    </row>
    <row r="241" spans="3:41" x14ac:dyDescent="0.3">
      <c r="C241" s="1"/>
    </row>
    <row r="242" spans="3:41" x14ac:dyDescent="0.3">
      <c r="C242" s="1"/>
      <c r="AO242" s="1">
        <v>30000</v>
      </c>
    </row>
    <row r="243" spans="3:41" x14ac:dyDescent="0.3">
      <c r="C243" s="59"/>
    </row>
    <row r="244" spans="3:41" x14ac:dyDescent="0.3">
      <c r="AO244" s="277">
        <f>+AO242/AO240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217"/>
  <sheetViews>
    <sheetView topLeftCell="A154" workbookViewId="0">
      <selection activeCell="N182" sqref="N182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53" t="s">
        <v>114</v>
      </c>
      <c r="U3" s="654"/>
      <c r="V3" s="654"/>
      <c r="W3" s="654"/>
      <c r="X3" s="654"/>
      <c r="Y3" s="654"/>
      <c r="Z3" s="654"/>
      <c r="AA3" s="654"/>
      <c r="AB3" s="654"/>
      <c r="AC3" s="654"/>
      <c r="AD3" s="655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6.756196782615799E-2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56" t="s">
        <v>104</v>
      </c>
      <c r="F15" s="656"/>
      <c r="G15" s="656"/>
      <c r="H15" s="656"/>
      <c r="I15" s="656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62" t="s">
        <v>46</v>
      </c>
      <c r="E18" s="663"/>
      <c r="F18" s="663"/>
      <c r="G18" s="663"/>
      <c r="H18" s="663"/>
      <c r="I18" s="663"/>
      <c r="J18" s="663"/>
      <c r="K18" s="663"/>
      <c r="L18" s="663"/>
      <c r="M18" s="663"/>
      <c r="N18" s="663"/>
      <c r="O18" s="664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665" t="s">
        <v>75</v>
      </c>
      <c r="F19" s="665"/>
      <c r="G19" s="665"/>
      <c r="H19" s="665"/>
      <c r="I19" s="146" t="s">
        <v>74</v>
      </c>
      <c r="J19" s="147"/>
      <c r="K19" s="670" t="s">
        <v>72</v>
      </c>
      <c r="L19" s="670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Table'!H212</f>
        <v>7834845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Table'!AA238</f>
        <v>224712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15415</v>
      </c>
      <c r="J22" s="128"/>
      <c r="K22" s="139"/>
      <c r="L22" s="281">
        <v>15417</v>
      </c>
      <c r="M22" s="139"/>
      <c r="N22" s="159">
        <f>+(I22-L22)/I22</f>
        <v>-1.2974375608173857E-4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7594718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Table'!AP238</f>
        <v>5457684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666" t="s">
        <v>49</v>
      </c>
      <c r="E25" s="667"/>
      <c r="F25" s="667"/>
      <c r="G25" s="667"/>
      <c r="H25" s="667"/>
      <c r="I25" s="131">
        <f>+I23-I24</f>
        <v>2137034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5457684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666" t="s">
        <v>46</v>
      </c>
      <c r="E27" s="667"/>
      <c r="F27" s="667"/>
      <c r="G27" s="667"/>
      <c r="H27" s="667"/>
      <c r="I27" s="148">
        <f>+I25+I26</f>
        <v>7594718</v>
      </c>
      <c r="J27" s="128"/>
      <c r="K27" s="671">
        <v>7537846</v>
      </c>
      <c r="L27" s="671"/>
      <c r="M27" s="139"/>
      <c r="N27" s="149">
        <f>+I27-K27</f>
        <v>56872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668" t="s">
        <v>69</v>
      </c>
      <c r="F28" s="668"/>
      <c r="G28" s="668"/>
      <c r="H28" s="136"/>
      <c r="I28" s="274">
        <f>+I27/I32</f>
        <v>0.90564195943121906</v>
      </c>
      <c r="J28" s="139"/>
      <c r="K28" s="139"/>
      <c r="L28" s="139"/>
      <c r="M28" s="110"/>
      <c r="N28" s="506">
        <f>+N27/K27</f>
        <v>7.5448609589529956E-3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77" t="s">
        <v>114</v>
      </c>
      <c r="F31" s="678"/>
      <c r="G31" s="678"/>
      <c r="H31" s="678"/>
      <c r="I31" s="678"/>
      <c r="J31" s="679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72">
        <f>+'Main Table'!H238</f>
        <v>8386005</v>
      </c>
      <c r="J32" s="672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73">
        <f>+I27</f>
        <v>7594718</v>
      </c>
      <c r="J34" s="674"/>
      <c r="K34" s="22"/>
      <c r="L34" s="25">
        <f>+I34/$I$32</f>
        <v>0.90564195943121906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80">
        <f>+I21</f>
        <v>224712</v>
      </c>
      <c r="J35" s="681"/>
      <c r="K35" s="22"/>
      <c r="L35" s="25">
        <f>+I35/$I$32</f>
        <v>2.6796072742622978E-2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669" t="s">
        <v>114</v>
      </c>
      <c r="F36" s="669"/>
      <c r="G36" s="669"/>
      <c r="H36" s="275"/>
      <c r="I36" s="675">
        <f>+I32-I34-I35</f>
        <v>566575</v>
      </c>
      <c r="J36" s="676"/>
      <c r="K36" s="302"/>
      <c r="L36" s="276">
        <f>+I36/$I$32</f>
        <v>6.756196782615799E-2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57" t="s">
        <v>127</v>
      </c>
      <c r="E41" s="658"/>
      <c r="F41" s="658"/>
      <c r="G41" s="658"/>
      <c r="H41" s="658"/>
      <c r="I41" s="658"/>
      <c r="J41" s="658"/>
      <c r="K41" s="658"/>
      <c r="L41" s="658"/>
      <c r="M41" s="658"/>
      <c r="N41" s="658"/>
      <c r="O41" s="659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60" t="s">
        <v>75</v>
      </c>
      <c r="F42" s="660"/>
      <c r="G42" s="660"/>
      <c r="H42" s="660"/>
      <c r="I42" s="303" t="s">
        <v>74</v>
      </c>
      <c r="J42" s="304"/>
      <c r="K42" s="661" t="s">
        <v>37</v>
      </c>
      <c r="L42" s="661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Table'!AP256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83" t="s">
        <v>49</v>
      </c>
      <c r="E48" s="684"/>
      <c r="F48" s="684"/>
      <c r="G48" s="684"/>
      <c r="H48" s="684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83" t="s">
        <v>46</v>
      </c>
      <c r="E50" s="684"/>
      <c r="F50" s="684"/>
      <c r="G50" s="684"/>
      <c r="H50" s="684"/>
      <c r="I50" s="383">
        <f>+I48+I49</f>
        <v>22172</v>
      </c>
      <c r="J50" s="379"/>
      <c r="K50" s="685">
        <v>30167</v>
      </c>
      <c r="L50" s="685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86" t="s">
        <v>69</v>
      </c>
      <c r="F51" s="686"/>
      <c r="G51" s="686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81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49" t="s">
        <v>128</v>
      </c>
      <c r="F54" s="650"/>
      <c r="G54" s="650"/>
      <c r="H54" s="650"/>
      <c r="I54" s="650"/>
      <c r="J54" s="651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87">
        <f>+K50</f>
        <v>30167</v>
      </c>
      <c r="J55" s="687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88">
        <f>+I50</f>
        <v>22172</v>
      </c>
      <c r="J57" s="689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90">
        <f>+I44</f>
        <v>1836</v>
      </c>
      <c r="J58" s="691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92" t="s">
        <v>114</v>
      </c>
      <c r="F59" s="692"/>
      <c r="G59" s="692"/>
      <c r="H59" s="310"/>
      <c r="I59" s="652">
        <f>+I55-I57-I58</f>
        <v>6159</v>
      </c>
      <c r="J59" s="693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94">
        <f>+I45</f>
        <v>1397</v>
      </c>
      <c r="J60" s="694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52">
        <f>+I59-I60</f>
        <v>4762</v>
      </c>
      <c r="J61" s="652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49" t="s">
        <v>117</v>
      </c>
      <c r="F64" s="650"/>
      <c r="G64" s="650"/>
      <c r="H64" s="650"/>
      <c r="I64" s="650"/>
      <c r="J64" s="650"/>
      <c r="K64" s="650"/>
      <c r="L64" s="650"/>
      <c r="M64" s="651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82">
        <v>11690000</v>
      </c>
      <c r="J65" s="682"/>
      <c r="K65" s="682"/>
      <c r="L65" s="682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48" t="s">
        <v>108</v>
      </c>
      <c r="G67" s="648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711" t="s">
        <v>131</v>
      </c>
      <c r="E72" s="712"/>
      <c r="F72" s="712"/>
      <c r="G72" s="712"/>
      <c r="H72" s="712"/>
      <c r="I72" s="712"/>
      <c r="J72" s="712"/>
      <c r="K72" s="712"/>
      <c r="L72" s="712"/>
      <c r="M72" s="712"/>
      <c r="N72" s="712"/>
      <c r="O72" s="713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714" t="s">
        <v>75</v>
      </c>
      <c r="F73" s="714"/>
      <c r="G73" s="714"/>
      <c r="H73" s="714"/>
      <c r="I73" s="398" t="s">
        <v>74</v>
      </c>
      <c r="J73" s="399"/>
      <c r="K73" s="715" t="s">
        <v>37</v>
      </c>
      <c r="L73" s="715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Table'!AP294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716" t="s">
        <v>49</v>
      </c>
      <c r="E79" s="717"/>
      <c r="F79" s="717"/>
      <c r="G79" s="717"/>
      <c r="H79" s="717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716" t="s">
        <v>46</v>
      </c>
      <c r="E81" s="717"/>
      <c r="F81" s="717"/>
      <c r="G81" s="717"/>
      <c r="H81" s="717"/>
      <c r="I81" s="413">
        <f>+I79+I80</f>
        <v>36684</v>
      </c>
      <c r="J81" s="406"/>
      <c r="K81" s="719">
        <v>48675</v>
      </c>
      <c r="L81" s="719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718" t="s">
        <v>69</v>
      </c>
      <c r="F82" s="718"/>
      <c r="G82" s="718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:AA137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6.756196782615799E-2</v>
      </c>
      <c r="Z121" s="6"/>
      <c r="AA121" s="297">
        <f t="shared" si="7"/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>
        <v>450302</v>
      </c>
      <c r="X122" s="6"/>
      <c r="Y122" s="44">
        <v>7.5999999999999998E-2</v>
      </c>
      <c r="Z122" s="6"/>
      <c r="AA122" s="297">
        <f t="shared" si="7"/>
        <v>19292</v>
      </c>
      <c r="AB122" s="6"/>
      <c r="AC122" s="301"/>
      <c r="AD122" s="294"/>
    </row>
    <row r="123" spans="15:30" x14ac:dyDescent="0.3">
      <c r="O123" s="110"/>
      <c r="T123" s="293"/>
      <c r="U123" s="295">
        <f t="shared" si="3"/>
        <v>44068</v>
      </c>
      <c r="V123" s="6"/>
      <c r="W123" s="296">
        <v>436862</v>
      </c>
      <c r="X123" s="6"/>
      <c r="Y123" s="44">
        <v>7.2999999999999995E-2</v>
      </c>
      <c r="Z123" s="6"/>
      <c r="AA123" s="297">
        <f t="shared" si="7"/>
        <v>13440</v>
      </c>
      <c r="AB123" s="6"/>
      <c r="AC123" s="301"/>
      <c r="AD123" s="294"/>
    </row>
    <row r="124" spans="15:30" x14ac:dyDescent="0.3">
      <c r="O124" s="110"/>
      <c r="T124" s="293"/>
      <c r="U124" s="295">
        <f t="shared" si="3"/>
        <v>44069</v>
      </c>
      <c r="V124" s="6"/>
      <c r="W124" s="296">
        <v>444656</v>
      </c>
      <c r="X124" s="6"/>
      <c r="Y124" s="44">
        <v>7.3999999999999996E-2</v>
      </c>
      <c r="Z124" s="6"/>
      <c r="AA124" s="297">
        <f t="shared" si="7"/>
        <v>-7794</v>
      </c>
      <c r="AB124" s="6"/>
      <c r="AC124" s="301"/>
      <c r="AD124" s="294"/>
    </row>
    <row r="125" spans="15:30" x14ac:dyDescent="0.3">
      <c r="O125" s="110"/>
      <c r="T125" s="293"/>
      <c r="U125" s="295">
        <f t="shared" si="3"/>
        <v>44070</v>
      </c>
      <c r="V125" s="6"/>
      <c r="W125" s="296">
        <v>449813</v>
      </c>
      <c r="X125" s="6"/>
      <c r="Y125" s="44">
        <v>7.3999999999999996E-2</v>
      </c>
      <c r="Z125" s="6"/>
      <c r="AA125" s="297">
        <f t="shared" si="7"/>
        <v>-5157</v>
      </c>
      <c r="AB125" s="6"/>
      <c r="AC125" s="301"/>
      <c r="AD125" s="294"/>
    </row>
    <row r="126" spans="15:30" x14ac:dyDescent="0.3">
      <c r="O126" s="110"/>
      <c r="T126" s="293"/>
      <c r="U126" s="295">
        <f t="shared" si="3"/>
        <v>44071</v>
      </c>
      <c r="V126" s="6"/>
      <c r="W126" s="296">
        <v>455415</v>
      </c>
      <c r="X126" s="6"/>
      <c r="Y126" s="44">
        <v>7.4999999999999997E-2</v>
      </c>
      <c r="Z126" s="6"/>
      <c r="AA126" s="297">
        <f t="shared" si="7"/>
        <v>-5602</v>
      </c>
      <c r="AB126" s="6"/>
      <c r="AC126" s="301"/>
      <c r="AD126" s="294"/>
    </row>
    <row r="127" spans="15:30" x14ac:dyDescent="0.3">
      <c r="O127" s="110"/>
      <c r="T127" s="293"/>
      <c r="U127" s="295">
        <f t="shared" si="3"/>
        <v>44072</v>
      </c>
      <c r="V127" s="6"/>
      <c r="W127" s="296">
        <v>452896</v>
      </c>
      <c r="X127" s="6"/>
      <c r="Y127" s="44">
        <v>7.3999999999999996E-2</v>
      </c>
      <c r="Z127" s="6"/>
      <c r="AA127" s="297">
        <f t="shared" si="7"/>
        <v>2519</v>
      </c>
      <c r="AB127" s="6"/>
      <c r="AC127" s="301"/>
      <c r="AD127" s="294"/>
    </row>
    <row r="128" spans="15:30" x14ac:dyDescent="0.3">
      <c r="O128" s="110"/>
      <c r="T128" s="293"/>
      <c r="U128" s="295">
        <f t="shared" si="3"/>
        <v>44073</v>
      </c>
      <c r="V128" s="6"/>
      <c r="W128" s="296">
        <v>441491</v>
      </c>
      <c r="X128" s="6"/>
      <c r="Y128" s="44">
        <v>7.1999999999999995E-2</v>
      </c>
      <c r="Z128" s="6"/>
      <c r="AA128" s="297">
        <f t="shared" si="7"/>
        <v>11405</v>
      </c>
      <c r="AB128" s="6"/>
      <c r="AC128" s="301"/>
      <c r="AD128" s="294"/>
    </row>
    <row r="129" spans="15:30" x14ac:dyDescent="0.3">
      <c r="O129" s="110"/>
      <c r="T129" s="293"/>
      <c r="U129" s="295">
        <f t="shared" si="3"/>
        <v>44074</v>
      </c>
      <c r="V129" s="6"/>
      <c r="W129" s="296">
        <v>429438</v>
      </c>
      <c r="X129" s="6"/>
      <c r="Y129" s="44">
        <v>6.9000000000000006E-2</v>
      </c>
      <c r="Z129" s="6"/>
      <c r="AA129" s="297">
        <f t="shared" si="7"/>
        <v>12053</v>
      </c>
      <c r="AB129" s="6"/>
      <c r="AC129" s="301"/>
      <c r="AD129" s="294"/>
    </row>
    <row r="130" spans="15:30" x14ac:dyDescent="0.3">
      <c r="O130" s="110"/>
      <c r="T130" s="293"/>
      <c r="U130" s="295">
        <f t="shared" si="3"/>
        <v>44075</v>
      </c>
      <c r="V130" s="6"/>
      <c r="W130" s="296">
        <v>427588</v>
      </c>
      <c r="X130" s="6"/>
      <c r="Y130" s="44">
        <v>6.8000000000000005E-2</v>
      </c>
      <c r="Z130" s="6"/>
      <c r="AA130" s="297">
        <f t="shared" si="7"/>
        <v>1850</v>
      </c>
      <c r="AB130" s="6"/>
      <c r="AC130" s="301"/>
      <c r="AD130" s="294"/>
    </row>
    <row r="131" spans="15:30" x14ac:dyDescent="0.3">
      <c r="O131" s="110"/>
      <c r="T131" s="293"/>
      <c r="U131" s="295">
        <f t="shared" si="3"/>
        <v>44076</v>
      </c>
      <c r="V131" s="6"/>
      <c r="W131" s="296">
        <v>435318</v>
      </c>
      <c r="X131" s="6"/>
      <c r="Y131" s="44">
        <v>6.9000000000000006E-2</v>
      </c>
      <c r="Z131" s="6"/>
      <c r="AA131" s="297">
        <f t="shared" si="7"/>
        <v>-7730</v>
      </c>
      <c r="AB131" s="6"/>
      <c r="AC131" s="301"/>
      <c r="AD131" s="294"/>
    </row>
    <row r="132" spans="15:30" x14ac:dyDescent="0.3">
      <c r="O132" s="110"/>
      <c r="T132" s="293"/>
      <c r="U132" s="295">
        <f t="shared" si="3"/>
        <v>44077</v>
      </c>
      <c r="V132" s="6"/>
      <c r="W132" s="296">
        <v>438282</v>
      </c>
      <c r="X132" s="6"/>
      <c r="Y132" s="44">
        <v>6.9000000000000006E-2</v>
      </c>
      <c r="Z132" s="6"/>
      <c r="AA132" s="297">
        <f t="shared" si="7"/>
        <v>-2964</v>
      </c>
      <c r="AB132" s="6"/>
      <c r="AC132" s="301"/>
      <c r="AD132" s="294"/>
    </row>
    <row r="133" spans="15:30" x14ac:dyDescent="0.3">
      <c r="O133" s="110"/>
      <c r="T133" s="293"/>
      <c r="U133" s="295">
        <f t="shared" si="3"/>
        <v>44078</v>
      </c>
      <c r="V133" s="6"/>
      <c r="W133" s="296">
        <v>451057</v>
      </c>
      <c r="X133" s="6"/>
      <c r="Y133" s="44">
        <v>7.0999999999999994E-2</v>
      </c>
      <c r="Z133" s="6"/>
      <c r="AA133" s="297">
        <f t="shared" si="7"/>
        <v>-12775</v>
      </c>
      <c r="AB133" s="6"/>
      <c r="AC133" s="301"/>
      <c r="AD133" s="294"/>
    </row>
    <row r="134" spans="15:30" x14ac:dyDescent="0.3">
      <c r="O134" s="110"/>
      <c r="T134" s="293"/>
      <c r="U134" s="295">
        <f t="shared" si="3"/>
        <v>44079</v>
      </c>
      <c r="V134" s="6"/>
      <c r="W134" s="296">
        <v>448392</v>
      </c>
      <c r="X134" s="6"/>
      <c r="Y134" s="44">
        <v>7.0000000000000007E-2</v>
      </c>
      <c r="Z134" s="6"/>
      <c r="AA134" s="297">
        <f t="shared" si="7"/>
        <v>2665</v>
      </c>
      <c r="AB134" s="6"/>
      <c r="AC134" s="301"/>
      <c r="AD134" s="294"/>
    </row>
    <row r="135" spans="15:30" x14ac:dyDescent="0.3">
      <c r="O135" s="110"/>
      <c r="T135" s="293"/>
      <c r="U135" s="295">
        <f t="shared" si="3"/>
        <v>44080</v>
      </c>
      <c r="V135" s="6"/>
      <c r="W135" s="296">
        <v>433235</v>
      </c>
      <c r="X135" s="6"/>
      <c r="Y135" s="44">
        <v>6.7000000000000004E-2</v>
      </c>
      <c r="Z135" s="6"/>
      <c r="AA135" s="297">
        <f t="shared" si="7"/>
        <v>15157</v>
      </c>
      <c r="AB135" s="6"/>
      <c r="AC135" s="301"/>
      <c r="AD135" s="294"/>
    </row>
    <row r="136" spans="15:30" x14ac:dyDescent="0.3">
      <c r="O136" s="110"/>
      <c r="T136" s="293"/>
      <c r="U136" s="295">
        <f t="shared" si="3"/>
        <v>44081</v>
      </c>
      <c r="V136" s="6"/>
      <c r="W136" s="296">
        <v>408867</v>
      </c>
      <c r="X136" s="6"/>
      <c r="Y136" s="44">
        <v>6.3E-2</v>
      </c>
      <c r="Z136" s="6"/>
      <c r="AA136" s="297">
        <f t="shared" si="7"/>
        <v>24368</v>
      </c>
      <c r="AB136" s="6"/>
      <c r="AC136" s="301"/>
      <c r="AD136" s="294"/>
    </row>
    <row r="137" spans="15:30" x14ac:dyDescent="0.3">
      <c r="O137" s="110"/>
      <c r="T137" s="293"/>
      <c r="U137" s="295">
        <f t="shared" si="3"/>
        <v>44082</v>
      </c>
      <c r="V137" s="6"/>
      <c r="W137" s="296">
        <v>394768</v>
      </c>
      <c r="X137" s="6"/>
      <c r="Y137" s="44">
        <v>6.0999999999999999E-2</v>
      </c>
      <c r="Z137" s="6"/>
      <c r="AA137" s="297">
        <f t="shared" si="7"/>
        <v>14099</v>
      </c>
      <c r="AB137" s="6"/>
      <c r="AC137" s="301"/>
      <c r="AD137" s="294"/>
    </row>
    <row r="138" spans="15:30" x14ac:dyDescent="0.3">
      <c r="O138" s="110"/>
      <c r="T138" s="293"/>
      <c r="U138" s="295">
        <f t="shared" si="3"/>
        <v>44083</v>
      </c>
      <c r="V138" s="6"/>
      <c r="W138" s="296">
        <v>396020</v>
      </c>
      <c r="X138" s="6"/>
      <c r="Y138" s="44">
        <v>0.06</v>
      </c>
      <c r="Z138" s="6"/>
      <c r="AA138" s="297">
        <f t="shared" ref="AA138:AA167" si="8">+W137-W138</f>
        <v>-1252</v>
      </c>
      <c r="AB138" s="6"/>
      <c r="AC138" s="301"/>
      <c r="AD138" s="294"/>
    </row>
    <row r="139" spans="15:30" x14ac:dyDescent="0.3">
      <c r="O139" s="110"/>
      <c r="T139" s="293"/>
      <c r="U139" s="295">
        <f t="shared" si="3"/>
        <v>44084</v>
      </c>
      <c r="V139" s="6"/>
      <c r="W139" s="296">
        <v>397124</v>
      </c>
      <c r="X139" s="6"/>
      <c r="Y139" s="44">
        <v>0.06</v>
      </c>
      <c r="Z139" s="6"/>
      <c r="AA139" s="297">
        <f t="shared" si="8"/>
        <v>-1104</v>
      </c>
      <c r="AB139" s="6"/>
      <c r="AC139" s="301"/>
      <c r="AD139" s="294"/>
    </row>
    <row r="140" spans="15:30" x14ac:dyDescent="0.3">
      <c r="O140" s="110"/>
      <c r="T140" s="293"/>
      <c r="U140" s="295">
        <f t="shared" si="3"/>
        <v>44085</v>
      </c>
      <c r="V140" s="6"/>
      <c r="W140" s="296">
        <v>401586</v>
      </c>
      <c r="X140" s="6"/>
      <c r="Y140" s="44">
        <v>6.0999999999999999E-2</v>
      </c>
      <c r="Z140" s="6"/>
      <c r="AA140" s="297">
        <f t="shared" si="8"/>
        <v>-4462</v>
      </c>
      <c r="AB140" s="6"/>
      <c r="AC140" s="301"/>
      <c r="AD140" s="294"/>
    </row>
    <row r="141" spans="15:30" x14ac:dyDescent="0.3">
      <c r="O141" s="110"/>
      <c r="T141" s="293"/>
      <c r="U141" s="295">
        <f t="shared" si="3"/>
        <v>44086</v>
      </c>
      <c r="V141" s="6"/>
      <c r="W141" s="296">
        <v>399676</v>
      </c>
      <c r="X141" s="6"/>
      <c r="Y141" s="44">
        <v>0.06</v>
      </c>
      <c r="Z141" s="6"/>
      <c r="AA141" s="297">
        <f t="shared" si="8"/>
        <v>1910</v>
      </c>
      <c r="AB141" s="6"/>
      <c r="AC141" s="301"/>
      <c r="AD141" s="294"/>
    </row>
    <row r="142" spans="15:30" x14ac:dyDescent="0.3">
      <c r="O142" s="110"/>
      <c r="T142" s="293"/>
      <c r="U142" s="295">
        <f t="shared" si="3"/>
        <v>44087</v>
      </c>
      <c r="V142" s="6"/>
      <c r="W142" s="296">
        <v>385816</v>
      </c>
      <c r="X142" s="6"/>
      <c r="Y142" s="44">
        <v>5.8000000000000003E-2</v>
      </c>
      <c r="Z142" s="6"/>
      <c r="AA142" s="297">
        <f t="shared" si="8"/>
        <v>13860</v>
      </c>
      <c r="AB142" s="6"/>
      <c r="AC142" s="301"/>
      <c r="AD142" s="294"/>
    </row>
    <row r="143" spans="15:30" x14ac:dyDescent="0.3">
      <c r="O143" s="110"/>
      <c r="T143" s="293"/>
      <c r="U143" s="295">
        <f t="shared" si="3"/>
        <v>44088</v>
      </c>
      <c r="V143" s="6"/>
      <c r="W143" s="296">
        <v>371030</v>
      </c>
      <c r="X143" s="6"/>
      <c r="Y143" s="44">
        <v>5.5E-2</v>
      </c>
      <c r="Z143" s="6"/>
      <c r="AA143" s="297">
        <f t="shared" si="8"/>
        <v>14786</v>
      </c>
      <c r="AB143" s="6"/>
      <c r="AC143" s="301"/>
      <c r="AD143" s="294"/>
    </row>
    <row r="144" spans="15:30" x14ac:dyDescent="0.3">
      <c r="O144" s="110"/>
      <c r="T144" s="293"/>
      <c r="U144" s="295">
        <f t="shared" si="3"/>
        <v>44089</v>
      </c>
      <c r="V144" s="6"/>
      <c r="W144" s="296">
        <v>365385</v>
      </c>
      <c r="X144" s="6"/>
      <c r="Y144" s="44">
        <v>5.3999999999999999E-2</v>
      </c>
      <c r="Z144" s="6"/>
      <c r="AA144" s="297">
        <f t="shared" si="8"/>
        <v>5645</v>
      </c>
      <c r="AB144" s="6"/>
      <c r="AC144" s="301"/>
      <c r="AD144" s="294"/>
    </row>
    <row r="145" spans="15:30" x14ac:dyDescent="0.3">
      <c r="O145" s="110"/>
      <c r="T145" s="293"/>
      <c r="U145" s="295">
        <f t="shared" si="3"/>
        <v>44090</v>
      </c>
      <c r="V145" s="6"/>
      <c r="W145" s="296">
        <v>374482</v>
      </c>
      <c r="X145" s="6"/>
      <c r="Y145" s="44">
        <v>5.5E-2</v>
      </c>
      <c r="Z145" s="6"/>
      <c r="AA145" s="297">
        <f t="shared" si="8"/>
        <v>-9097</v>
      </c>
      <c r="AB145" s="6"/>
      <c r="AC145" s="301"/>
      <c r="AD145" s="294"/>
    </row>
    <row r="146" spans="15:30" x14ac:dyDescent="0.3">
      <c r="O146" s="110"/>
      <c r="T146" s="293"/>
      <c r="U146" s="295">
        <f t="shared" si="3"/>
        <v>44091</v>
      </c>
      <c r="V146" s="6"/>
      <c r="W146" s="296">
        <v>395427</v>
      </c>
      <c r="X146" s="6"/>
      <c r="Y146" s="44">
        <v>5.8000000000000003E-2</v>
      </c>
      <c r="Z146" s="6"/>
      <c r="AA146" s="297">
        <f t="shared" si="8"/>
        <v>-20945</v>
      </c>
      <c r="AB146" s="6"/>
      <c r="AC146" s="301"/>
      <c r="AD146" s="294"/>
    </row>
    <row r="147" spans="15:30" x14ac:dyDescent="0.3">
      <c r="O147" s="110"/>
      <c r="T147" s="293"/>
      <c r="U147" s="295">
        <f t="shared" si="3"/>
        <v>44092</v>
      </c>
      <c r="V147" s="6"/>
      <c r="W147" s="296">
        <v>418285</v>
      </c>
      <c r="X147" s="6"/>
      <c r="Y147" s="44">
        <v>0.06</v>
      </c>
      <c r="Z147" s="6"/>
      <c r="AA147" s="297">
        <f t="shared" si="8"/>
        <v>-22858</v>
      </c>
      <c r="AB147" s="6"/>
      <c r="AC147" s="301"/>
      <c r="AD147" s="294"/>
    </row>
    <row r="148" spans="15:30" x14ac:dyDescent="0.3">
      <c r="O148" s="110"/>
      <c r="T148" s="293"/>
      <c r="U148" s="295">
        <f t="shared" si="3"/>
        <v>44093</v>
      </c>
      <c r="V148" s="6"/>
      <c r="W148" s="296">
        <v>425480</v>
      </c>
      <c r="X148" s="6"/>
      <c r="Y148" s="44">
        <v>6.0999999999999999E-2</v>
      </c>
      <c r="Z148" s="6"/>
      <c r="AA148" s="297">
        <f t="shared" si="8"/>
        <v>-7195</v>
      </c>
      <c r="AB148" s="6"/>
      <c r="AC148" s="301"/>
      <c r="AD148" s="294"/>
    </row>
    <row r="149" spans="15:30" x14ac:dyDescent="0.3">
      <c r="O149" s="110"/>
      <c r="T149" s="293"/>
      <c r="U149" s="295">
        <f t="shared" si="3"/>
        <v>44094</v>
      </c>
      <c r="V149" s="6"/>
      <c r="W149" s="296">
        <v>425416</v>
      </c>
      <c r="X149" s="6"/>
      <c r="Y149" s="44">
        <v>6.0999999999999999E-2</v>
      </c>
      <c r="Z149" s="6"/>
      <c r="AA149" s="297">
        <f t="shared" si="8"/>
        <v>64</v>
      </c>
      <c r="AB149" s="6"/>
      <c r="AC149" s="301"/>
      <c r="AD149" s="294"/>
    </row>
    <row r="150" spans="15:30" x14ac:dyDescent="0.3">
      <c r="O150" s="110"/>
      <c r="T150" s="293"/>
      <c r="U150" s="295">
        <f t="shared" si="3"/>
        <v>44095</v>
      </c>
      <c r="V150" s="6"/>
      <c r="W150" s="296">
        <v>409742</v>
      </c>
      <c r="X150" s="6"/>
      <c r="Y150" s="44">
        <v>5.8000000000000003E-2</v>
      </c>
      <c r="Z150" s="6"/>
      <c r="AA150" s="297">
        <f t="shared" si="8"/>
        <v>15674</v>
      </c>
      <c r="AB150" s="6"/>
      <c r="AC150" s="301"/>
      <c r="AD150" s="294"/>
    </row>
    <row r="151" spans="15:30" x14ac:dyDescent="0.3">
      <c r="O151" s="110"/>
      <c r="T151" s="293"/>
      <c r="U151" s="295">
        <f t="shared" si="3"/>
        <v>44096</v>
      </c>
      <c r="V151" s="6"/>
      <c r="W151" s="296">
        <v>406156</v>
      </c>
      <c r="X151" s="6"/>
      <c r="Y151" s="44">
        <v>5.7000000000000002E-2</v>
      </c>
      <c r="Z151" s="6"/>
      <c r="AA151" s="297">
        <f t="shared" si="8"/>
        <v>3586</v>
      </c>
      <c r="AB151" s="6"/>
      <c r="AC151" s="301"/>
      <c r="AD151" s="294"/>
    </row>
    <row r="152" spans="15:30" x14ac:dyDescent="0.3">
      <c r="O152" s="110"/>
      <c r="T152" s="293"/>
      <c r="U152" s="295">
        <f t="shared" si="3"/>
        <v>44097</v>
      </c>
      <c r="V152" s="6"/>
      <c r="W152" s="296">
        <v>406201</v>
      </c>
      <c r="X152" s="6"/>
      <c r="Y152" s="44">
        <v>5.7000000000000002E-2</v>
      </c>
      <c r="Z152" s="6"/>
      <c r="AA152" s="297">
        <f t="shared" si="8"/>
        <v>-45</v>
      </c>
      <c r="AB152" s="6"/>
      <c r="AC152" s="301"/>
      <c r="AD152" s="294"/>
    </row>
    <row r="153" spans="15:30" x14ac:dyDescent="0.3">
      <c r="O153" s="110"/>
      <c r="T153" s="293"/>
      <c r="U153" s="295">
        <f t="shared" si="3"/>
        <v>44098</v>
      </c>
      <c r="V153" s="6"/>
      <c r="W153" s="296">
        <v>423290</v>
      </c>
      <c r="X153" s="6"/>
      <c r="Y153" s="44">
        <v>5.8999999999999997E-2</v>
      </c>
      <c r="Z153" s="6"/>
      <c r="AA153" s="297">
        <f t="shared" si="8"/>
        <v>-17089</v>
      </c>
      <c r="AB153" s="6"/>
      <c r="AC153" s="301"/>
      <c r="AD153" s="294"/>
    </row>
    <row r="154" spans="15:30" x14ac:dyDescent="0.3">
      <c r="O154" s="110"/>
      <c r="T154" s="293"/>
      <c r="U154" s="295">
        <f t="shared" si="3"/>
        <v>44099</v>
      </c>
      <c r="V154" s="6"/>
      <c r="W154" s="296">
        <v>442034</v>
      </c>
      <c r="X154" s="6"/>
      <c r="Y154" s="44">
        <v>6.0999999999999999E-2</v>
      </c>
      <c r="Z154" s="6"/>
      <c r="AA154" s="297">
        <f t="shared" si="8"/>
        <v>-18744</v>
      </c>
      <c r="AB154" s="6"/>
      <c r="AC154" s="301"/>
      <c r="AD154" s="294"/>
    </row>
    <row r="155" spans="15:30" x14ac:dyDescent="0.3">
      <c r="O155" s="110"/>
      <c r="T155" s="293"/>
      <c r="U155" s="295">
        <f t="shared" si="3"/>
        <v>44100</v>
      </c>
      <c r="V155" s="6"/>
      <c r="W155" s="296">
        <v>445041</v>
      </c>
      <c r="X155" s="6"/>
      <c r="Y155" s="44">
        <v>6.0999999999999999E-2</v>
      </c>
      <c r="Z155" s="6"/>
      <c r="AA155" s="297">
        <f t="shared" si="8"/>
        <v>-3007</v>
      </c>
      <c r="AB155" s="6"/>
      <c r="AC155" s="301"/>
      <c r="AD155" s="294"/>
    </row>
    <row r="156" spans="15:30" x14ac:dyDescent="0.3">
      <c r="O156" s="110"/>
      <c r="T156" s="293"/>
      <c r="U156" s="295">
        <f t="shared" si="3"/>
        <v>44101</v>
      </c>
      <c r="V156" s="6"/>
      <c r="W156" s="296">
        <v>432562</v>
      </c>
      <c r="X156" s="6"/>
      <c r="Y156" s="44">
        <v>5.8999999999999997E-2</v>
      </c>
      <c r="Z156" s="6"/>
      <c r="AA156" s="297">
        <f t="shared" si="8"/>
        <v>12479</v>
      </c>
      <c r="AB156" s="6"/>
      <c r="AC156" s="301"/>
      <c r="AD156" s="294"/>
    </row>
    <row r="157" spans="15:30" x14ac:dyDescent="0.3">
      <c r="O157" s="110"/>
      <c r="T157" s="293"/>
      <c r="U157" s="295">
        <f t="shared" si="3"/>
        <v>44102</v>
      </c>
      <c r="V157" s="6"/>
      <c r="W157" s="296">
        <v>418570</v>
      </c>
      <c r="X157" s="6"/>
      <c r="Y157" s="44">
        <v>5.7000000000000002E-2</v>
      </c>
      <c r="Z157" s="6"/>
      <c r="AA157" s="297">
        <f t="shared" si="8"/>
        <v>13992</v>
      </c>
      <c r="AB157" s="6"/>
      <c r="AC157" s="301"/>
      <c r="AD157" s="294"/>
    </row>
    <row r="158" spans="15:30" x14ac:dyDescent="0.3">
      <c r="O158" s="110"/>
      <c r="T158" s="293"/>
      <c r="U158" s="295">
        <f t="shared" si="3"/>
        <v>44103</v>
      </c>
      <c r="V158" s="6"/>
      <c r="W158" s="296">
        <v>419325</v>
      </c>
      <c r="X158" s="6"/>
      <c r="Y158" s="44">
        <v>5.7000000000000002E-2</v>
      </c>
      <c r="Z158" s="6"/>
      <c r="AA158" s="297">
        <f t="shared" si="8"/>
        <v>-755</v>
      </c>
      <c r="AB158" s="6"/>
      <c r="AC158" s="301"/>
      <c r="AD158" s="294"/>
    </row>
    <row r="159" spans="15:30" x14ac:dyDescent="0.3">
      <c r="O159" s="110"/>
      <c r="T159" s="293"/>
      <c r="U159" s="295">
        <f t="shared" si="3"/>
        <v>44104</v>
      </c>
      <c r="V159" s="6"/>
      <c r="W159" s="296">
        <v>426855</v>
      </c>
      <c r="X159" s="6"/>
      <c r="Y159" s="44">
        <v>5.7000000000000002E-2</v>
      </c>
      <c r="Z159" s="6"/>
      <c r="AA159" s="297">
        <f t="shared" si="8"/>
        <v>-7530</v>
      </c>
      <c r="AB159" s="6"/>
      <c r="AC159" s="301"/>
      <c r="AD159" s="294"/>
    </row>
    <row r="160" spans="15:30" x14ac:dyDescent="0.3">
      <c r="O160" s="110"/>
      <c r="T160" s="293"/>
      <c r="U160" s="295">
        <f t="shared" si="3"/>
        <v>44105</v>
      </c>
      <c r="V160" s="6"/>
      <c r="W160" s="296">
        <v>437437</v>
      </c>
      <c r="X160" s="6"/>
      <c r="Y160" s="44">
        <v>5.8000000000000003E-2</v>
      </c>
      <c r="Z160" s="6"/>
      <c r="AA160" s="297">
        <f t="shared" si="8"/>
        <v>-10582</v>
      </c>
      <c r="AB160" s="6"/>
      <c r="AC160" s="301"/>
      <c r="AD160" s="294"/>
    </row>
    <row r="161" spans="15:30" x14ac:dyDescent="0.3">
      <c r="O161" s="110"/>
      <c r="T161" s="293"/>
      <c r="U161" s="295">
        <f t="shared" si="3"/>
        <v>44106</v>
      </c>
      <c r="V161" s="6"/>
      <c r="W161" s="296">
        <v>453144</v>
      </c>
      <c r="X161" s="6"/>
      <c r="Y161" s="44">
        <v>0.06</v>
      </c>
      <c r="Z161" s="6"/>
      <c r="AA161" s="297">
        <f t="shared" si="8"/>
        <v>-15707</v>
      </c>
      <c r="AB161" s="6"/>
      <c r="AC161" s="301"/>
      <c r="AD161" s="294"/>
    </row>
    <row r="162" spans="15:30" x14ac:dyDescent="0.3">
      <c r="O162" s="110"/>
      <c r="T162" s="293"/>
      <c r="U162" s="295">
        <f t="shared" si="3"/>
        <v>44107</v>
      </c>
      <c r="V162" s="6"/>
      <c r="W162" s="296">
        <v>460453</v>
      </c>
      <c r="X162" s="6"/>
      <c r="Y162" s="44">
        <v>6.0999999999999999E-2</v>
      </c>
      <c r="Z162" s="6"/>
      <c r="AA162" s="297">
        <f t="shared" si="8"/>
        <v>-7309</v>
      </c>
      <c r="AB162" s="6"/>
      <c r="AC162" s="301"/>
      <c r="AD162" s="294"/>
    </row>
    <row r="163" spans="15:30" x14ac:dyDescent="0.3">
      <c r="O163" s="110"/>
      <c r="T163" s="293"/>
      <c r="U163" s="295">
        <f t="shared" si="3"/>
        <v>44108</v>
      </c>
      <c r="V163" s="6"/>
      <c r="W163" s="296">
        <v>449172</v>
      </c>
      <c r="X163" s="6"/>
      <c r="Y163" s="44">
        <v>5.8999999999999997E-2</v>
      </c>
      <c r="Z163" s="6"/>
      <c r="AA163" s="297">
        <f t="shared" si="8"/>
        <v>11281</v>
      </c>
      <c r="AB163" s="6"/>
      <c r="AC163" s="301"/>
      <c r="AD163" s="294"/>
    </row>
    <row r="164" spans="15:30" x14ac:dyDescent="0.3">
      <c r="O164" s="110"/>
      <c r="T164" s="293"/>
      <c r="U164" s="295">
        <f t="shared" si="3"/>
        <v>44109</v>
      </c>
      <c r="V164" s="6"/>
      <c r="W164" s="296">
        <v>433260</v>
      </c>
      <c r="X164" s="6"/>
      <c r="Y164" s="44">
        <v>5.7000000000000002E-2</v>
      </c>
      <c r="Z164" s="6"/>
      <c r="AA164" s="297">
        <f t="shared" si="8"/>
        <v>15912</v>
      </c>
      <c r="AB164" s="6"/>
      <c r="AC164" s="301"/>
      <c r="AD164" s="294"/>
    </row>
    <row r="165" spans="15:30" x14ac:dyDescent="0.3">
      <c r="O165" s="110"/>
      <c r="T165" s="293"/>
      <c r="U165" s="295">
        <f t="shared" si="3"/>
        <v>44110</v>
      </c>
      <c r="V165" s="6"/>
      <c r="W165" s="296">
        <v>434017</v>
      </c>
      <c r="X165" s="6"/>
      <c r="Y165" s="44">
        <v>5.6000000000000001E-2</v>
      </c>
      <c r="Z165" s="6"/>
      <c r="AA165" s="297">
        <f t="shared" si="8"/>
        <v>-757</v>
      </c>
      <c r="AB165" s="6"/>
      <c r="AC165" s="301"/>
      <c r="AD165" s="294"/>
    </row>
    <row r="166" spans="15:30" x14ac:dyDescent="0.3">
      <c r="O166" s="110"/>
      <c r="T166" s="293"/>
      <c r="U166" s="295">
        <f t="shared" si="3"/>
        <v>44111</v>
      </c>
      <c r="V166" s="6"/>
      <c r="W166" s="296">
        <v>448950</v>
      </c>
      <c r="X166" s="6"/>
      <c r="Y166" s="44">
        <v>5.8000000000000003E-2</v>
      </c>
      <c r="Z166" s="6"/>
      <c r="AA166" s="297">
        <f t="shared" si="8"/>
        <v>-14933</v>
      </c>
      <c r="AB166" s="6"/>
      <c r="AC166" s="301"/>
      <c r="AD166" s="294"/>
    </row>
    <row r="167" spans="15:30" x14ac:dyDescent="0.3">
      <c r="O167" s="110"/>
      <c r="T167" s="293"/>
      <c r="U167" s="295">
        <f t="shared" si="3"/>
        <v>44112</v>
      </c>
      <c r="V167" s="6"/>
      <c r="W167" s="296">
        <v>468336</v>
      </c>
      <c r="X167" s="6"/>
      <c r="Y167" s="44">
        <v>0.06</v>
      </c>
      <c r="Z167" s="6"/>
      <c r="AA167" s="297">
        <f t="shared" si="8"/>
        <v>-19386</v>
      </c>
      <c r="AB167" s="6"/>
      <c r="AC167" s="301"/>
      <c r="AD167" s="294"/>
    </row>
    <row r="168" spans="15:30" x14ac:dyDescent="0.3">
      <c r="O168" s="110"/>
      <c r="T168" s="293"/>
      <c r="U168" s="295">
        <f t="shared" si="3"/>
        <v>44113</v>
      </c>
      <c r="V168" s="6"/>
      <c r="W168" s="296">
        <v>484791</v>
      </c>
      <c r="X168" s="6"/>
      <c r="Y168" s="44">
        <v>6.2E-2</v>
      </c>
      <c r="Z168" s="6"/>
      <c r="AA168" s="297">
        <f t="shared" ref="AA168" si="9">+W167-W168</f>
        <v>-16455</v>
      </c>
      <c r="AB168" s="6"/>
      <c r="AC168" s="301"/>
      <c r="AD168" s="294"/>
    </row>
    <row r="169" spans="15:30" x14ac:dyDescent="0.3">
      <c r="O169" s="110"/>
      <c r="T169" s="293"/>
      <c r="U169" s="295">
        <f t="shared" si="3"/>
        <v>44114</v>
      </c>
      <c r="V169" s="6"/>
      <c r="W169" s="296">
        <v>494681</v>
      </c>
      <c r="X169" s="6"/>
      <c r="Y169" s="44">
        <v>6.2E-2</v>
      </c>
      <c r="Z169" s="6"/>
      <c r="AA169" s="297">
        <f t="shared" ref="AA169" si="10">+W168-W169</f>
        <v>-9890</v>
      </c>
      <c r="AB169" s="6"/>
      <c r="AC169" s="301"/>
      <c r="AD169" s="294"/>
    </row>
    <row r="170" spans="15:30" x14ac:dyDescent="0.3">
      <c r="O170" s="110"/>
      <c r="T170" s="293"/>
      <c r="U170" s="295">
        <f t="shared" si="3"/>
        <v>44115</v>
      </c>
      <c r="V170" s="6"/>
      <c r="W170" s="296">
        <v>489248</v>
      </c>
      <c r="X170" s="6"/>
      <c r="Y170" s="44">
        <v>6.0999999999999999E-2</v>
      </c>
      <c r="Z170" s="6"/>
      <c r="AA170" s="297">
        <f t="shared" ref="AA170" si="11">+W169-W170</f>
        <v>5433</v>
      </c>
      <c r="AB170" s="6"/>
      <c r="AC170" s="301"/>
      <c r="AD170" s="294"/>
    </row>
    <row r="171" spans="15:30" x14ac:dyDescent="0.3">
      <c r="O171" s="110"/>
      <c r="T171" s="293"/>
      <c r="U171" s="295">
        <f t="shared" si="3"/>
        <v>44116</v>
      </c>
      <c r="V171" s="6"/>
      <c r="W171" s="296">
        <v>489910</v>
      </c>
      <c r="X171" s="6"/>
      <c r="Y171" s="44">
        <v>6.0999999999999999E-2</v>
      </c>
      <c r="Z171" s="6"/>
      <c r="AA171" s="297">
        <f t="shared" ref="AA171" si="12">+W170-W171</f>
        <v>-662</v>
      </c>
      <c r="AB171" s="6"/>
      <c r="AC171" s="301"/>
      <c r="AD171" s="294"/>
    </row>
    <row r="172" spans="15:30" x14ac:dyDescent="0.3">
      <c r="O172" s="110"/>
      <c r="T172" s="293"/>
      <c r="U172" s="295">
        <f t="shared" si="3"/>
        <v>44117</v>
      </c>
      <c r="V172" s="6"/>
      <c r="W172" s="296">
        <v>492684</v>
      </c>
      <c r="X172" s="6"/>
      <c r="Y172" s="44">
        <v>6.0999999999999999E-2</v>
      </c>
      <c r="Z172" s="6"/>
      <c r="AA172" s="297">
        <f t="shared" ref="AA172" si="13">+W171-W172</f>
        <v>-2774</v>
      </c>
      <c r="AB172" s="6"/>
      <c r="AC172" s="301"/>
      <c r="AD172" s="294"/>
    </row>
    <row r="173" spans="15:30" x14ac:dyDescent="0.3">
      <c r="O173" s="110"/>
      <c r="T173" s="293"/>
      <c r="U173" s="295">
        <f t="shared" si="3"/>
        <v>44118</v>
      </c>
      <c r="V173" s="6"/>
      <c r="W173" s="296">
        <v>518684</v>
      </c>
      <c r="X173" s="6"/>
      <c r="Y173" s="44">
        <v>6.4000000000000001E-2</v>
      </c>
      <c r="Z173" s="6"/>
      <c r="AA173" s="297">
        <f t="shared" ref="AA173" si="14">+W172-W173</f>
        <v>-26000</v>
      </c>
      <c r="AB173" s="6"/>
      <c r="AC173" s="301"/>
      <c r="AD173" s="294"/>
    </row>
    <row r="174" spans="15:30" x14ac:dyDescent="0.3">
      <c r="O174" s="110"/>
      <c r="T174" s="293"/>
      <c r="U174" s="295">
        <f t="shared" si="3"/>
        <v>44119</v>
      </c>
      <c r="V174" s="6"/>
      <c r="W174" s="296">
        <v>546914</v>
      </c>
      <c r="X174" s="6"/>
      <c r="Y174" s="44">
        <v>6.7000000000000004E-2</v>
      </c>
      <c r="Z174" s="6"/>
      <c r="AA174" s="297">
        <f t="shared" ref="AA174" si="15">+W173-W174</f>
        <v>-28230</v>
      </c>
      <c r="AB174" s="6"/>
      <c r="AC174" s="301"/>
      <c r="AD174" s="294"/>
    </row>
    <row r="175" spans="15:30" x14ac:dyDescent="0.3">
      <c r="O175" s="110"/>
      <c r="T175" s="293"/>
      <c r="U175" s="295">
        <f t="shared" si="3"/>
        <v>44120</v>
      </c>
      <c r="V175" s="6"/>
      <c r="W175" s="296">
        <v>573981</v>
      </c>
      <c r="X175" s="6"/>
      <c r="Y175" s="44">
        <v>6.9000000000000006E-2</v>
      </c>
      <c r="Z175" s="6"/>
      <c r="AA175" s="297">
        <f t="shared" ref="AA175" si="16">+W174-W175</f>
        <v>-27067</v>
      </c>
      <c r="AB175" s="6"/>
      <c r="AC175" s="301"/>
      <c r="AD175" s="294"/>
    </row>
    <row r="176" spans="15:30" x14ac:dyDescent="0.3">
      <c r="O176" s="110"/>
      <c r="T176" s="293"/>
      <c r="U176" s="295">
        <f t="shared" si="3"/>
        <v>44121</v>
      </c>
      <c r="V176" s="6"/>
      <c r="W176" s="296">
        <v>578954</v>
      </c>
      <c r="X176" s="6"/>
      <c r="Y176" s="44">
        <v>6.9000000000000006E-2</v>
      </c>
      <c r="Z176" s="6"/>
      <c r="AA176" s="297">
        <f t="shared" ref="AA176" si="17">+W175-W176</f>
        <v>-4973</v>
      </c>
      <c r="AB176" s="6"/>
      <c r="AC176" s="301"/>
      <c r="AD176" s="294"/>
    </row>
    <row r="177" spans="5:36" x14ac:dyDescent="0.3">
      <c r="O177" s="110"/>
      <c r="T177" s="293"/>
      <c r="U177" s="295">
        <f t="shared" si="3"/>
        <v>44122</v>
      </c>
      <c r="V177" s="6"/>
      <c r="W177" s="296">
        <f>+I$36</f>
        <v>566575</v>
      </c>
      <c r="X177" s="6"/>
      <c r="Y177" s="44">
        <f>+L$36</f>
        <v>6.756196782615799E-2</v>
      </c>
      <c r="Z177" s="6"/>
      <c r="AA177" s="297">
        <f t="shared" ref="AA177" si="18">+W176-W177</f>
        <v>12379</v>
      </c>
      <c r="AB177" s="6"/>
      <c r="AC177" s="301"/>
      <c r="AD177" s="294"/>
    </row>
    <row r="178" spans="5:36" x14ac:dyDescent="0.3">
      <c r="O178" s="110"/>
      <c r="T178" s="293"/>
      <c r="U178" s="295">
        <f t="shared" si="3"/>
        <v>44123</v>
      </c>
      <c r="V178" s="6"/>
      <c r="W178" s="296"/>
      <c r="X178" s="6"/>
      <c r="Y178" s="44"/>
      <c r="Z178" s="6"/>
      <c r="AA178" s="297"/>
      <c r="AB178" s="6"/>
      <c r="AC178" s="301"/>
      <c r="AD178" s="294"/>
    </row>
    <row r="179" spans="5:36" x14ac:dyDescent="0.3">
      <c r="O179" s="110"/>
      <c r="T179" s="293"/>
      <c r="U179" s="295">
        <f t="shared" si="3"/>
        <v>44124</v>
      </c>
      <c r="V179" s="6"/>
      <c r="W179" s="296"/>
      <c r="X179" s="6"/>
      <c r="Y179" s="44"/>
      <c r="Z179" s="6"/>
      <c r="AA179" s="297"/>
      <c r="AB179" s="6"/>
      <c r="AC179" s="301"/>
      <c r="AD179" s="294"/>
    </row>
    <row r="180" spans="5:36" x14ac:dyDescent="0.3">
      <c r="O180" s="110"/>
      <c r="T180" s="293"/>
      <c r="U180" s="295">
        <f t="shared" si="3"/>
        <v>44125</v>
      </c>
      <c r="V180" s="6"/>
      <c r="W180" s="296"/>
      <c r="X180" s="6"/>
      <c r="Y180" s="44"/>
      <c r="Z180" s="6"/>
      <c r="AA180" s="297"/>
      <c r="AB180" s="6"/>
      <c r="AC180" s="301"/>
      <c r="AD180" s="294"/>
    </row>
    <row r="181" spans="5:36" ht="15" thickBot="1" x14ac:dyDescent="0.35">
      <c r="O181" s="110"/>
      <c r="T181" s="298"/>
      <c r="U181" s="393">
        <f t="shared" si="3"/>
        <v>44126</v>
      </c>
      <c r="V181" s="290"/>
      <c r="W181" s="394"/>
      <c r="X181" s="290"/>
      <c r="Y181" s="299"/>
      <c r="Z181" s="290"/>
      <c r="AA181" s="395"/>
      <c r="AB181" s="290"/>
      <c r="AC181" s="396"/>
      <c r="AD181" s="300"/>
    </row>
    <row r="182" spans="5:36" x14ac:dyDescent="0.3">
      <c r="O182" s="110"/>
    </row>
    <row r="183" spans="5:36" x14ac:dyDescent="0.3">
      <c r="O183" s="110"/>
      <c r="P183" s="57"/>
      <c r="Q183" s="57"/>
      <c r="R183" s="57"/>
    </row>
    <row r="184" spans="5:36" x14ac:dyDescent="0.3">
      <c r="O184" s="110"/>
    </row>
    <row r="185" spans="5:36" ht="15" thickBot="1" x14ac:dyDescent="0.35">
      <c r="O185" s="110"/>
    </row>
    <row r="186" spans="5:36" ht="15.6" thickTop="1" thickBot="1" x14ac:dyDescent="0.35">
      <c r="Q186" s="484"/>
      <c r="R186" s="485"/>
      <c r="S186" s="485"/>
      <c r="T186" s="485"/>
      <c r="U186" s="485"/>
      <c r="V186" s="485"/>
      <c r="W186" s="485"/>
      <c r="X186" s="485"/>
      <c r="Y186" s="485"/>
      <c r="Z186" s="485"/>
      <c r="AA186" s="485"/>
      <c r="AB186" s="486"/>
    </row>
    <row r="187" spans="5:36" ht="15" thickBot="1" x14ac:dyDescent="0.35">
      <c r="E187" s="698" t="s">
        <v>119</v>
      </c>
      <c r="F187" s="699"/>
      <c r="G187" s="699"/>
      <c r="H187" s="699"/>
      <c r="I187" s="699"/>
      <c r="J187" s="699"/>
      <c r="K187" s="699"/>
      <c r="L187" s="699"/>
      <c r="M187" s="700"/>
      <c r="Q187" s="487"/>
      <c r="R187" s="6"/>
      <c r="S187" s="6"/>
      <c r="T187" s="6"/>
      <c r="U187" s="5" t="s">
        <v>146</v>
      </c>
      <c r="V187" s="5"/>
      <c r="W187" s="5"/>
      <c r="X187" s="5"/>
      <c r="Y187" s="5"/>
      <c r="Z187" s="5"/>
      <c r="AA187" s="5" t="s">
        <v>30</v>
      </c>
      <c r="AB187" s="488"/>
    </row>
    <row r="188" spans="5:36" x14ac:dyDescent="0.3">
      <c r="E188" s="438"/>
      <c r="F188" s="439" t="s">
        <v>120</v>
      </c>
      <c r="G188" s="439"/>
      <c r="H188" s="439"/>
      <c r="I188" s="701">
        <v>21477737</v>
      </c>
      <c r="J188" s="701"/>
      <c r="K188" s="701"/>
      <c r="L188" s="701"/>
      <c r="M188" s="440"/>
      <c r="Q188" s="487"/>
      <c r="R188" s="480" t="s">
        <v>148</v>
      </c>
      <c r="S188" s="6"/>
      <c r="T188" s="6"/>
      <c r="U188" s="480" t="s">
        <v>147</v>
      </c>
      <c r="V188" s="5"/>
      <c r="W188" s="480" t="s">
        <v>20</v>
      </c>
      <c r="X188" s="5"/>
      <c r="Y188" s="480" t="s">
        <v>4</v>
      </c>
      <c r="Z188" s="5"/>
      <c r="AA188" s="489" t="s">
        <v>145</v>
      </c>
      <c r="AB188" s="488"/>
    </row>
    <row r="189" spans="5:36" x14ac:dyDescent="0.3">
      <c r="E189" s="438"/>
      <c r="F189" s="439" t="s">
        <v>110</v>
      </c>
      <c r="G189" s="439"/>
      <c r="H189" s="439"/>
      <c r="I189" s="439"/>
      <c r="J189" s="439"/>
      <c r="K189" s="439"/>
      <c r="L189" s="441">
        <f>+I201/I188</f>
        <v>4.5847474526762295E-4</v>
      </c>
      <c r="M189" s="440"/>
      <c r="Q189" s="487"/>
      <c r="R189" s="6" t="s">
        <v>135</v>
      </c>
      <c r="S189" s="6"/>
      <c r="T189" s="6"/>
      <c r="U189" s="7">
        <v>2003</v>
      </c>
      <c r="V189" s="6"/>
      <c r="W189" s="7">
        <v>389666</v>
      </c>
      <c r="X189" s="6"/>
      <c r="Y189" s="7">
        <v>31257</v>
      </c>
      <c r="Z189" s="6"/>
      <c r="AA189" s="296">
        <f>+AJ189</f>
        <v>19500</v>
      </c>
      <c r="AB189" s="488"/>
      <c r="AJ189" s="1">
        <v>19500</v>
      </c>
    </row>
    <row r="190" spans="5:36" x14ac:dyDescent="0.3">
      <c r="E190" s="438"/>
      <c r="F190" s="702" t="s">
        <v>108</v>
      </c>
      <c r="G190" s="702"/>
      <c r="H190" s="439"/>
      <c r="I190" s="439"/>
      <c r="J190" s="439"/>
      <c r="K190" s="439"/>
      <c r="L190" s="442">
        <f>+I201/(I188/100000)</f>
        <v>45.847474526762298</v>
      </c>
      <c r="M190" s="440"/>
      <c r="Q190" s="487"/>
      <c r="R190" s="6" t="s">
        <v>136</v>
      </c>
      <c r="S190" s="6"/>
      <c r="T190" s="6"/>
      <c r="U190" s="7">
        <v>1913</v>
      </c>
      <c r="V190" s="6"/>
      <c r="W190" s="7">
        <v>169892</v>
      </c>
      <c r="X190" s="6"/>
      <c r="Y190" s="7">
        <v>13076</v>
      </c>
      <c r="Z190" s="6"/>
      <c r="AA190" s="296">
        <f t="shared" ref="AA190:AA198" si="19">+AJ190</f>
        <v>8900</v>
      </c>
      <c r="AB190" s="488"/>
      <c r="AJ190" s="1">
        <v>8900</v>
      </c>
    </row>
    <row r="191" spans="5:36" x14ac:dyDescent="0.3">
      <c r="E191" s="438"/>
      <c r="F191" s="443"/>
      <c r="G191" s="443"/>
      <c r="H191" s="439"/>
      <c r="I191" s="439"/>
      <c r="J191" s="439"/>
      <c r="K191" s="439"/>
      <c r="L191" s="442"/>
      <c r="M191" s="440"/>
      <c r="Q191" s="487"/>
      <c r="R191" s="6" t="s">
        <v>137</v>
      </c>
      <c r="S191" s="6"/>
      <c r="T191" s="6"/>
      <c r="U191" s="7">
        <v>1568</v>
      </c>
      <c r="V191" s="6"/>
      <c r="W191" s="7">
        <v>16606</v>
      </c>
      <c r="X191" s="6"/>
      <c r="Y191" s="7">
        <v>912</v>
      </c>
      <c r="Z191" s="6"/>
      <c r="AA191" s="296">
        <f t="shared" si="19"/>
        <v>1100</v>
      </c>
      <c r="AB191" s="488"/>
      <c r="AJ191" s="1">
        <v>1100</v>
      </c>
    </row>
    <row r="192" spans="5:36" x14ac:dyDescent="0.3">
      <c r="E192" s="438"/>
      <c r="F192" s="443" t="s">
        <v>121</v>
      </c>
      <c r="G192" s="443"/>
      <c r="H192" s="702" t="s">
        <v>122</v>
      </c>
      <c r="I192" s="702"/>
      <c r="J192" s="439"/>
      <c r="K192" s="439"/>
      <c r="L192" s="442"/>
      <c r="M192" s="440"/>
      <c r="Q192" s="487"/>
      <c r="R192" s="6" t="s">
        <v>58</v>
      </c>
      <c r="S192" s="6"/>
      <c r="T192" s="6"/>
      <c r="U192" s="7">
        <v>1561</v>
      </c>
      <c r="V192" s="6"/>
      <c r="W192" s="7">
        <v>107611</v>
      </c>
      <c r="X192" s="6"/>
      <c r="Y192" s="7">
        <v>7937</v>
      </c>
      <c r="Z192" s="6"/>
      <c r="AA192" s="296">
        <f t="shared" si="19"/>
        <v>7000</v>
      </c>
      <c r="AB192" s="488"/>
      <c r="AJ192" s="1">
        <v>7000</v>
      </c>
    </row>
    <row r="193" spans="4:36" ht="15" thickBot="1" x14ac:dyDescent="0.35">
      <c r="E193" s="444"/>
      <c r="F193" s="445"/>
      <c r="G193" s="445"/>
      <c r="H193" s="445"/>
      <c r="I193" s="445"/>
      <c r="J193" s="445"/>
      <c r="K193" s="445"/>
      <c r="L193" s="445"/>
      <c r="M193" s="446"/>
      <c r="Q193" s="487"/>
      <c r="R193" s="6" t="s">
        <v>142</v>
      </c>
      <c r="S193" s="6"/>
      <c r="T193" s="6"/>
      <c r="U193" s="7">
        <v>1435</v>
      </c>
      <c r="V193" s="6"/>
      <c r="W193" s="7">
        <v>10128</v>
      </c>
      <c r="X193" s="6"/>
      <c r="Y193" s="7">
        <v>541</v>
      </c>
      <c r="Z193" s="6"/>
      <c r="AA193" s="296">
        <f t="shared" si="19"/>
        <v>700</v>
      </c>
      <c r="AB193" s="488"/>
      <c r="AJ193" s="1">
        <v>700</v>
      </c>
    </row>
    <row r="194" spans="4:36" x14ac:dyDescent="0.3">
      <c r="Q194" s="487"/>
      <c r="R194" s="6" t="s">
        <v>138</v>
      </c>
      <c r="S194" s="6"/>
      <c r="T194" s="6"/>
      <c r="U194" s="7">
        <v>1288</v>
      </c>
      <c r="V194" s="6"/>
      <c r="W194" s="7">
        <v>45913</v>
      </c>
      <c r="X194" s="6"/>
      <c r="Y194" s="7">
        <v>4287</v>
      </c>
      <c r="Z194" s="6"/>
      <c r="AA194" s="296">
        <f t="shared" si="19"/>
        <v>3600</v>
      </c>
      <c r="AB194" s="488"/>
      <c r="AJ194" s="1">
        <v>3600</v>
      </c>
    </row>
    <row r="195" spans="4:36" ht="15" thickBot="1" x14ac:dyDescent="0.35">
      <c r="D195" s="90"/>
      <c r="E195" s="151"/>
      <c r="F195" s="151"/>
      <c r="G195" s="151"/>
      <c r="H195" s="151"/>
      <c r="I195" s="353"/>
      <c r="J195" s="90"/>
      <c r="K195" s="110"/>
      <c r="L195" s="110"/>
      <c r="M195" s="110"/>
      <c r="N195" s="110"/>
      <c r="Q195" s="487"/>
      <c r="R195" s="6" t="s">
        <v>143</v>
      </c>
      <c r="S195" s="6"/>
      <c r="T195" s="6"/>
      <c r="U195" s="7">
        <v>1129</v>
      </c>
      <c r="V195" s="6"/>
      <c r="W195" s="7">
        <v>52477</v>
      </c>
      <c r="X195" s="6"/>
      <c r="Y195" s="7">
        <v>3152</v>
      </c>
      <c r="Z195" s="6"/>
      <c r="AA195" s="296">
        <f t="shared" si="19"/>
        <v>4600</v>
      </c>
      <c r="AB195" s="488"/>
      <c r="AJ195" s="1">
        <v>4600</v>
      </c>
    </row>
    <row r="196" spans="4:36" ht="16.2" thickBot="1" x14ac:dyDescent="0.35">
      <c r="D196" s="424"/>
      <c r="E196" s="703" t="s">
        <v>132</v>
      </c>
      <c r="F196" s="704"/>
      <c r="G196" s="704"/>
      <c r="H196" s="704"/>
      <c r="I196" s="704"/>
      <c r="J196" s="705"/>
      <c r="K196" s="425"/>
      <c r="L196" s="437" t="s">
        <v>10</v>
      </c>
      <c r="M196" s="426"/>
      <c r="N196" s="110"/>
      <c r="Q196" s="487"/>
      <c r="R196" s="6" t="s">
        <v>139</v>
      </c>
      <c r="S196" s="6"/>
      <c r="T196" s="6"/>
      <c r="U196" s="7">
        <v>1118</v>
      </c>
      <c r="V196" s="6"/>
      <c r="W196" s="7">
        <v>10889</v>
      </c>
      <c r="X196" s="6"/>
      <c r="Y196" s="7">
        <v>505</v>
      </c>
      <c r="Z196" s="6"/>
      <c r="AA196" s="296">
        <f t="shared" si="19"/>
        <v>980</v>
      </c>
      <c r="AB196" s="488"/>
      <c r="AJ196" s="1">
        <v>980</v>
      </c>
    </row>
    <row r="197" spans="4:36" x14ac:dyDescent="0.3">
      <c r="D197" s="403"/>
      <c r="E197" s="427" t="s">
        <v>88</v>
      </c>
      <c r="F197" s="16"/>
      <c r="G197" s="16"/>
      <c r="H197" s="16"/>
      <c r="I197" s="706">
        <f>+K81</f>
        <v>48675</v>
      </c>
      <c r="J197" s="706"/>
      <c r="K197" s="16"/>
      <c r="L197" s="60">
        <f>+I197/$I$197</f>
        <v>1</v>
      </c>
      <c r="M197" s="428"/>
      <c r="N197" s="110"/>
      <c r="Q197" s="487"/>
      <c r="R197" s="6" t="s">
        <v>140</v>
      </c>
      <c r="S197" s="6"/>
      <c r="T197" s="6"/>
      <c r="U197" s="7">
        <v>1093</v>
      </c>
      <c r="V197" s="6"/>
      <c r="W197" s="7">
        <v>138546</v>
      </c>
      <c r="X197" s="6"/>
      <c r="Y197" s="7">
        <v>6770</v>
      </c>
      <c r="Z197" s="6"/>
      <c r="AA197" s="296">
        <f t="shared" si="19"/>
        <v>12700</v>
      </c>
      <c r="AB197" s="488"/>
      <c r="AJ197" s="1">
        <v>12700</v>
      </c>
    </row>
    <row r="198" spans="4:36" x14ac:dyDescent="0.3">
      <c r="D198" s="403"/>
      <c r="E198" s="427"/>
      <c r="F198" s="16"/>
      <c r="G198" s="16"/>
      <c r="H198" s="16"/>
      <c r="I198" s="16"/>
      <c r="J198" s="16"/>
      <c r="K198" s="16"/>
      <c r="L198" s="16"/>
      <c r="M198" s="428"/>
      <c r="N198" s="110"/>
      <c r="Q198" s="487"/>
      <c r="R198" s="6" t="s">
        <v>141</v>
      </c>
      <c r="S198" s="6"/>
      <c r="T198" s="6"/>
      <c r="U198" s="490">
        <v>1081</v>
      </c>
      <c r="V198" s="6"/>
      <c r="W198" s="490">
        <v>65337</v>
      </c>
      <c r="X198" s="6"/>
      <c r="Y198" s="490">
        <v>3108</v>
      </c>
      <c r="Z198" s="6"/>
      <c r="AA198" s="491">
        <f t="shared" si="19"/>
        <v>6100</v>
      </c>
      <c r="AB198" s="488"/>
      <c r="AJ198" s="482">
        <v>6100</v>
      </c>
    </row>
    <row r="199" spans="4:36" x14ac:dyDescent="0.3">
      <c r="D199" s="415"/>
      <c r="E199" s="15"/>
      <c r="F199" s="429" t="s">
        <v>113</v>
      </c>
      <c r="G199" s="429"/>
      <c r="H199" s="15"/>
      <c r="I199" s="707">
        <f>+I81</f>
        <v>36684</v>
      </c>
      <c r="J199" s="708"/>
      <c r="K199" s="15"/>
      <c r="L199" s="60">
        <f>+I199/$I$197</f>
        <v>0.75365177195685673</v>
      </c>
      <c r="M199" s="408"/>
      <c r="N199" s="110"/>
      <c r="Q199" s="487"/>
      <c r="R199" s="5" t="s">
        <v>33</v>
      </c>
      <c r="S199" s="6"/>
      <c r="T199" s="6"/>
      <c r="U199" s="296">
        <f>+W199/(AA199/100)</f>
        <v>1545.0521632402579</v>
      </c>
      <c r="V199" s="6"/>
      <c r="W199" s="296">
        <f>SUM(W189:W198)</f>
        <v>1007065</v>
      </c>
      <c r="X199" s="6"/>
      <c r="Y199" s="296">
        <f>SUM(Y189:Y198)</f>
        <v>71545</v>
      </c>
      <c r="Z199" s="6"/>
      <c r="AA199" s="296">
        <f>SUM(AA189:AA198)</f>
        <v>65180</v>
      </c>
      <c r="AB199" s="488"/>
      <c r="AJ199" s="56">
        <f>SUM(AJ189:AJ198)</f>
        <v>65180</v>
      </c>
    </row>
    <row r="200" spans="4:36" x14ac:dyDescent="0.3">
      <c r="D200" s="415"/>
      <c r="E200" s="15"/>
      <c r="F200" s="15" t="s">
        <v>89</v>
      </c>
      <c r="G200" s="15"/>
      <c r="H200" s="15"/>
      <c r="I200" s="709">
        <f>+I75</f>
        <v>2144</v>
      </c>
      <c r="J200" s="710"/>
      <c r="K200" s="15"/>
      <c r="L200" s="60">
        <f>+I200/$I$197</f>
        <v>4.4047252182845401E-2</v>
      </c>
      <c r="M200" s="408"/>
      <c r="N200" s="110"/>
      <c r="Q200" s="487"/>
      <c r="R200" s="5"/>
      <c r="S200" s="6"/>
      <c r="T200" s="6"/>
      <c r="U200" s="6"/>
      <c r="V200" s="6"/>
      <c r="W200" s="296"/>
      <c r="X200" s="6"/>
      <c r="Y200" s="296"/>
      <c r="Z200" s="6"/>
      <c r="AA200" s="6"/>
      <c r="AB200" s="488"/>
      <c r="AJ200" s="56"/>
    </row>
    <row r="201" spans="4:36" ht="15" thickBot="1" x14ac:dyDescent="0.35">
      <c r="D201" s="415"/>
      <c r="E201" s="695" t="s">
        <v>114</v>
      </c>
      <c r="F201" s="695"/>
      <c r="G201" s="695"/>
      <c r="H201" s="15"/>
      <c r="I201" s="696">
        <f>+I197-I199-I200</f>
        <v>9847</v>
      </c>
      <c r="J201" s="697"/>
      <c r="K201" s="430"/>
      <c r="L201" s="431">
        <f>+I201/$I$197</f>
        <v>0.20230097586029788</v>
      </c>
      <c r="M201" s="408"/>
      <c r="N201" s="110"/>
      <c r="Q201" s="487"/>
      <c r="R201" s="5" t="s">
        <v>59</v>
      </c>
      <c r="S201" s="6"/>
      <c r="T201" s="6"/>
      <c r="U201" s="7">
        <v>7441</v>
      </c>
      <c r="V201" s="6"/>
      <c r="W201" s="7">
        <f>+'Main Table'!H106</f>
        <v>2465403</v>
      </c>
      <c r="X201" s="6"/>
      <c r="Y201" s="7">
        <f>+'Main Table'!AA106</f>
        <v>126977</v>
      </c>
      <c r="Z201" s="6"/>
      <c r="AA201" s="296">
        <v>331000</v>
      </c>
      <c r="AB201" s="488"/>
      <c r="AJ201" s="56">
        <v>333000</v>
      </c>
    </row>
    <row r="202" spans="4:36" ht="15.6" thickTop="1" thickBot="1" x14ac:dyDescent="0.35">
      <c r="D202" s="415"/>
      <c r="E202" s="432"/>
      <c r="F202" s="432"/>
      <c r="G202" s="432"/>
      <c r="H202" s="15"/>
      <c r="I202" s="433"/>
      <c r="J202" s="432"/>
      <c r="K202" s="430"/>
      <c r="L202" s="434"/>
      <c r="M202" s="408"/>
      <c r="N202" s="110"/>
      <c r="Q202" s="487"/>
      <c r="R202" s="5" t="s">
        <v>144</v>
      </c>
      <c r="S202" s="6"/>
      <c r="T202" s="6"/>
      <c r="U202" s="492"/>
      <c r="V202" s="6"/>
      <c r="W202" s="493">
        <f>+W199/W201</f>
        <v>0.40847885720914595</v>
      </c>
      <c r="X202" s="6"/>
      <c r="Y202" s="493">
        <f>+Y199/Y201</f>
        <v>0.56344849854698098</v>
      </c>
      <c r="Z202" s="6"/>
      <c r="AA202" s="493">
        <f>+AA199/AA201</f>
        <v>0.19691842900302114</v>
      </c>
      <c r="AB202" s="488"/>
      <c r="AJ202" s="483">
        <f>+AJ199/AJ201</f>
        <v>0.19573573573573574</v>
      </c>
    </row>
    <row r="203" spans="4:36" ht="15.6" thickTop="1" thickBot="1" x14ac:dyDescent="0.35">
      <c r="D203" s="435"/>
      <c r="E203" s="436"/>
      <c r="F203" s="436"/>
      <c r="G203" s="436"/>
      <c r="H203" s="436"/>
      <c r="I203" s="436"/>
      <c r="J203" s="436"/>
      <c r="K203" s="436"/>
      <c r="L203" s="436"/>
      <c r="M203" s="423"/>
      <c r="N203" s="110"/>
      <c r="Q203" s="494"/>
      <c r="R203" s="495"/>
      <c r="S203" s="495"/>
      <c r="T203" s="495"/>
      <c r="U203" s="495"/>
      <c r="V203" s="495"/>
      <c r="W203" s="495"/>
      <c r="X203" s="495"/>
      <c r="Y203" s="495"/>
      <c r="Z203" s="495"/>
      <c r="AA203" s="495"/>
      <c r="AB203" s="496"/>
    </row>
    <row r="207" spans="4:36" x14ac:dyDescent="0.3">
      <c r="F207" s="1">
        <v>1248371</v>
      </c>
    </row>
    <row r="208" spans="4:36" x14ac:dyDescent="0.3">
      <c r="W208" s="1"/>
    </row>
    <row r="209" spans="6:6" x14ac:dyDescent="0.3">
      <c r="F209">
        <v>700</v>
      </c>
    </row>
    <row r="210" spans="6:6" x14ac:dyDescent="0.3">
      <c r="F210" s="87">
        <f>+F209/F207</f>
        <v>5.6073074430597954E-4</v>
      </c>
    </row>
    <row r="212" spans="6:6" x14ac:dyDescent="0.3">
      <c r="F212" s="1">
        <v>60000</v>
      </c>
    </row>
    <row r="213" spans="6:6" x14ac:dyDescent="0.3">
      <c r="F213">
        <f>+F210*F212</f>
        <v>33.643844658358773</v>
      </c>
    </row>
    <row r="215" spans="6:6" x14ac:dyDescent="0.3">
      <c r="F215" s="1">
        <v>331000000</v>
      </c>
    </row>
    <row r="216" spans="6:6" x14ac:dyDescent="0.3">
      <c r="F216" s="56">
        <f>+W86</f>
        <v>811067</v>
      </c>
    </row>
    <row r="217" spans="6:6" x14ac:dyDescent="0.3">
      <c r="F217" s="57">
        <f>+F216/F215</f>
        <v>2.4503534743202417E-3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201:G201"/>
    <mergeCell ref="I201:J201"/>
    <mergeCell ref="E187:M187"/>
    <mergeCell ref="I188:L188"/>
    <mergeCell ref="F190:G190"/>
    <mergeCell ref="E196:J196"/>
    <mergeCell ref="I197:J197"/>
    <mergeCell ref="I199:J199"/>
    <mergeCell ref="I200:J200"/>
    <mergeCell ref="H192:I192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91" t="s">
        <v>5</v>
      </c>
      <c r="C1" s="591"/>
      <c r="D1" s="591"/>
    </row>
    <row r="2" spans="2:31" ht="15.6" x14ac:dyDescent="0.3">
      <c r="B2" s="591" t="s">
        <v>6</v>
      </c>
      <c r="C2" s="591"/>
      <c r="D2" s="591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21" t="s">
        <v>23</v>
      </c>
      <c r="E12" s="722"/>
      <c r="F12" s="722"/>
      <c r="G12" s="722"/>
      <c r="H12" s="722"/>
      <c r="I12" s="722"/>
      <c r="J12" s="722"/>
      <c r="K12" s="722"/>
      <c r="L12" s="722"/>
      <c r="M12" s="722"/>
      <c r="N12" s="722"/>
      <c r="O12" s="722"/>
      <c r="P12" s="722"/>
      <c r="Q12" s="722"/>
      <c r="R12" s="722"/>
      <c r="S12" s="722"/>
      <c r="T12" s="722"/>
      <c r="U12" s="723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20" t="s">
        <v>62</v>
      </c>
      <c r="Z14" s="720"/>
      <c r="AA14" s="720"/>
      <c r="AB14" s="720"/>
      <c r="AC14" s="720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2020-08-27T12:00:07Z</cp:lastPrinted>
  <dcterms:created xsi:type="dcterms:W3CDTF">2020-03-28T00:34:23Z</dcterms:created>
  <dcterms:modified xsi:type="dcterms:W3CDTF">2020-10-19T01:35:24Z</dcterms:modified>
</cp:coreProperties>
</file>