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78052F5D-9B97-4AD2-ABB9-75E38EA49A6F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32" i="1" l="1"/>
  <c r="BK233" i="1" s="1"/>
  <c r="BC234" i="1"/>
  <c r="BC231" i="1"/>
  <c r="S230" i="2"/>
  <c r="BL239" i="1" l="1"/>
  <c r="BD239" i="1"/>
  <c r="AU239" i="1"/>
  <c r="AN239" i="1"/>
  <c r="AM239" i="1"/>
  <c r="AF239" i="1"/>
  <c r="X239" i="1"/>
  <c r="P239" i="1"/>
  <c r="O239" i="1"/>
  <c r="BQ238" i="1"/>
  <c r="BQ239" i="1" s="1"/>
  <c r="BO238" i="1"/>
  <c r="BO239" i="1" s="1"/>
  <c r="BL238" i="1"/>
  <c r="BJ238" i="1"/>
  <c r="BJ239" i="1" s="1"/>
  <c r="BI238" i="1"/>
  <c r="BI239" i="1" s="1"/>
  <c r="BH238" i="1"/>
  <c r="BH239" i="1" s="1"/>
  <c r="BF238" i="1"/>
  <c r="BF239" i="1" s="1"/>
  <c r="BD238" i="1"/>
  <c r="BC238" i="1"/>
  <c r="BC239" i="1" s="1"/>
  <c r="BB238" i="1"/>
  <c r="BB239" i="1" s="1"/>
  <c r="BA238" i="1"/>
  <c r="BA239" i="1" s="1"/>
  <c r="AZ238" i="1"/>
  <c r="AZ239" i="1" s="1"/>
  <c r="AY238" i="1"/>
  <c r="AY239" i="1" s="1"/>
  <c r="AW238" i="1"/>
  <c r="AW239" i="1" s="1"/>
  <c r="AU238" i="1"/>
  <c r="AT238" i="1"/>
  <c r="AT239" i="1" s="1"/>
  <c r="AS238" i="1"/>
  <c r="AS239" i="1" s="1"/>
  <c r="AQ238" i="1"/>
  <c r="AQ239" i="1" s="1"/>
  <c r="AP238" i="1"/>
  <c r="AP239" i="1" s="1"/>
  <c r="AO238" i="1"/>
  <c r="AO239" i="1" s="1"/>
  <c r="AN238" i="1"/>
  <c r="AM238" i="1"/>
  <c r="AL238" i="1"/>
  <c r="AL239" i="1" s="1"/>
  <c r="AK238" i="1"/>
  <c r="AK239" i="1" s="1"/>
  <c r="AJ238" i="1"/>
  <c r="AJ239" i="1" s="1"/>
  <c r="AF238" i="1"/>
  <c r="AD238" i="1"/>
  <c r="AD239" i="1" s="1"/>
  <c r="AB238" i="1"/>
  <c r="AB239" i="1" s="1"/>
  <c r="AA238" i="1"/>
  <c r="AA239" i="1" s="1"/>
  <c r="Z238" i="1"/>
  <c r="Z239" i="1" s="1"/>
  <c r="Y238" i="1"/>
  <c r="Y239" i="1" s="1"/>
  <c r="X238" i="1"/>
  <c r="W238" i="1"/>
  <c r="W239" i="1" s="1"/>
  <c r="V238" i="1"/>
  <c r="V239" i="1" s="1"/>
  <c r="U238" i="1"/>
  <c r="U239" i="1" s="1"/>
  <c r="T238" i="1"/>
  <c r="T239" i="1" s="1"/>
  <c r="S238" i="1"/>
  <c r="S239" i="1" s="1"/>
  <c r="R238" i="1"/>
  <c r="R239" i="1" s="1"/>
  <c r="Q238" i="1"/>
  <c r="Q239" i="1" s="1"/>
  <c r="P238" i="1"/>
  <c r="O238" i="1"/>
  <c r="M238" i="1"/>
  <c r="M239" i="1" s="1"/>
  <c r="L238" i="1"/>
  <c r="L239" i="1" s="1"/>
  <c r="K238" i="1"/>
  <c r="K239" i="1" s="1"/>
  <c r="I238" i="1"/>
  <c r="I239" i="1" s="1"/>
  <c r="H238" i="1"/>
  <c r="H239" i="1" s="1"/>
  <c r="D238" i="1"/>
  <c r="D239" i="1" s="1"/>
  <c r="BW229" i="1"/>
  <c r="BN229" i="1" s="1"/>
  <c r="BN238" i="1" s="1"/>
  <c r="BN239" i="1" s="1"/>
  <c r="BE229" i="1"/>
  <c r="BE238" i="1" s="1"/>
  <c r="BE239" i="1" s="1"/>
  <c r="BA229" i="1"/>
  <c r="BK229" i="1" s="1"/>
  <c r="BM229" i="1" s="1"/>
  <c r="BM238" i="1" s="1"/>
  <c r="BM239" i="1" s="1"/>
  <c r="AX229" i="1"/>
  <c r="AX238" i="1" s="1"/>
  <c r="AX239" i="1" s="1"/>
  <c r="AL229" i="1"/>
  <c r="AR229" i="1" s="1"/>
  <c r="AR238" i="1" s="1"/>
  <c r="AR239" i="1" s="1"/>
  <c r="AG229" i="1"/>
  <c r="AI229" i="1" s="1"/>
  <c r="AI238" i="1" s="1"/>
  <c r="AI239" i="1" s="1"/>
  <c r="AA229" i="1"/>
  <c r="AE229" i="1" s="1"/>
  <c r="AE238" i="1" s="1"/>
  <c r="AE239" i="1" s="1"/>
  <c r="V229" i="1"/>
  <c r="N229" i="1"/>
  <c r="N238" i="1" s="1"/>
  <c r="N239" i="1" s="1"/>
  <c r="J229" i="1"/>
  <c r="J238" i="1" s="1"/>
  <c r="J239" i="1" s="1"/>
  <c r="H229" i="1"/>
  <c r="O229" i="1" s="1"/>
  <c r="T240" i="2"/>
  <c r="S240" i="2"/>
  <c r="R240" i="2"/>
  <c r="P240" i="2"/>
  <c r="O240" i="2"/>
  <c r="N240" i="2"/>
  <c r="L240" i="2"/>
  <c r="J240" i="2"/>
  <c r="I240" i="2"/>
  <c r="H240" i="2"/>
  <c r="G240" i="2"/>
  <c r="E240" i="2"/>
  <c r="W230" i="2"/>
  <c r="K230" i="2"/>
  <c r="Q230" i="2" s="1"/>
  <c r="Q240" i="2" s="1"/>
  <c r="I20" i="3"/>
  <c r="BK238" i="1" l="1"/>
  <c r="BK239" i="1" s="1"/>
  <c r="AG238" i="1"/>
  <c r="AG239" i="1" s="1"/>
  <c r="K240" i="2"/>
  <c r="BG229" i="1"/>
  <c r="BG238" i="1" s="1"/>
  <c r="BG239" i="1" s="1"/>
  <c r="AV229" i="1"/>
  <c r="AV238" i="1" s="1"/>
  <c r="AV239" i="1" s="1"/>
  <c r="BP229" i="1"/>
  <c r="AC229" i="1"/>
  <c r="AC238" i="1" s="1"/>
  <c r="AC239" i="1" s="1"/>
  <c r="U230" i="2"/>
  <c r="U240" i="2" s="1"/>
  <c r="M230" i="2"/>
  <c r="M240" i="2" s="1"/>
  <c r="AH229" i="1"/>
  <c r="AH238" i="1" s="1"/>
  <c r="BW228" i="1"/>
  <c r="BN228" i="1"/>
  <c r="BK228" i="1"/>
  <c r="BM228" i="1" s="1"/>
  <c r="BE228" i="1"/>
  <c r="BP228" i="1" s="1"/>
  <c r="BR228" i="1" s="1"/>
  <c r="BA228" i="1"/>
  <c r="AX228" i="1"/>
  <c r="AL228" i="1"/>
  <c r="AR228" i="1" s="1"/>
  <c r="AG228" i="1"/>
  <c r="AI228" i="1" s="1"/>
  <c r="AA228" i="1"/>
  <c r="AE228" i="1" s="1"/>
  <c r="V228" i="1"/>
  <c r="N228" i="1"/>
  <c r="J228" i="1"/>
  <c r="H228" i="1"/>
  <c r="S229" i="2"/>
  <c r="W229" i="2"/>
  <c r="W231" i="2" s="1"/>
  <c r="W232" i="2" s="1"/>
  <c r="W233" i="2" s="1"/>
  <c r="W234" i="2" s="1"/>
  <c r="W235" i="2" s="1"/>
  <c r="W236" i="2" s="1"/>
  <c r="W237" i="2" s="1"/>
  <c r="K229" i="2"/>
  <c r="M229" i="2" s="1"/>
  <c r="BW227" i="1"/>
  <c r="AX227" i="1" s="1"/>
  <c r="BE227" i="1"/>
  <c r="BP227" i="1" s="1"/>
  <c r="BR227" i="1" s="1"/>
  <c r="BA227" i="1"/>
  <c r="BK227" i="1" s="1"/>
  <c r="BM227" i="1" s="1"/>
  <c r="AL227" i="1"/>
  <c r="AR227" i="1" s="1"/>
  <c r="AG227" i="1"/>
  <c r="AI227" i="1" s="1"/>
  <c r="AA227" i="1"/>
  <c r="V227" i="1"/>
  <c r="N227" i="1"/>
  <c r="J227" i="1"/>
  <c r="H227" i="1"/>
  <c r="AV227" i="1" s="1"/>
  <c r="W228" i="2"/>
  <c r="S228" i="2"/>
  <c r="K228" i="2"/>
  <c r="Q228" i="2" s="1"/>
  <c r="C230" i="2"/>
  <c r="C231" i="2" s="1"/>
  <c r="C232" i="2" s="1"/>
  <c r="C233" i="2" s="1"/>
  <c r="C234" i="2" s="1"/>
  <c r="C235" i="2" s="1"/>
  <c r="C236" i="2" s="1"/>
  <c r="C237" i="2" s="1"/>
  <c r="C229" i="2"/>
  <c r="C228" i="2"/>
  <c r="BW226" i="1"/>
  <c r="AX226" i="1" s="1"/>
  <c r="BN226" i="1"/>
  <c r="BK226" i="1"/>
  <c r="BM226" i="1" s="1"/>
  <c r="BE226" i="1"/>
  <c r="BP226" i="1" s="1"/>
  <c r="BR226" i="1" s="1"/>
  <c r="BA226" i="1"/>
  <c r="AL226" i="1"/>
  <c r="AR226" i="1" s="1"/>
  <c r="AG226" i="1"/>
  <c r="AI226" i="1" s="1"/>
  <c r="AA226" i="1"/>
  <c r="AE226" i="1" s="1"/>
  <c r="V226" i="1"/>
  <c r="N226" i="1"/>
  <c r="J226" i="1"/>
  <c r="H226" i="1"/>
  <c r="O226" i="1" s="1"/>
  <c r="S227" i="2"/>
  <c r="K227" i="2"/>
  <c r="Q227" i="2" s="1"/>
  <c r="AH239" i="1" l="1"/>
  <c r="BR229" i="1"/>
  <c r="BR238" i="1" s="1"/>
  <c r="BR239" i="1" s="1"/>
  <c r="BP238" i="1"/>
  <c r="BP239" i="1" s="1"/>
  <c r="AH228" i="1"/>
  <c r="AH227" i="1"/>
  <c r="AC228" i="1"/>
  <c r="BG228" i="1"/>
  <c r="O228" i="1"/>
  <c r="AV228" i="1"/>
  <c r="U229" i="2"/>
  <c r="Q229" i="2"/>
  <c r="AC227" i="1"/>
  <c r="BG227" i="1"/>
  <c r="O227" i="1"/>
  <c r="BN227" i="1"/>
  <c r="AE227" i="1"/>
  <c r="U228" i="2"/>
  <c r="M228" i="2"/>
  <c r="AC226" i="1"/>
  <c r="BG226" i="1"/>
  <c r="AV226" i="1"/>
  <c r="U227" i="2"/>
  <c r="M227" i="2"/>
  <c r="AH226" i="1"/>
  <c r="BW225" i="1"/>
  <c r="BN225" i="1" s="1"/>
  <c r="BP225" i="1"/>
  <c r="BR225" i="1" s="1"/>
  <c r="BE225" i="1"/>
  <c r="BG225" i="1" s="1"/>
  <c r="BA225" i="1"/>
  <c r="BK225" i="1" s="1"/>
  <c r="BM225" i="1" s="1"/>
  <c r="AX225" i="1"/>
  <c r="AL225" i="1"/>
  <c r="AR225" i="1" s="1"/>
  <c r="AG225" i="1"/>
  <c r="AI225" i="1" s="1"/>
  <c r="AA225" i="1"/>
  <c r="AE225" i="1" s="1"/>
  <c r="V225" i="1"/>
  <c r="N225" i="1"/>
  <c r="J225" i="1"/>
  <c r="H225" i="1"/>
  <c r="O225" i="1" s="1"/>
  <c r="S226" i="2"/>
  <c r="K226" i="2"/>
  <c r="M226" i="2" s="1"/>
  <c r="U180" i="3"/>
  <c r="AV225" i="1" l="1"/>
  <c r="AC225" i="1"/>
  <c r="Q226" i="2"/>
  <c r="U226" i="2"/>
  <c r="AH225" i="1"/>
  <c r="BW224" i="1"/>
  <c r="BN224" i="1" s="1"/>
  <c r="BE224" i="1"/>
  <c r="BP224" i="1" s="1"/>
  <c r="BR224" i="1" s="1"/>
  <c r="BA224" i="1"/>
  <c r="BK224" i="1" s="1"/>
  <c r="BM224" i="1" s="1"/>
  <c r="AX224" i="1"/>
  <c r="AL224" i="1"/>
  <c r="AR224" i="1" s="1"/>
  <c r="AG224" i="1"/>
  <c r="AI224" i="1" s="1"/>
  <c r="AA224" i="1"/>
  <c r="AE224" i="1" s="1"/>
  <c r="V224" i="1"/>
  <c r="N224" i="1"/>
  <c r="J224" i="1"/>
  <c r="H224" i="1"/>
  <c r="AV224" i="1" s="1"/>
  <c r="S225" i="2"/>
  <c r="K225" i="2"/>
  <c r="M225" i="2" s="1"/>
  <c r="AC224" i="1" l="1"/>
  <c r="BG224" i="1"/>
  <c r="O224" i="1"/>
  <c r="U225" i="2"/>
  <c r="Q225" i="2"/>
  <c r="AH224" i="1"/>
  <c r="S224" i="2"/>
  <c r="K224" i="2"/>
  <c r="Q224" i="2" s="1"/>
  <c r="BW223" i="1"/>
  <c r="BN223" i="1" s="1"/>
  <c r="BE223" i="1"/>
  <c r="BP223" i="1" s="1"/>
  <c r="BR223" i="1" s="1"/>
  <c r="BA223" i="1"/>
  <c r="BK223" i="1" s="1"/>
  <c r="BM223" i="1" s="1"/>
  <c r="AX223" i="1"/>
  <c r="AL223" i="1"/>
  <c r="AR223" i="1" s="1"/>
  <c r="AG223" i="1"/>
  <c r="AI223" i="1" s="1"/>
  <c r="AA223" i="1"/>
  <c r="AE223" i="1" s="1"/>
  <c r="V223" i="1"/>
  <c r="N223" i="1"/>
  <c r="J223" i="1"/>
  <c r="H223" i="1"/>
  <c r="AV223" i="1" s="1"/>
  <c r="AC223" i="1" l="1"/>
  <c r="U224" i="2"/>
  <c r="M224" i="2"/>
  <c r="BG223" i="1"/>
  <c r="O223" i="1"/>
  <c r="AH223" i="1" l="1"/>
  <c r="BW230" i="1"/>
  <c r="BW231" i="1" s="1"/>
  <c r="BW232" i="1" s="1"/>
  <c r="BW233" i="1" s="1"/>
  <c r="BW234" i="1" s="1"/>
  <c r="BW235" i="1" s="1"/>
  <c r="BW236" i="1" s="1"/>
  <c r="BW222" i="1"/>
  <c r="BN222" i="1" s="1"/>
  <c r="BE222" i="1"/>
  <c r="BP222" i="1" s="1"/>
  <c r="BR222" i="1" s="1"/>
  <c r="BA222" i="1"/>
  <c r="BK222" i="1" s="1"/>
  <c r="BM222" i="1" s="1"/>
  <c r="AX222" i="1"/>
  <c r="AL222" i="1"/>
  <c r="AR222" i="1" s="1"/>
  <c r="AG222" i="1"/>
  <c r="AI222" i="1" s="1"/>
  <c r="AA222" i="1"/>
  <c r="AE222" i="1" s="1"/>
  <c r="V222" i="1"/>
  <c r="N222" i="1"/>
  <c r="J222" i="1"/>
  <c r="H222" i="1"/>
  <c r="AV222" i="1" s="1"/>
  <c r="B236" i="1"/>
  <c r="B223" i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S223" i="2"/>
  <c r="K223" i="2"/>
  <c r="Q223" i="2" s="1"/>
  <c r="AC222" i="1" l="1"/>
  <c r="BG222" i="1"/>
  <c r="O222" i="1"/>
  <c r="U223" i="2"/>
  <c r="M223" i="2"/>
  <c r="AH222" i="1" l="1"/>
  <c r="BK221" i="1"/>
  <c r="BM221" i="1" s="1"/>
  <c r="BE221" i="1"/>
  <c r="BA221" i="1"/>
  <c r="AL221" i="1"/>
  <c r="AR221" i="1" s="1"/>
  <c r="AG221" i="1"/>
  <c r="AI221" i="1" s="1"/>
  <c r="N221" i="1"/>
  <c r="S222" i="2"/>
  <c r="K222" i="2"/>
  <c r="M222" i="2" s="1"/>
  <c r="AH221" i="1" l="1"/>
  <c r="BG221" i="1"/>
  <c r="U222" i="2"/>
  <c r="Q222" i="2"/>
  <c r="BE220" i="1" l="1"/>
  <c r="BA220" i="1"/>
  <c r="BK220" i="1" s="1"/>
  <c r="BM220" i="1" s="1"/>
  <c r="AL220" i="1"/>
  <c r="AR220" i="1" s="1"/>
  <c r="AG220" i="1"/>
  <c r="AI220" i="1" s="1"/>
  <c r="N220" i="1"/>
  <c r="S221" i="2"/>
  <c r="U221" i="2"/>
  <c r="K221" i="2"/>
  <c r="M221" i="2" s="1"/>
  <c r="BG220" i="1" l="1"/>
  <c r="Q221" i="2"/>
  <c r="AH220" i="1"/>
  <c r="BE219" i="1"/>
  <c r="BA219" i="1"/>
  <c r="BK219" i="1" s="1"/>
  <c r="BM219" i="1" s="1"/>
  <c r="AL219" i="1"/>
  <c r="AR219" i="1" s="1"/>
  <c r="AH219" i="1"/>
  <c r="AG219" i="1"/>
  <c r="N219" i="1"/>
  <c r="S220" i="2"/>
  <c r="K220" i="2"/>
  <c r="Q220" i="2" s="1"/>
  <c r="BG219" i="1" l="1"/>
  <c r="U220" i="2"/>
  <c r="M220" i="2"/>
  <c r="BE218" i="1" l="1"/>
  <c r="BA218" i="1"/>
  <c r="AL218" i="1"/>
  <c r="AR218" i="1" s="1"/>
  <c r="AG218" i="1"/>
  <c r="N218" i="1"/>
  <c r="S219" i="2"/>
  <c r="K219" i="2"/>
  <c r="Q219" i="2" s="1"/>
  <c r="BG218" i="1" l="1"/>
  <c r="U219" i="2"/>
  <c r="M219" i="2"/>
  <c r="AH218" i="1" l="1"/>
  <c r="BE217" i="1"/>
  <c r="BA217" i="1"/>
  <c r="AL217" i="1"/>
  <c r="AR217" i="1" s="1"/>
  <c r="AG217" i="1"/>
  <c r="N217" i="1"/>
  <c r="S218" i="2"/>
  <c r="K218" i="2"/>
  <c r="Q218" i="2" s="1"/>
  <c r="AH217" i="1" l="1"/>
  <c r="BG217" i="1"/>
  <c r="U218" i="2"/>
  <c r="M218" i="2"/>
  <c r="BE216" i="1"/>
  <c r="S217" i="2"/>
  <c r="BE299" i="1"/>
  <c r="BE298" i="1"/>
  <c r="BC299" i="1"/>
  <c r="BC298" i="1"/>
  <c r="BA300" i="1"/>
  <c r="BC300" i="1" s="1"/>
  <c r="BE300" i="1" s="1"/>
  <c r="BA299" i="1"/>
  <c r="BA298" i="1"/>
  <c r="BA297" i="1"/>
  <c r="N214" i="1"/>
  <c r="N204" i="1"/>
  <c r="N174" i="1"/>
  <c r="N143" i="1"/>
  <c r="N112" i="1"/>
  <c r="BA216" i="1"/>
  <c r="AL216" i="1"/>
  <c r="AR216" i="1" s="1"/>
  <c r="AG216" i="1"/>
  <c r="N216" i="1"/>
  <c r="K217" i="2"/>
  <c r="M217" i="2" s="1"/>
  <c r="BG300" i="1" l="1"/>
  <c r="BG216" i="1"/>
  <c r="U217" i="2"/>
  <c r="Q217" i="2"/>
  <c r="BS238" i="1" l="1"/>
  <c r="BS239" i="1" s="1"/>
  <c r="AH216" i="1"/>
  <c r="BE215" i="1"/>
  <c r="BA215" i="1"/>
  <c r="AL215" i="1"/>
  <c r="AR215" i="1" s="1"/>
  <c r="AG215" i="1"/>
  <c r="N215" i="1"/>
  <c r="S216" i="2"/>
  <c r="K216" i="2"/>
  <c r="M216" i="2" s="1"/>
  <c r="BG215" i="1" l="1"/>
  <c r="U216" i="2"/>
  <c r="Q216" i="2"/>
  <c r="AH215" i="1" l="1"/>
  <c r="BE214" i="1"/>
  <c r="BA214" i="1"/>
  <c r="AL214" i="1"/>
  <c r="AR214" i="1" s="1"/>
  <c r="AG214" i="1"/>
  <c r="S215" i="2"/>
  <c r="K215" i="2"/>
  <c r="BE213" i="1"/>
  <c r="BA213" i="1"/>
  <c r="AL213" i="1"/>
  <c r="AR213" i="1" s="1"/>
  <c r="AG213" i="1"/>
  <c r="N213" i="1"/>
  <c r="S214" i="2"/>
  <c r="K214" i="2"/>
  <c r="M215" i="2" l="1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B248" i="1"/>
  <c r="D242" i="1"/>
  <c r="D241" i="1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AG242" i="1" l="1"/>
  <c r="S209" i="2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M209" i="2"/>
  <c r="K208" i="2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268" i="1"/>
  <c r="H268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O241" i="1" l="1"/>
  <c r="AA241" i="1"/>
  <c r="AA242" i="1" s="1"/>
  <c r="W241" i="1"/>
  <c r="W242" i="1" s="1"/>
  <c r="S204" i="2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287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V240" i="2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Q198" i="2"/>
  <c r="S197" i="2"/>
  <c r="K197" i="2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Q195" i="2" s="1"/>
  <c r="G238" i="1"/>
  <c r="G239" i="1" s="1"/>
  <c r="F238" i="1"/>
  <c r="F239" i="1" s="1"/>
  <c r="E238" i="1"/>
  <c r="E239" i="1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6" i="2" l="1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243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N186" i="1"/>
  <c r="S187" i="2"/>
  <c r="K187" i="2"/>
  <c r="BE185" i="1"/>
  <c r="BA185" i="1"/>
  <c r="AL185" i="1"/>
  <c r="AR185" i="1" s="1"/>
  <c r="AG185" i="1"/>
  <c r="AI192" i="1" s="1"/>
  <c r="Q185" i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N182" i="1"/>
  <c r="K183" i="2"/>
  <c r="BE181" i="1"/>
  <c r="BA181" i="1"/>
  <c r="AL181" i="1"/>
  <c r="AR181" i="1" s="1"/>
  <c r="AG181" i="1"/>
  <c r="AI188" i="1" s="1"/>
  <c r="Q181" i="1"/>
  <c r="N181" i="1"/>
  <c r="S182" i="2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Q179" i="2" l="1"/>
  <c r="M183" i="2"/>
  <c r="Q184" i="2"/>
  <c r="M184" i="2"/>
  <c r="U182" i="2"/>
  <c r="BC243" i="1"/>
  <c r="BE243" i="1" s="1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241" i="1"/>
  <c r="BK244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A248" i="1"/>
  <c r="BE172" i="1"/>
  <c r="BA172" i="1"/>
  <c r="AL172" i="1"/>
  <c r="AG172" i="1"/>
  <c r="Q172" i="1"/>
  <c r="S179" i="1" s="1"/>
  <c r="N172" i="1"/>
  <c r="K173" i="2"/>
  <c r="M175" i="2" l="1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3" i="2" l="1"/>
  <c r="BG171" i="1"/>
  <c r="BK177" i="1"/>
  <c r="BM177" i="1" s="1"/>
  <c r="U172" i="2"/>
  <c r="S170" i="2" l="1"/>
  <c r="K170" i="2"/>
  <c r="S171" i="2"/>
  <c r="U171" i="2" s="1"/>
  <c r="K171" i="2"/>
  <c r="Q172" i="2" l="1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M167" i="2" l="1"/>
  <c r="Q167" i="2"/>
  <c r="BG165" i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61" i="2" l="1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88" i="1"/>
  <c r="AP289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283" i="1"/>
  <c r="H284" i="1"/>
  <c r="J284" i="1" s="1"/>
  <c r="H285" i="1"/>
  <c r="J285" i="1" s="1"/>
  <c r="S154" i="2"/>
  <c r="M156" i="2" l="1"/>
  <c r="Q156" i="2"/>
  <c r="O285" i="1"/>
  <c r="AI154" i="1"/>
  <c r="AI161" i="1"/>
  <c r="BK160" i="1"/>
  <c r="BM160" i="1" s="1"/>
  <c r="AR154" i="1"/>
  <c r="BG154" i="1"/>
  <c r="U155" i="2"/>
  <c r="M155" i="2"/>
  <c r="J283" i="1"/>
  <c r="J290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Q155" i="2" l="1"/>
  <c r="O286" i="1"/>
  <c r="AA285" i="1"/>
  <c r="BG153" i="1"/>
  <c r="AI153" i="1"/>
  <c r="U154" i="2"/>
  <c r="S153" i="2"/>
  <c r="AG112" i="1" l="1"/>
  <c r="N131" i="1"/>
  <c r="K153" i="2"/>
  <c r="K152" i="2"/>
  <c r="S152" i="2"/>
  <c r="U152" i="2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224" i="3"/>
  <c r="F223" i="3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M147" i="2" l="1"/>
  <c r="Q147" i="2"/>
  <c r="BC242" i="1"/>
  <c r="BE242" i="1" s="1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61" i="1" l="1"/>
  <c r="AR25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60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Q135" i="2"/>
  <c r="M136" i="2"/>
  <c r="Q136" i="2"/>
  <c r="BK139" i="1"/>
  <c r="BG134" i="1"/>
  <c r="U135" i="2"/>
  <c r="M135" i="2"/>
  <c r="BG133" i="1"/>
  <c r="U134" i="2"/>
  <c r="D265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59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9" i="2" l="1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Q128" i="2" l="1"/>
  <c r="BG126" i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55" i="1" s="1"/>
  <c r="AH113" i="1"/>
  <c r="AP255" i="1" s="1"/>
  <c r="BE124" i="1"/>
  <c r="BA124" i="1"/>
  <c r="AL124" i="1"/>
  <c r="AG124" i="1"/>
  <c r="AI131" i="1" s="1"/>
  <c r="K125" i="2"/>
  <c r="S124" i="2"/>
  <c r="AV255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272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H242" i="1" s="1"/>
  <c r="AG259" i="1" l="1"/>
  <c r="AP25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56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C244" i="1" s="1"/>
  <c r="BE244" i="1" s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205" i="3"/>
  <c r="AA204" i="3"/>
  <c r="AA203" i="3"/>
  <c r="AA202" i="3"/>
  <c r="AA201" i="3"/>
  <c r="AA200" i="3"/>
  <c r="AA199" i="3"/>
  <c r="AA198" i="3"/>
  <c r="AA197" i="3"/>
  <c r="AA196" i="3"/>
  <c r="AJ206" i="3"/>
  <c r="AJ209" i="3" s="1"/>
  <c r="Y206" i="3"/>
  <c r="W206" i="3"/>
  <c r="S107" i="2"/>
  <c r="AA206" i="3" l="1"/>
  <c r="AA209" i="3" s="1"/>
  <c r="U206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17" i="3"/>
  <c r="F220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5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54" i="1"/>
  <c r="I60" i="3"/>
  <c r="AH214" i="1" l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54" i="1"/>
  <c r="AV25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07" i="3" l="1"/>
  <c r="I204" i="3"/>
  <c r="L204" i="3" s="1"/>
  <c r="I78" i="3"/>
  <c r="I80" i="3" s="1"/>
  <c r="I77" i="3"/>
  <c r="BE64" i="1"/>
  <c r="BA64" i="1"/>
  <c r="AL64" i="1"/>
  <c r="AR64" i="1" s="1"/>
  <c r="K65" i="2"/>
  <c r="Y19" i="3"/>
  <c r="Q66" i="2" l="1"/>
  <c r="M66" i="2"/>
  <c r="L207" i="3"/>
  <c r="I79" i="3"/>
  <c r="I81" i="3" s="1"/>
  <c r="I82" i="3" s="1"/>
  <c r="BG64" i="1"/>
  <c r="U65" i="2"/>
  <c r="S64" i="2"/>
  <c r="N81" i="3" l="1"/>
  <c r="N82" i="3" s="1"/>
  <c r="I206" i="3"/>
  <c r="L206" i="3" s="1"/>
  <c r="K64" i="2"/>
  <c r="BE63" i="1"/>
  <c r="BA63" i="1"/>
  <c r="AL63" i="1"/>
  <c r="AR63" i="1" s="1"/>
  <c r="Y18" i="3"/>
  <c r="Q65" i="2" l="1"/>
  <c r="M65" i="2"/>
  <c r="I208" i="3"/>
  <c r="U64" i="2"/>
  <c r="BG63" i="1"/>
  <c r="L197" i="3" l="1"/>
  <c r="L208" i="3"/>
  <c r="L196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52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86" i="3" l="1"/>
  <c r="U187" i="3" s="1"/>
  <c r="U188" i="3" s="1"/>
  <c r="U179" i="3"/>
  <c r="U181" i="3" s="1"/>
  <c r="U182" i="3" s="1"/>
  <c r="U183" i="3" s="1"/>
  <c r="U184" i="3" s="1"/>
  <c r="U185" i="3" s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96" i="1"/>
  <c r="B299" i="1"/>
  <c r="C196" i="2" l="1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C207" i="2" l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C223" i="2" l="1"/>
  <c r="C224" i="2" s="1"/>
  <c r="C225" i="2" s="1"/>
  <c r="C226" i="2" s="1"/>
  <c r="C227" i="2" s="1"/>
  <c r="C238" i="2" s="1"/>
  <c r="W152" i="2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W223" i="2" l="1"/>
  <c r="BW36" i="1"/>
  <c r="AX35" i="1"/>
  <c r="BE33" i="1"/>
  <c r="BA33" i="1"/>
  <c r="AL33" i="1"/>
  <c r="AR33" i="1" s="1"/>
  <c r="BE32" i="1"/>
  <c r="BA32" i="1"/>
  <c r="AL32" i="1"/>
  <c r="AR32" i="1" s="1"/>
  <c r="W224" i="2" l="1"/>
  <c r="BW37" i="1"/>
  <c r="AX36" i="1"/>
  <c r="BE31" i="1"/>
  <c r="BA31" i="1"/>
  <c r="AL31" i="1"/>
  <c r="AR31" i="1" s="1"/>
  <c r="W225" i="2" l="1"/>
  <c r="W226" i="2" s="1"/>
  <c r="W227" i="2" s="1"/>
  <c r="W238" i="2" s="1"/>
  <c r="BW38" i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53" i="1"/>
  <c r="BW43" i="1"/>
  <c r="BN43" i="1" s="1"/>
  <c r="AX42" i="1"/>
  <c r="BE24" i="1"/>
  <c r="BC24" i="1"/>
  <c r="AR258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60" i="1" l="1"/>
  <c r="AV260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53" i="1" l="1"/>
  <c r="AV253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50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08" i="3"/>
  <c r="Y209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08" i="3"/>
  <c r="W209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51" i="1"/>
  <c r="J252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AX220" i="1"/>
  <c r="BP208" i="1"/>
  <c r="BR207" i="1"/>
  <c r="AE189" i="1"/>
  <c r="AA190" i="1"/>
  <c r="O151" i="1"/>
  <c r="AV151" i="1"/>
  <c r="J152" i="1"/>
  <c r="H152" i="1"/>
  <c r="AC151" i="1"/>
  <c r="BN221" i="1" l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R210" i="1" l="1"/>
  <c r="BP211" i="1"/>
  <c r="BR209" i="1"/>
  <c r="AA192" i="1"/>
  <c r="AE191" i="1"/>
  <c r="J154" i="1"/>
  <c r="H154" i="1"/>
  <c r="O153" i="1"/>
  <c r="AV153" i="1"/>
  <c r="AC153" i="1"/>
  <c r="BR211" i="1" l="1"/>
  <c r="BP212" i="1"/>
  <c r="AE192" i="1"/>
  <c r="AA193" i="1"/>
  <c r="AV154" i="1"/>
  <c r="J155" i="1"/>
  <c r="H155" i="1"/>
  <c r="O154" i="1"/>
  <c r="AC154" i="1"/>
  <c r="BR212" i="1" l="1"/>
  <c r="BP213" i="1"/>
  <c r="AE193" i="1"/>
  <c r="AA194" i="1"/>
  <c r="J156" i="1"/>
  <c r="H156" i="1"/>
  <c r="AV155" i="1"/>
  <c r="O155" i="1"/>
  <c r="AC155" i="1"/>
  <c r="AA108" i="3"/>
  <c r="AA109" i="3"/>
  <c r="AA107" i="3"/>
  <c r="BR213" i="1" l="1"/>
  <c r="BP214" i="1"/>
  <c r="BP215" i="1" s="1"/>
  <c r="AE194" i="1"/>
  <c r="AA195" i="1"/>
  <c r="AA196" i="1" s="1"/>
  <c r="AV156" i="1"/>
  <c r="J157" i="1"/>
  <c r="H157" i="1"/>
  <c r="O156" i="1"/>
  <c r="AC156" i="1"/>
  <c r="BP216" i="1" l="1"/>
  <c r="BP217" i="1" s="1"/>
  <c r="BR215" i="1"/>
  <c r="BR214" i="1"/>
  <c r="AE196" i="1"/>
  <c r="AA197" i="1"/>
  <c r="AE195" i="1"/>
  <c r="O157" i="1"/>
  <c r="J158" i="1"/>
  <c r="H158" i="1"/>
  <c r="AV157" i="1"/>
  <c r="AC157" i="1"/>
  <c r="BR217" i="1" l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R218" i="1" l="1"/>
  <c r="BP219" i="1"/>
  <c r="AA199" i="1"/>
  <c r="AA200" i="1" s="1"/>
  <c r="AE198" i="1"/>
  <c r="AV159" i="1"/>
  <c r="J160" i="1"/>
  <c r="H160" i="1"/>
  <c r="O159" i="1"/>
  <c r="AC159" i="1"/>
  <c r="BR219" i="1" l="1"/>
  <c r="BP220" i="1"/>
  <c r="AA201" i="1"/>
  <c r="AE200" i="1"/>
  <c r="AE199" i="1"/>
  <c r="O160" i="1"/>
  <c r="H161" i="1"/>
  <c r="J161" i="1"/>
  <c r="AV160" i="1"/>
  <c r="AC160" i="1"/>
  <c r="BR220" i="1" l="1"/>
  <c r="BP221" i="1"/>
  <c r="AE201" i="1"/>
  <c r="AA202" i="1"/>
  <c r="O161" i="1"/>
  <c r="H162" i="1"/>
  <c r="J162" i="1"/>
  <c r="AV161" i="1"/>
  <c r="AC161" i="1"/>
  <c r="BR221" i="1" l="1"/>
  <c r="AA203" i="1"/>
  <c r="AE202" i="1"/>
  <c r="J163" i="1"/>
  <c r="H163" i="1"/>
  <c r="O162" i="1"/>
  <c r="AV162" i="1"/>
  <c r="AC162" i="1"/>
  <c r="AA204" i="1" l="1"/>
  <c r="AE203" i="1"/>
  <c r="O163" i="1"/>
  <c r="J164" i="1"/>
  <c r="H164" i="1"/>
  <c r="AV163" i="1"/>
  <c r="AC163" i="1"/>
  <c r="AA205" i="1" l="1"/>
  <c r="AA206" i="1" s="1"/>
  <c r="H269" i="1"/>
  <c r="AE204" i="1"/>
  <c r="O164" i="1"/>
  <c r="H165" i="1"/>
  <c r="AV164" i="1"/>
  <c r="J165" i="1"/>
  <c r="AC164" i="1"/>
  <c r="AE206" i="1" l="1"/>
  <c r="AA207" i="1"/>
  <c r="AE205" i="1"/>
  <c r="O165" i="1"/>
  <c r="AV165" i="1"/>
  <c r="H166" i="1"/>
  <c r="J166" i="1"/>
  <c r="AC165" i="1"/>
  <c r="AA121" i="3"/>
  <c r="AA119" i="3"/>
  <c r="AA120" i="3"/>
  <c r="AA118" i="3"/>
  <c r="AE207" i="1" l="1"/>
  <c r="AA208" i="1"/>
  <c r="J167" i="1"/>
  <c r="O166" i="1"/>
  <c r="AV166" i="1"/>
  <c r="H167" i="1"/>
  <c r="AC166" i="1"/>
  <c r="AA209" i="1" l="1"/>
  <c r="AA210" i="1" s="1"/>
  <c r="AE208" i="1"/>
  <c r="H168" i="1"/>
  <c r="J168" i="1"/>
  <c r="O167" i="1"/>
  <c r="AV167" i="1"/>
  <c r="AC167" i="1"/>
  <c r="AE210" i="1" l="1"/>
  <c r="AA211" i="1"/>
  <c r="AE209" i="1"/>
  <c r="J169" i="1"/>
  <c r="H169" i="1"/>
  <c r="AV168" i="1"/>
  <c r="O168" i="1"/>
  <c r="AC168" i="1"/>
  <c r="AE211" i="1" l="1"/>
  <c r="AA212" i="1"/>
  <c r="O169" i="1"/>
  <c r="J170" i="1"/>
  <c r="H170" i="1"/>
  <c r="AV169" i="1"/>
  <c r="AC169" i="1"/>
  <c r="AE212" i="1" l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AE213" i="1" l="1"/>
  <c r="AA214" i="1"/>
  <c r="AA215" i="1" s="1"/>
  <c r="O171" i="1"/>
  <c r="J172" i="1"/>
  <c r="H172" i="1"/>
  <c r="AV171" i="1"/>
  <c r="AC171" i="1"/>
  <c r="AA216" i="1" l="1"/>
  <c r="AA217" i="1" s="1"/>
  <c r="AE215" i="1"/>
  <c r="AE214" i="1"/>
  <c r="O172" i="1"/>
  <c r="J173" i="1"/>
  <c r="H173" i="1"/>
  <c r="AV172" i="1"/>
  <c r="AC172" i="1"/>
  <c r="AA218" i="1" l="1"/>
  <c r="AE217" i="1"/>
  <c r="AE216" i="1"/>
  <c r="J174" i="1"/>
  <c r="H174" i="1"/>
  <c r="O173" i="1"/>
  <c r="AV173" i="1"/>
  <c r="AC173" i="1"/>
  <c r="AA219" i="1" l="1"/>
  <c r="AE218" i="1"/>
  <c r="O174" i="1"/>
  <c r="J175" i="1"/>
  <c r="H175" i="1"/>
  <c r="AV174" i="1"/>
  <c r="AC174" i="1"/>
  <c r="AA220" i="1" l="1"/>
  <c r="AE219" i="1"/>
  <c r="AV175" i="1"/>
  <c r="J176" i="1"/>
  <c r="H176" i="1"/>
  <c r="O175" i="1"/>
  <c r="AC175" i="1"/>
  <c r="AE220" i="1" l="1"/>
  <c r="AA221" i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E221" i="1" l="1"/>
  <c r="AV177" i="1"/>
  <c r="H178" i="1"/>
  <c r="J178" i="1"/>
  <c r="O177" i="1"/>
  <c r="AC177" i="1"/>
  <c r="AJ21" i="2" l="1"/>
  <c r="I21" i="3"/>
  <c r="I35" i="3" s="1"/>
  <c r="AD49" i="2"/>
  <c r="AD51" i="2" s="1"/>
  <c r="AD53" i="2" s="1"/>
  <c r="AD55" i="2" s="1"/>
  <c r="AD57" i="2" s="1"/>
  <c r="AV178" i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J200" i="1" l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H206" i="1" l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I23" i="3" s="1"/>
  <c r="I25" i="3" s="1"/>
  <c r="I27" i="3" s="1"/>
  <c r="AV211" i="1"/>
  <c r="AC211" i="1"/>
  <c r="N27" i="3" l="1"/>
  <c r="N28" i="3" s="1"/>
  <c r="I34" i="3"/>
  <c r="AV212" i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AC215" i="1"/>
  <c r="O215" i="1"/>
  <c r="H217" i="1" l="1"/>
  <c r="J217" i="1"/>
  <c r="O216" i="1"/>
  <c r="AV216" i="1"/>
  <c r="AC216" i="1"/>
  <c r="AV217" i="1" l="1"/>
  <c r="J218" i="1"/>
  <c r="H218" i="1"/>
  <c r="O217" i="1"/>
  <c r="AC217" i="1"/>
  <c r="AA170" i="3"/>
  <c r="O218" i="1" l="1"/>
  <c r="J219" i="1"/>
  <c r="H219" i="1"/>
  <c r="AV218" i="1"/>
  <c r="AC218" i="1"/>
  <c r="AV219" i="1" l="1"/>
  <c r="J220" i="1"/>
  <c r="H220" i="1"/>
  <c r="O219" i="1"/>
  <c r="AC219" i="1"/>
  <c r="AA176" i="3"/>
  <c r="AA174" i="3"/>
  <c r="AA175" i="3"/>
  <c r="AA172" i="3"/>
  <c r="AA173" i="3"/>
  <c r="AA171" i="3"/>
  <c r="AV220" i="1" l="1"/>
  <c r="H221" i="1"/>
  <c r="J221" i="1"/>
  <c r="O220" i="1"/>
  <c r="AC220" i="1"/>
  <c r="AV221" i="1" l="1"/>
  <c r="O221" i="1"/>
  <c r="AC221" i="1"/>
  <c r="AF21" i="2" l="1"/>
  <c r="I32" i="3"/>
  <c r="I36" i="3" l="1"/>
  <c r="W184" i="3" s="1"/>
  <c r="AA184" i="3" s="1"/>
  <c r="L35" i="3"/>
  <c r="L34" i="3"/>
  <c r="L32" i="3"/>
  <c r="I28" i="3"/>
  <c r="AA182" i="3" l="1"/>
  <c r="AA183" i="3"/>
  <c r="AA180" i="3"/>
  <c r="AA181" i="3"/>
  <c r="AA178" i="3"/>
  <c r="AA179" i="3"/>
  <c r="L36" i="3"/>
  <c r="Y184" i="3" s="1"/>
  <c r="AA177" i="3"/>
  <c r="Y121" i="3" l="1"/>
  <c r="Y12" i="3"/>
</calcChain>
</file>

<file path=xl/sharedStrings.xml><?xml version="1.0" encoding="utf-8"?>
<sst xmlns="http://schemas.openxmlformats.org/spreadsheetml/2006/main" count="308" uniqueCount="175">
  <si>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</si>
  <si>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</si>
  <si>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</si>
  <si>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</si>
  <si>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</si>
  <si>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</si>
  <si>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</si>
  <si>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</si>
  <si>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</si>
  <si>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</si>
  <si>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</si>
  <si>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</si>
  <si>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</si>
  <si>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</si>
  <si>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</si>
  <si>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</si>
  <si>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</si>
  <si>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</si>
  <si>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</si>
  <si>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</si>
  <si>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</si>
  <si>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</si>
  <si>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</si>
  <si>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</si>
  <si>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</si>
  <si>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</si>
  <si>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</si>
  <si>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</si>
  <si>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</si>
  <si>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</si>
  <si>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</si>
  <si>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</si>
  <si>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</si>
  <si>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</si>
  <si>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</si>
  <si>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</si>
  <si>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</si>
  <si>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</si>
  <si>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</si>
  <si>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</si>
  <si>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</si>
  <si>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</si>
  <si>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</si>
  <si>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</si>
  <si>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</si>
  <si>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</si>
  <si>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</si>
  <si>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</si>
  <si>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</si>
  <si>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</si>
  <si>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</si>
  <si>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</si>
  <si>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</si>
  <si>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</si>
  <si>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</si>
  <si>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</si>
  <si>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</si>
  <si>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</si>
  <si>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</si>
  <si>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</si>
  <si>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</si>
  <si>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</si>
  <si>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</si>
  <si>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</si>
  <si>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</si>
  <si>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</si>
  <si>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</si>
  <si>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</si>
  <si>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</si>
  <si>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</si>
  <si>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</si>
  <si>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</si>
  <si>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</si>
  <si>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</si>
  <si>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</si>
  <si>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</si>
  <si>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</si>
  <si>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</si>
  <si>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</si>
  <si>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</si>
  <si>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</si>
  <si>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</si>
  <si>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</si>
  <si>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</si>
  <si>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</si>
  <si>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</si>
  <si>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</si>
  <si>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</si>
  <si>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</si>
  <si>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</si>
  <si>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</si>
  <si>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</si>
  <si>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</si>
  <si>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</si>
  <si>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</si>
  <si>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</si>
  <si>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</si>
  <si>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</si>
  <si>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</si>
  <si>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</si>
  <si>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</si>
  <si>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</si>
  <si>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</si>
  <si>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</si>
  <si>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</si>
  <si>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</si>
  <si>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</si>
  <si>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</si>
  <si>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</si>
  <si>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</si>
  <si>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</si>
  <si>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</si>
  <si>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</si>
  <si>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</si>
  <si>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</si>
  <si>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</si>
  <si>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</si>
  <si>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</si>
  <si>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</si>
  <si>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</si>
  <si>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</si>
  <si>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</si>
  <si>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</si>
  <si>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</si>
  <si>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</si>
  <si>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</si>
  <si>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</si>
  <si>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</si>
  <si>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</si>
  <si>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</si>
  <si>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</si>
  <si>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</si>
  <si>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</si>
  <si>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</si>
  <si>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</si>
  <si>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</si>
  <si>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</si>
  <si>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</si>
  <si>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</si>
  <si>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</si>
  <si>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</si>
  <si>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</si>
  <si>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</si>
  <si>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</si>
  <si>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</si>
  <si>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</si>
  <si>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</si>
  <si>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</si>
  <si>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</si>
  <si>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</si>
  <si>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</si>
  <si>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</si>
  <si>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</si>
  <si>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</si>
  <si>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</si>
  <si>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</si>
  <si>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</si>
  <si>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</si>
  <si>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</si>
  <si>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</si>
  <si>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</si>
  <si>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</si>
  <si>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</si>
  <si>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</si>
  <si>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</si>
  <si>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</si>
  <si>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sep</t>
  </si>
  <si>
    <t>july</t>
  </si>
  <si>
    <t>Aug</t>
  </si>
  <si>
    <t>August</t>
  </si>
  <si>
    <t>September</t>
  </si>
  <si>
    <t>October</t>
  </si>
  <si>
    <t>For October we used data through the tenth and tripled the amount.</t>
  </si>
  <si>
    <t>Month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</si>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</sst>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164" fontId="0" fillId="0" borderId="0" xfId="2" applyNumberFormat="1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Table'!$AG$26:$AG$222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28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pt idx="25">
                <c:v> 176 </c:v>
              </c:pt>
              <c:pt idx="26">
                <c:v> 183 </c:v>
              </c:pt>
              <c:pt idx="27">
                <c:v> 190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Table'!$BK$40:$BK$229</c15:sqref>
                  </c15:fullRef>
                </c:ext>
              </c:extLst>
              <c:f>('Main Table'!$BK$40,'Main Table'!$BK$47,'Main Table'!$BK$54,'Main Table'!$BK$61,'Main Table'!$BK$68,'Main Table'!$BK$75,'Main Table'!$BK$82,'Main Table'!$BK$89,'Main Table'!$BK$96,'Main Table'!$BK$103,'Main Table'!$BK$110,'Main Table'!$BK$117,'Main Table'!$BK$124,'Main Table'!$BK$131,'Main Table'!$BK$138,'Main Table'!$BK$145,'Main Table'!$BK$152,'Main Table'!$BK$159,'Main Table'!$BK$166,'Main Table'!$BK$173,'Main Table'!$BK$180,'Main Table'!$BK$187,'Main Table'!$BK$194,'Main Table'!$BK$201,'Main Table'!$BK$208,'Main Table'!$BK$215,'Main Table'!$BK$222,'Main Table'!$BK$229)</c:f>
              <c:numCache>
                <c:formatCode>_(* #,##0_);_(* \(#,##0\);_(* "-"??_);_(@_)</c:formatCode>
                <c:ptCount val="28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  <c:pt idx="16">
                  <c:v>5507967</c:v>
                </c:pt>
                <c:pt idx="17">
                  <c:v>5527379</c:v>
                </c:pt>
                <c:pt idx="18">
                  <c:v>5198748</c:v>
                </c:pt>
                <c:pt idx="19">
                  <c:v>5670701</c:v>
                </c:pt>
                <c:pt idx="20">
                  <c:v>5644840</c:v>
                </c:pt>
                <c:pt idx="21">
                  <c:v>4928581</c:v>
                </c:pt>
                <c:pt idx="22">
                  <c:v>5763109</c:v>
                </c:pt>
                <c:pt idx="23">
                  <c:v>6168553</c:v>
                </c:pt>
                <c:pt idx="24">
                  <c:v>7135104</c:v>
                </c:pt>
                <c:pt idx="25">
                  <c:v>7016632</c:v>
                </c:pt>
                <c:pt idx="26">
                  <c:v>7196983</c:v>
                </c:pt>
                <c:pt idx="27">
                  <c:v>7545447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241</xdr:row>
      <xdr:rowOff>0</xdr:rowOff>
    </xdr:from>
    <xdr:to>
      <xdr:col>54</xdr:col>
      <xdr:colOff>160020</xdr:colOff>
      <xdr:row>241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242</xdr:row>
      <xdr:rowOff>0</xdr:rowOff>
    </xdr:from>
    <xdr:to>
      <xdr:col>54</xdr:col>
      <xdr:colOff>160020</xdr:colOff>
      <xdr:row>242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251</xdr:row>
      <xdr:rowOff>99060</xdr:rowOff>
    </xdr:from>
    <xdr:to>
      <xdr:col>22</xdr:col>
      <xdr:colOff>312420</xdr:colOff>
      <xdr:row>252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251</xdr:row>
      <xdr:rowOff>129540</xdr:rowOff>
    </xdr:from>
    <xdr:to>
      <xdr:col>23</xdr:col>
      <xdr:colOff>68580</xdr:colOff>
      <xdr:row>252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266</xdr:row>
      <xdr:rowOff>125730</xdr:rowOff>
    </xdr:from>
    <xdr:to>
      <xdr:col>54</xdr:col>
      <xdr:colOff>213360</xdr:colOff>
      <xdr:row>281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0.46047</cdr:y>
    </cdr:from>
    <cdr:to>
      <cdr:x>0.95238</cdr:x>
      <cdr:y>0.5814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2773680" y="1508760"/>
          <a:ext cx="1188720" cy="39624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0.26377</cdr:x>
      <cdr:y>0.23023</cdr:y>
    </cdr:from>
    <cdr:to>
      <cdr:x>0.52755</cdr:x>
      <cdr:y>0.6186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1203960" y="754380"/>
          <a:ext cx="1203960" cy="127254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0.74344</cdr:x>
      <cdr:y>0.17564</cdr:y>
    </cdr:from>
    <cdr:to>
      <cdr:x>0.94511</cdr:x>
      <cdr:y>0.39813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FA295117-56DC-49EC-9C23-908A0FF25972}"/>
            </a:ext>
          </a:extLst>
        </cdr:cNvPr>
        <cdr:cNvCxnSpPr/>
      </cdr:nvCxnSpPr>
      <cdr:spPr>
        <a:xfrm xmlns:a="http://schemas.openxmlformats.org/drawingml/2006/main" flipV="1">
          <a:off x="4747260" y="571500"/>
          <a:ext cx="1287780" cy="72390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7620</xdr:rowOff>
    </xdr:from>
    <xdr:to>
      <xdr:col>12</xdr:col>
      <xdr:colOff>152400</xdr:colOff>
      <xdr:row>27</xdr:row>
      <xdr:rowOff>152400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0446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373380</xdr:colOff>
      <xdr:row>27</xdr:row>
      <xdr:rowOff>53340</xdr:rowOff>
    </xdr:from>
    <xdr:to>
      <xdr:col>32</xdr:col>
      <xdr:colOff>480060</xdr:colOff>
      <xdr:row>27</xdr:row>
      <xdr:rowOff>182880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3693140" y="525018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16"/>
  <sheetViews>
    <sheetView tabSelected="1" topLeftCell="A194" zoomScaleNormal="100" workbookViewId="0">
      <selection activeCell="BK233" sqref="BK23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10.109375" customWidth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1" t="s">
        <v>5</v>
      </c>
      <c r="C1" s="591"/>
      <c r="D1" s="591"/>
    </row>
    <row r="2" spans="2:90" ht="15.6" x14ac:dyDescent="0.3">
      <c r="B2" s="591" t="s">
        <v>6</v>
      </c>
      <c r="C2" s="591"/>
      <c r="D2" s="591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6" t="s">
        <v>13</v>
      </c>
      <c r="C3" s="596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2" t="s">
        <v>11</v>
      </c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11"/>
      <c r="AE4" s="325"/>
      <c r="AF4" s="447"/>
      <c r="AG4" s="447"/>
      <c r="AH4" s="447"/>
      <c r="AI4" s="447"/>
      <c r="AJ4" s="12"/>
      <c r="AL4" s="610" t="s">
        <v>14</v>
      </c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11"/>
      <c r="AX4" s="611"/>
      <c r="AY4" s="611"/>
      <c r="AZ4" s="611"/>
      <c r="BA4" s="611"/>
      <c r="BB4" s="611"/>
      <c r="BC4" s="611"/>
      <c r="BD4" s="611"/>
      <c r="BE4" s="611"/>
      <c r="BF4" s="611"/>
      <c r="BG4" s="611"/>
      <c r="BH4" s="611"/>
      <c r="BI4" s="611"/>
      <c r="BJ4" s="611"/>
      <c r="BK4" s="611"/>
      <c r="BL4" s="611"/>
      <c r="BM4" s="611"/>
      <c r="BN4" s="611"/>
      <c r="BO4" s="611"/>
      <c r="BP4" s="611"/>
      <c r="BQ4" s="611"/>
      <c r="BR4" s="611"/>
      <c r="BS4" s="611"/>
      <c r="BT4" s="611"/>
      <c r="BU4" s="612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97" t="s">
        <v>12</v>
      </c>
      <c r="G6" s="597"/>
      <c r="H6" s="597"/>
      <c r="I6" s="597"/>
      <c r="J6" s="597"/>
      <c r="K6" s="597"/>
      <c r="L6" s="597"/>
      <c r="M6" s="335"/>
      <c r="N6" s="543"/>
      <c r="O6" s="335"/>
      <c r="P6" s="336"/>
      <c r="Q6" s="603" t="s">
        <v>124</v>
      </c>
      <c r="R6" s="597"/>
      <c r="S6" s="597"/>
      <c r="T6" s="597"/>
      <c r="U6" s="604"/>
      <c r="V6" s="3"/>
      <c r="W6" s="8" t="s">
        <v>7</v>
      </c>
      <c r="X6" s="30"/>
      <c r="Y6" s="598">
        <v>1.2500000000000001E-2</v>
      </c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9"/>
      <c r="AK6" s="3"/>
      <c r="AL6" s="617" t="s">
        <v>27</v>
      </c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9"/>
      <c r="AZ6" s="3"/>
      <c r="BA6" s="620" t="s">
        <v>7</v>
      </c>
      <c r="BB6" s="614"/>
      <c r="BC6" s="614"/>
      <c r="BD6" s="97"/>
      <c r="BE6" s="613" t="s">
        <v>26</v>
      </c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4"/>
      <c r="BS6" s="614"/>
      <c r="BT6" s="614"/>
      <c r="BU6" s="615"/>
      <c r="BV6" s="3"/>
    </row>
    <row r="7" spans="2:90" ht="16.2" x14ac:dyDescent="0.3">
      <c r="D7" s="594" t="s">
        <v>20</v>
      </c>
      <c r="E7" s="595"/>
      <c r="F7" s="595"/>
      <c r="G7" s="595"/>
      <c r="H7" s="595"/>
      <c r="I7" s="595"/>
      <c r="J7" s="595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600" t="s">
        <v>35</v>
      </c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2"/>
      <c r="AK7" s="3"/>
      <c r="AL7" s="594" t="s">
        <v>76</v>
      </c>
      <c r="AM7" s="595"/>
      <c r="AN7" s="595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616"/>
      <c r="BA7" s="594" t="s">
        <v>25</v>
      </c>
      <c r="BB7" s="595"/>
      <c r="BC7" s="595"/>
      <c r="BD7" s="595"/>
      <c r="BE7" s="595"/>
      <c r="BF7" s="595"/>
      <c r="BG7" s="595"/>
      <c r="BH7" s="595"/>
      <c r="BI7" s="595"/>
      <c r="BJ7" s="595"/>
      <c r="BK7" s="595"/>
      <c r="BL7" s="595"/>
      <c r="BM7" s="595"/>
      <c r="BN7" s="595"/>
      <c r="BO7" s="595"/>
      <c r="BP7" s="595"/>
      <c r="BQ7" s="595"/>
      <c r="BR7" s="595"/>
      <c r="BS7" s="595"/>
      <c r="BT7" s="595"/>
      <c r="BU7" s="616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608" t="s">
        <v>1</v>
      </c>
      <c r="BB8" s="609"/>
      <c r="BC8" s="609"/>
      <c r="BD8" s="64"/>
      <c r="BE8" s="609" t="s">
        <v>24</v>
      </c>
      <c r="BF8" s="609"/>
      <c r="BG8" s="609"/>
      <c r="BH8" s="609"/>
      <c r="BI8" s="621"/>
      <c r="BJ8" s="622" t="s">
        <v>124</v>
      </c>
      <c r="BK8" s="623"/>
      <c r="BL8" s="623"/>
      <c r="BM8" s="624"/>
      <c r="BN8" s="608" t="s">
        <v>24</v>
      </c>
      <c r="BO8" s="609"/>
      <c r="BP8" s="609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SUM(D102:D237)</f>
        <v>6495811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SUM(D109:D244)</f>
        <v>9070892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29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SUM(D116:D251)</f>
        <v>9731832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 t="shared" ref="AH152:AH183" si="112">SUM(D123:D258)</f>
        <v>9368962.0048999991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 t="shared" si="112"/>
        <v>9307243.0048999991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 t="shared" si="112"/>
        <v>9248894.0048999991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 t="shared" si="112"/>
        <v>9183406.0048999991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 t="shared" si="112"/>
        <v>9117358.0048999991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 t="shared" si="112"/>
        <v>9045363.0048999991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 t="shared" si="112"/>
        <v>85971975.004899994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 t="shared" si="112"/>
        <v>85896988.237528399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4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 t="shared" si="112"/>
        <v>85833729.237528399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 t="shared" si="112"/>
        <v>416768450.23752838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4"/>
        <v>335914</v>
      </c>
      <c r="O162" s="16">
        <f t="shared" si="115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 t="shared" si="112"/>
        <v>461059571.23752838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4"/>
        <v>325907</v>
      </c>
      <c r="O163" s="16">
        <f t="shared" si="115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 t="shared" si="112"/>
        <v>460992092.30952841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4"/>
        <v>315788</v>
      </c>
      <c r="O164" s="16">
        <f t="shared" si="115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 t="shared" si="112"/>
        <v>460920125.30952841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5891925</v>
      </c>
      <c r="I165" s="16"/>
      <c r="J165" s="479">
        <f t="shared" ref="J165:J182" si="117">+D165/H164</f>
        <v>7.4945760124320807E-3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37768.75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180189</v>
      </c>
      <c r="AB165" s="33"/>
      <c r="AC165" s="46">
        <f t="shared" ref="AC165:AC182" si="122">+AA165/H165</f>
        <v>3.0582364846803038E-2</v>
      </c>
      <c r="AD165" s="33"/>
      <c r="AE165" s="33">
        <f t="shared" ref="AE165:AE182" si="123">+AA165/BW165</f>
        <v>1155.0576923076924</v>
      </c>
      <c r="AF165" s="50"/>
      <c r="AG165" s="33">
        <f t="shared" ref="AG165:AG182" si="124">SUM(W159:W165)</f>
        <v>6994</v>
      </c>
      <c r="AH165" s="33">
        <f t="shared" si="112"/>
        <v>460850682.35152841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0.5343041535661095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5924643</v>
      </c>
      <c r="I166" s="16"/>
      <c r="J166" s="479">
        <f t="shared" si="117"/>
        <v>5.5530238419531815E-3</v>
      </c>
      <c r="K166" s="16"/>
      <c r="L166" s="16"/>
      <c r="M166" s="16"/>
      <c r="N166" s="16">
        <f t="shared" si="118"/>
        <v>301969</v>
      </c>
      <c r="O166" s="16">
        <f t="shared" si="115"/>
        <v>37736.579617834395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180619</v>
      </c>
      <c r="AB166" s="33"/>
      <c r="AC166" s="46">
        <f t="shared" si="122"/>
        <v>3.0486056290649075E-2</v>
      </c>
      <c r="AD166" s="33"/>
      <c r="AE166" s="33">
        <f t="shared" si="123"/>
        <v>1150.43949044586</v>
      </c>
      <c r="AF166" s="50"/>
      <c r="AG166" s="33">
        <f t="shared" si="124"/>
        <v>6902</v>
      </c>
      <c r="AH166" s="33">
        <f t="shared" si="112"/>
        <v>461773648.35152847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0.53455760963150012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5966127</v>
      </c>
      <c r="I167" s="16"/>
      <c r="J167" s="479">
        <f t="shared" si="117"/>
        <v>7.0019408764376186E-3</v>
      </c>
      <c r="K167" s="16"/>
      <c r="L167" s="16"/>
      <c r="M167" s="16"/>
      <c r="N167" s="16">
        <f t="shared" si="118"/>
        <v>302841</v>
      </c>
      <c r="O167" s="16">
        <f t="shared" si="115"/>
        <v>37760.297468354431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181129</v>
      </c>
      <c r="AB167" s="33"/>
      <c r="AC167" s="46">
        <f t="shared" si="122"/>
        <v>3.0359561571518676E-2</v>
      </c>
      <c r="AD167" s="33"/>
      <c r="AE167" s="33">
        <f t="shared" si="123"/>
        <v>1146.3860759493671</v>
      </c>
      <c r="AF167" s="50"/>
      <c r="AG167" s="33">
        <f t="shared" si="124"/>
        <v>6823</v>
      </c>
      <c r="AH167" s="33">
        <f t="shared" si="112"/>
        <v>461706235.35152841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0.53937520941139871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6006225</v>
      </c>
      <c r="I168" s="16"/>
      <c r="J168" s="479">
        <f t="shared" si="117"/>
        <v>6.7209430841817484E-3</v>
      </c>
      <c r="K168" s="16"/>
      <c r="L168" s="16"/>
      <c r="M168" s="16"/>
      <c r="N168" s="16">
        <f t="shared" si="118"/>
        <v>298940</v>
      </c>
      <c r="O168" s="16">
        <f t="shared" si="115"/>
        <v>37775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182419</v>
      </c>
      <c r="AB168" s="33"/>
      <c r="AC168" s="46">
        <f t="shared" si="122"/>
        <v>3.0371656073490419E-2</v>
      </c>
      <c r="AD168" s="33"/>
      <c r="AE168" s="33">
        <f t="shared" si="123"/>
        <v>1147.2893081761006</v>
      </c>
      <c r="AF168" s="50"/>
      <c r="AG168" s="33">
        <f t="shared" si="124"/>
        <v>6755</v>
      </c>
      <c r="AH168" s="33">
        <f t="shared" si="112"/>
        <v>461650105.35152841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0.54181819695399358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6050862</v>
      </c>
      <c r="I169" s="16"/>
      <c r="J169" s="479">
        <f t="shared" si="117"/>
        <v>7.4317895183746863E-3</v>
      </c>
      <c r="K169" s="16"/>
      <c r="L169" s="16"/>
      <c r="M169" s="16"/>
      <c r="N169" s="16">
        <f t="shared" si="118"/>
        <v>298604</v>
      </c>
      <c r="O169" s="16">
        <f t="shared" si="115"/>
        <v>37817.887499999997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183699</v>
      </c>
      <c r="AB169" s="33"/>
      <c r="AC169" s="46">
        <f t="shared" si="122"/>
        <v>3.0359145523398155E-2</v>
      </c>
      <c r="AD169" s="33"/>
      <c r="AE169" s="33">
        <f t="shared" si="123"/>
        <v>1148.1187500000001</v>
      </c>
      <c r="AF169" s="50"/>
      <c r="AG169" s="33">
        <f t="shared" si="124"/>
        <v>6751</v>
      </c>
      <c r="AH169" s="33">
        <f t="shared" si="112"/>
        <v>461588534.35152841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0.54766758851879282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6096868</v>
      </c>
      <c r="I170" s="16"/>
      <c r="J170" s="479">
        <f t="shared" si="117"/>
        <v>7.6032142197260486E-3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37868.745341614907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184842</v>
      </c>
      <c r="AB170" s="33"/>
      <c r="AC170" s="46">
        <f t="shared" si="122"/>
        <v>3.0317533527050283E-2</v>
      </c>
      <c r="AD170" s="33"/>
      <c r="AE170" s="33">
        <f t="shared" si="123"/>
        <v>1148.0869565217392</v>
      </c>
      <c r="AF170" s="50"/>
      <c r="AG170" s="33">
        <f t="shared" si="124"/>
        <v>6797</v>
      </c>
      <c r="AH170" s="33">
        <f t="shared" si="112"/>
        <v>461523805.35152841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0.54912456690878009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6146469</v>
      </c>
      <c r="I171" s="16"/>
      <c r="J171" s="479">
        <f t="shared" si="117"/>
        <v>8.1354885820063682E-3</v>
      </c>
      <c r="K171" s="16"/>
      <c r="L171" s="16"/>
      <c r="M171" s="16"/>
      <c r="N171" s="16">
        <f t="shared" si="118"/>
        <v>298373</v>
      </c>
      <c r="O171" s="16">
        <f t="shared" si="138"/>
        <v>37941.166666666664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185947</v>
      </c>
      <c r="AB171" s="33"/>
      <c r="AC171" s="46">
        <f t="shared" si="122"/>
        <v>3.0252654003461173E-2</v>
      </c>
      <c r="AD171" s="33"/>
      <c r="AE171" s="33">
        <f t="shared" si="123"/>
        <v>1147.820987654321</v>
      </c>
      <c r="AF171" s="50"/>
      <c r="AG171" s="33">
        <f t="shared" si="124"/>
        <v>6732</v>
      </c>
      <c r="AH171" s="33">
        <f t="shared" si="112"/>
        <v>461456884.35152841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0.54923208756116726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6189129</v>
      </c>
      <c r="I172" s="16"/>
      <c r="J172" s="479">
        <f t="shared" si="117"/>
        <v>6.9405702688812064E-3</v>
      </c>
      <c r="K172" s="16"/>
      <c r="L172" s="16"/>
      <c r="M172" s="16"/>
      <c r="N172" s="16">
        <f t="shared" si="118"/>
        <v>297204</v>
      </c>
      <c r="O172" s="16">
        <f t="shared" si="138"/>
        <v>37970.116564417178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186901</v>
      </c>
      <c r="AB172" s="33"/>
      <c r="AC172" s="46">
        <f t="shared" si="122"/>
        <v>3.0198271840835761E-2</v>
      </c>
      <c r="AD172" s="33"/>
      <c r="AE172" s="33">
        <f t="shared" si="123"/>
        <v>1146.6319018404909</v>
      </c>
      <c r="AF172" s="50"/>
      <c r="AG172" s="33">
        <f t="shared" si="124"/>
        <v>6712</v>
      </c>
      <c r="AH172" s="33">
        <f t="shared" si="112"/>
        <v>461388315.35152841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0.55077200685266048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6223110</v>
      </c>
      <c r="I173" s="16"/>
      <c r="J173" s="479">
        <f t="shared" si="117"/>
        <v>5.4904333065282692E-3</v>
      </c>
      <c r="K173" s="16"/>
      <c r="L173" s="16"/>
      <c r="M173" s="16"/>
      <c r="N173" s="16">
        <f t="shared" si="118"/>
        <v>298467</v>
      </c>
      <c r="O173" s="16">
        <f t="shared" si="138"/>
        <v>37945.792682926833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187270</v>
      </c>
      <c r="AB173" s="33"/>
      <c r="AC173" s="46">
        <f t="shared" si="122"/>
        <v>3.009267070644742E-2</v>
      </c>
      <c r="AD173" s="33"/>
      <c r="AE173" s="33">
        <f t="shared" si="123"/>
        <v>1141.8902439024391</v>
      </c>
      <c r="AF173" s="50"/>
      <c r="AG173" s="33">
        <f t="shared" si="124"/>
        <v>6651</v>
      </c>
      <c r="AH173" s="33">
        <f t="shared" si="112"/>
        <v>461317232.35152841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0.55048408271748372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6261670</v>
      </c>
      <c r="I174" s="16"/>
      <c r="J174" s="479">
        <f t="shared" si="117"/>
        <v>6.1962587837913839E-3</v>
      </c>
      <c r="K174" s="16"/>
      <c r="L174" s="16"/>
      <c r="M174" s="16"/>
      <c r="N174" s="469">
        <f>SUM(D144:D174)</f>
        <v>1493931</v>
      </c>
      <c r="O174" s="16">
        <f t="shared" si="138"/>
        <v>37949.515151515152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187782</v>
      </c>
      <c r="AB174" s="33"/>
      <c r="AC174" s="46">
        <f t="shared" si="122"/>
        <v>2.9989124307093794E-2</v>
      </c>
      <c r="AD174" s="33"/>
      <c r="AE174" s="33">
        <f t="shared" si="123"/>
        <v>1138.0727272727272</v>
      </c>
      <c r="AF174" s="50"/>
      <c r="AG174" s="33">
        <f t="shared" si="124"/>
        <v>6653</v>
      </c>
      <c r="AH174" s="33">
        <f t="shared" si="112"/>
        <v>461258691.35152841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0.55197143892923128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6303649</v>
      </c>
      <c r="I175" s="16"/>
      <c r="J175" s="479">
        <f t="shared" si="117"/>
        <v>6.7041220632834374E-3</v>
      </c>
      <c r="K175" s="16"/>
      <c r="L175" s="16"/>
      <c r="M175" s="16"/>
      <c r="N175" s="16">
        <f t="shared" si="118"/>
        <v>297424</v>
      </c>
      <c r="O175" s="16">
        <f t="shared" si="138"/>
        <v>37973.789156626503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188946</v>
      </c>
      <c r="AB175" s="33"/>
      <c r="AC175" s="46">
        <f t="shared" si="122"/>
        <v>2.9974067401278212E-2</v>
      </c>
      <c r="AD175" s="33"/>
      <c r="AE175" s="33">
        <f t="shared" si="123"/>
        <v>1138.2289156626507</v>
      </c>
      <c r="AF175" s="50"/>
      <c r="AG175" s="33">
        <f t="shared" si="124"/>
        <v>6527</v>
      </c>
      <c r="AH175" s="33">
        <f t="shared" si="112"/>
        <v>461209653.35152841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0.55474424416714829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6344860</v>
      </c>
      <c r="I176" s="16"/>
      <c r="J176" s="479">
        <f t="shared" si="117"/>
        <v>6.537641927715201E-3</v>
      </c>
      <c r="K176" s="16"/>
      <c r="L176" s="16"/>
      <c r="M176" s="16"/>
      <c r="N176" s="16">
        <f t="shared" si="118"/>
        <v>293998</v>
      </c>
      <c r="O176" s="16">
        <f t="shared" si="138"/>
        <v>37993.173652694612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190036</v>
      </c>
      <c r="AB176" s="33"/>
      <c r="AC176" s="46">
        <f t="shared" si="122"/>
        <v>2.9951173075528852E-2</v>
      </c>
      <c r="AD176" s="33"/>
      <c r="AE176" s="33">
        <f t="shared" si="123"/>
        <v>1137.9401197604791</v>
      </c>
      <c r="AF176" s="50"/>
      <c r="AG176" s="33">
        <f t="shared" si="124"/>
        <v>6337</v>
      </c>
      <c r="AH176" s="33">
        <f t="shared" si="112"/>
        <v>461161007.35152841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0.55904023099012434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6390324</v>
      </c>
      <c r="I177" s="16"/>
      <c r="J177" s="479">
        <f t="shared" si="117"/>
        <v>7.1654851328476913E-3</v>
      </c>
      <c r="K177" s="16"/>
      <c r="L177" s="16"/>
      <c r="M177" s="16"/>
      <c r="N177" s="16">
        <f t="shared" si="118"/>
        <v>293456</v>
      </c>
      <c r="O177" s="16">
        <f t="shared" si="138"/>
        <v>38037.642857142855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191150</v>
      </c>
      <c r="AB177" s="33"/>
      <c r="AC177" s="46">
        <f t="shared" si="122"/>
        <v>2.9912411326874819E-2</v>
      </c>
      <c r="AD177" s="33"/>
      <c r="AE177" s="33">
        <f t="shared" si="123"/>
        <v>1137.797619047619</v>
      </c>
      <c r="AF177" s="50"/>
      <c r="AG177" s="33">
        <f t="shared" si="124"/>
        <v>6308</v>
      </c>
      <c r="AH177" s="33">
        <f t="shared" si="112"/>
        <v>461106443.35152841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0.55945457538616195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6443173</v>
      </c>
      <c r="I178" s="16"/>
      <c r="J178" s="479">
        <f t="shared" si="117"/>
        <v>8.2701596976929494E-3</v>
      </c>
      <c r="K178" s="16"/>
      <c r="L178" s="16"/>
      <c r="M178" s="16"/>
      <c r="N178" s="16">
        <f t="shared" si="118"/>
        <v>296704</v>
      </c>
      <c r="O178" s="16">
        <f t="shared" si="138"/>
        <v>38125.284023668639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192183</v>
      </c>
      <c r="AB178" s="33"/>
      <c r="AC178" s="46">
        <f t="shared" si="122"/>
        <v>2.9827384737302568E-2</v>
      </c>
      <c r="AD178" s="33"/>
      <c r="AE178" s="33">
        <f t="shared" si="123"/>
        <v>1137.1775147928995</v>
      </c>
      <c r="AF178" s="50"/>
      <c r="AG178" s="33">
        <f t="shared" si="124"/>
        <v>6236</v>
      </c>
      <c r="AH178" s="33">
        <f t="shared" si="112"/>
        <v>461051295.35152841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0.5706146645449377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6485265</v>
      </c>
      <c r="I179" s="16"/>
      <c r="J179" s="479">
        <f t="shared" si="117"/>
        <v>6.5328061189727487E-3</v>
      </c>
      <c r="K179" s="16"/>
      <c r="L179" s="16"/>
      <c r="M179" s="16"/>
      <c r="N179" s="16">
        <f t="shared" si="118"/>
        <v>296136</v>
      </c>
      <c r="O179" s="16">
        <f t="shared" si="138"/>
        <v>38148.617647058825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192890</v>
      </c>
      <c r="AB179" s="33"/>
      <c r="AC179" s="46">
        <f t="shared" si="122"/>
        <v>2.9742809276105141E-2</v>
      </c>
      <c r="AD179" s="33"/>
      <c r="AE179" s="33">
        <f t="shared" si="123"/>
        <v>1134.6470588235295</v>
      </c>
      <c r="AF179" s="50"/>
      <c r="AG179" s="33">
        <f t="shared" si="124"/>
        <v>5989</v>
      </c>
      <c r="AH179" s="33">
        <f t="shared" si="112"/>
        <v>460992585.35152841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0.57160347341242035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6516375</v>
      </c>
      <c r="I180" s="16"/>
      <c r="J180" s="479">
        <f t="shared" si="117"/>
        <v>4.7970283403993511E-3</v>
      </c>
      <c r="K180" s="16"/>
      <c r="L180" s="16"/>
      <c r="M180" s="16"/>
      <c r="N180" s="16">
        <f t="shared" si="118"/>
        <v>293265</v>
      </c>
      <c r="O180" s="16">
        <f t="shared" si="138"/>
        <v>38107.456140350878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193320</v>
      </c>
      <c r="AB180" s="33"/>
      <c r="AC180" s="46">
        <f t="shared" si="122"/>
        <v>2.9666800943776255E-2</v>
      </c>
      <c r="AD180" s="33"/>
      <c r="AE180" s="33">
        <f t="shared" si="123"/>
        <v>1130.5263157894738</v>
      </c>
      <c r="AF180" s="50"/>
      <c r="AG180" s="33">
        <f t="shared" si="124"/>
        <v>6050</v>
      </c>
      <c r="AH180" s="33">
        <f t="shared" si="112"/>
        <v>460929339.35152841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0.57178569373309551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6541795</v>
      </c>
      <c r="I181" s="16"/>
      <c r="J181" s="479">
        <f t="shared" si="117"/>
        <v>3.9009418580115479E-3</v>
      </c>
      <c r="K181" s="16"/>
      <c r="L181" s="16"/>
      <c r="M181" s="16"/>
      <c r="N181" s="16">
        <f t="shared" si="118"/>
        <v>280125</v>
      </c>
      <c r="O181" s="16">
        <f t="shared" si="138"/>
        <v>38033.691860465115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193606</v>
      </c>
      <c r="AB181" s="33"/>
      <c r="AC181" s="46">
        <f t="shared" si="122"/>
        <v>2.9595241061512935E-2</v>
      </c>
      <c r="AD181" s="33"/>
      <c r="AE181" s="33">
        <f t="shared" si="123"/>
        <v>1125.6162790697674</v>
      </c>
      <c r="AF181" s="50"/>
      <c r="AG181" s="33">
        <f t="shared" si="124"/>
        <v>5824</v>
      </c>
      <c r="AH181" s="33">
        <f t="shared" si="112"/>
        <v>460875140.35152841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0.57455621889710695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6570234</v>
      </c>
      <c r="I182" s="16"/>
      <c r="J182" s="479">
        <f t="shared" si="117"/>
        <v>4.3472777731494187E-3</v>
      </c>
      <c r="K182" s="16"/>
      <c r="L182" s="16"/>
      <c r="M182" s="16"/>
      <c r="N182" s="16">
        <f t="shared" si="118"/>
        <v>266585</v>
      </c>
      <c r="O182" s="16">
        <f t="shared" si="138"/>
        <v>37978.23121387283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194102</v>
      </c>
      <c r="AB182" s="33"/>
      <c r="AC182" s="46">
        <f t="shared" si="122"/>
        <v>2.9542631206133603E-2</v>
      </c>
      <c r="AD182" s="33"/>
      <c r="AE182" s="33">
        <f t="shared" si="123"/>
        <v>1121.9768786127167</v>
      </c>
      <c r="AF182" s="50"/>
      <c r="AG182" s="33">
        <f t="shared" si="124"/>
        <v>5156</v>
      </c>
      <c r="AH182" s="33">
        <f t="shared" si="112"/>
        <v>460827291.35152841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0.57787287332536408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9">+H182+D183</f>
        <v>6605477</v>
      </c>
      <c r="I183" s="16"/>
      <c r="J183" s="479">
        <f t="shared" ref="J183:J212" si="140">+D183/H182</f>
        <v>5.3640403066313926E-3</v>
      </c>
      <c r="K183" s="16"/>
      <c r="L183" s="16"/>
      <c r="M183" s="16"/>
      <c r="N183" s="16">
        <f t="shared" ref="N183:N212" si="141">SUM(D177:D183)</f>
        <v>260617</v>
      </c>
      <c r="O183" s="16">
        <f t="shared" ref="O183:O212" si="142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3">+AA182+W183</f>
        <v>195310</v>
      </c>
      <c r="AB183" s="33"/>
      <c r="AC183" s="46">
        <f t="shared" ref="AC183:AC212" si="144">+AA183/H183</f>
        <v>2.9567887375885192E-2</v>
      </c>
      <c r="AD183" s="33"/>
      <c r="AE183" s="33">
        <f t="shared" ref="AE183:AE212" si="145">+AA183/BW183</f>
        <v>1122.471264367816</v>
      </c>
      <c r="AF183" s="50"/>
      <c r="AG183" s="33">
        <f t="shared" ref="AG183:AG195" si="146">SUM(W177:W183)</f>
        <v>5274</v>
      </c>
      <c r="AH183" s="33">
        <f t="shared" si="112"/>
        <v>460777491.35152841</v>
      </c>
      <c r="AI183" s="231">
        <f t="shared" ref="AI183:AI212" si="147">+(AG183-AG176)/AG176</f>
        <v>-0.16774498974278049</v>
      </c>
      <c r="AJ183" s="50"/>
      <c r="AK183" s="10"/>
      <c r="AL183" s="23">
        <f t="shared" ref="AL183:AL212" si="148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9">+AL183/AP182</f>
        <v>1.2993973809247885E-2</v>
      </c>
      <c r="AS183" s="25"/>
      <c r="AT183" s="25"/>
      <c r="AU183" s="24"/>
      <c r="AV183" s="341">
        <f t="shared" ref="AV183:AV212" si="150">+AP183/H183</f>
        <v>0.58225848034895888</v>
      </c>
      <c r="AW183" s="341"/>
      <c r="AX183" s="24">
        <f t="shared" ref="AX183:AX212" si="151">+AP183/BW183</f>
        <v>22103.994252873563</v>
      </c>
      <c r="AY183" s="351"/>
      <c r="AZ183" s="10"/>
      <c r="BA183" s="66">
        <f t="shared" ref="BA183:BA212" si="152">+BC183-BC182</f>
        <v>626098</v>
      </c>
      <c r="BB183" s="67"/>
      <c r="BC183" s="67">
        <v>89283072</v>
      </c>
      <c r="BD183" s="67"/>
      <c r="BE183" s="67">
        <f t="shared" ref="BE183:BE212" si="153">+D183</f>
        <v>35243</v>
      </c>
      <c r="BF183" s="67"/>
      <c r="BG183" s="156">
        <f t="shared" ref="BG183:BG212" si="154">+BE183/BA183</f>
        <v>5.6289909886311724E-2</v>
      </c>
      <c r="BH183" s="67"/>
      <c r="BI183" s="183"/>
      <c r="BJ183" s="67"/>
      <c r="BK183" s="67">
        <f t="shared" ref="BK183:BK212" si="155">SUM(BA177:BA183)</f>
        <v>5184661</v>
      </c>
      <c r="BL183" s="67"/>
      <c r="BM183" s="156">
        <f t="shared" ref="BM183:BM212" si="156">+Q183/BK183</f>
        <v>5.026693162773805E-2</v>
      </c>
      <c r="BN183" s="66">
        <f t="shared" ref="BN183:BN212" si="157">+BC183/BW183</f>
        <v>513121.10344827588</v>
      </c>
      <c r="BO183" s="67"/>
      <c r="BP183" s="67">
        <f t="shared" ref="BP183:BP212" si="158">+BP182+BE183</f>
        <v>6262830</v>
      </c>
      <c r="BQ183" s="67"/>
      <c r="BR183" s="478">
        <f t="shared" ref="BR183:BR212" si="159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9"/>
        <v>6644288</v>
      </c>
      <c r="I184" s="16"/>
      <c r="J184" s="479">
        <f t="shared" si="140"/>
        <v>5.8755787053682874E-3</v>
      </c>
      <c r="K184" s="16"/>
      <c r="L184" s="16"/>
      <c r="M184" s="16"/>
      <c r="N184" s="16">
        <f t="shared" si="141"/>
        <v>253964</v>
      </c>
      <c r="O184" s="16">
        <f t="shared" si="142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3"/>
        <v>196399</v>
      </c>
      <c r="AB184" s="33"/>
      <c r="AC184" s="46">
        <f t="shared" si="144"/>
        <v>2.9559073899265053E-2</v>
      </c>
      <c r="AD184" s="33"/>
      <c r="AE184" s="33">
        <f t="shared" si="145"/>
        <v>1122.28</v>
      </c>
      <c r="AF184" s="50"/>
      <c r="AG184" s="33">
        <f t="shared" si="146"/>
        <v>5249</v>
      </c>
      <c r="AH184" s="33">
        <f t="shared" ref="AH184:AH215" si="160">SUM(D155:D290)</f>
        <v>460722972.35152841</v>
      </c>
      <c r="AI184" s="231">
        <f t="shared" si="147"/>
        <v>-0.16788205453392518</v>
      </c>
      <c r="AJ184" s="50"/>
      <c r="AK184" s="10"/>
      <c r="AL184" s="23">
        <f t="shared" si="148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9"/>
        <v>8.8050347170311703E-3</v>
      </c>
      <c r="AS184" s="25"/>
      <c r="AT184" s="25"/>
      <c r="AU184" s="24"/>
      <c r="AV184" s="341">
        <f t="shared" si="150"/>
        <v>0.58395421751736232</v>
      </c>
      <c r="AW184" s="341"/>
      <c r="AX184" s="24">
        <f t="shared" si="151"/>
        <v>22171.200000000001</v>
      </c>
      <c r="AY184" s="351"/>
      <c r="AZ184" s="10"/>
      <c r="BA184" s="66">
        <f t="shared" si="152"/>
        <v>701717</v>
      </c>
      <c r="BB184" s="67"/>
      <c r="BC184" s="67">
        <v>89984789</v>
      </c>
      <c r="BD184" s="67"/>
      <c r="BE184" s="67">
        <f t="shared" si="153"/>
        <v>38811</v>
      </c>
      <c r="BF184" s="67"/>
      <c r="BG184" s="156">
        <f t="shared" si="154"/>
        <v>5.5308621566813973E-2</v>
      </c>
      <c r="BH184" s="67"/>
      <c r="BI184" s="183"/>
      <c r="BJ184" s="67"/>
      <c r="BK184" s="67">
        <f t="shared" si="155"/>
        <v>5103260</v>
      </c>
      <c r="BL184" s="67"/>
      <c r="BM184" s="156">
        <f t="shared" si="156"/>
        <v>4.9765052143139872E-2</v>
      </c>
      <c r="BN184" s="66">
        <f t="shared" si="157"/>
        <v>514198.79428571428</v>
      </c>
      <c r="BO184" s="67"/>
      <c r="BP184" s="67">
        <f t="shared" si="158"/>
        <v>6301641</v>
      </c>
      <c r="BQ184" s="67"/>
      <c r="BR184" s="478">
        <f t="shared" si="159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9"/>
        <v>6690888</v>
      </c>
      <c r="I185" s="16"/>
      <c r="J185" s="479">
        <f t="shared" si="140"/>
        <v>7.0135430613483341E-3</v>
      </c>
      <c r="K185" s="16"/>
      <c r="L185" s="16"/>
      <c r="M185" s="16"/>
      <c r="N185" s="16">
        <f t="shared" si="141"/>
        <v>247715</v>
      </c>
      <c r="O185" s="16">
        <f t="shared" si="142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3"/>
        <v>197493</v>
      </c>
      <c r="AB185" s="33"/>
      <c r="AC185" s="46">
        <f t="shared" si="144"/>
        <v>2.9516709889629001E-2</v>
      </c>
      <c r="AD185" s="33"/>
      <c r="AE185" s="33">
        <f t="shared" si="145"/>
        <v>1122.1193181818182</v>
      </c>
      <c r="AF185" s="50"/>
      <c r="AG185" s="33">
        <f t="shared" si="146"/>
        <v>5310</v>
      </c>
      <c r="AH185" s="33">
        <f t="shared" si="160"/>
        <v>460668627.35152841</v>
      </c>
      <c r="AI185" s="231">
        <f t="shared" si="147"/>
        <v>-0.14849262347658757</v>
      </c>
      <c r="AJ185" s="50"/>
      <c r="AK185" s="10"/>
      <c r="AL185" s="23">
        <f t="shared" si="148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9"/>
        <v>9.7944308704213442E-3</v>
      </c>
      <c r="AS185" s="25"/>
      <c r="AT185" s="25"/>
      <c r="AU185" s="24"/>
      <c r="AV185" s="341">
        <f t="shared" si="150"/>
        <v>0.58556681863453697</v>
      </c>
      <c r="AW185" s="341"/>
      <c r="AX185" s="24">
        <f t="shared" si="151"/>
        <v>22261.147727272728</v>
      </c>
      <c r="AY185" s="351"/>
      <c r="AZ185" s="10"/>
      <c r="BA185" s="66">
        <f t="shared" si="152"/>
        <v>860917</v>
      </c>
      <c r="BB185" s="67"/>
      <c r="BC185" s="67">
        <v>90845706</v>
      </c>
      <c r="BD185" s="67"/>
      <c r="BE185" s="67">
        <f t="shared" si="153"/>
        <v>46600</v>
      </c>
      <c r="BF185" s="67"/>
      <c r="BG185" s="156">
        <f t="shared" si="154"/>
        <v>5.412833060562168E-2</v>
      </c>
      <c r="BH185" s="67"/>
      <c r="BI185" s="183"/>
      <c r="BJ185" s="67"/>
      <c r="BK185" s="67">
        <f t="shared" si="155"/>
        <v>4949989</v>
      </c>
      <c r="BL185" s="67"/>
      <c r="BM185" s="156">
        <f t="shared" si="156"/>
        <v>5.0043545551313344E-2</v>
      </c>
      <c r="BN185" s="66">
        <f t="shared" si="157"/>
        <v>516168.78409090912</v>
      </c>
      <c r="BO185" s="67"/>
      <c r="BP185" s="67">
        <f t="shared" si="158"/>
        <v>6348241</v>
      </c>
      <c r="BQ185" s="67"/>
      <c r="BR185" s="478">
        <f t="shared" si="159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9"/>
        <v>6730170</v>
      </c>
      <c r="I186" s="16"/>
      <c r="J186" s="479">
        <f t="shared" si="140"/>
        <v>5.8709695932737177E-3</v>
      </c>
      <c r="K186" s="16"/>
      <c r="L186" s="16"/>
      <c r="M186" s="16"/>
      <c r="N186" s="16">
        <f t="shared" si="141"/>
        <v>244905</v>
      </c>
      <c r="O186" s="16">
        <f t="shared" si="142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3"/>
        <v>198200</v>
      </c>
      <c r="AB186" s="33"/>
      <c r="AC186" s="46">
        <f t="shared" si="144"/>
        <v>2.9449478987900752E-2</v>
      </c>
      <c r="AD186" s="33"/>
      <c r="AE186" s="33">
        <f t="shared" si="145"/>
        <v>1119.774011299435</v>
      </c>
      <c r="AF186" s="50"/>
      <c r="AG186" s="33">
        <f t="shared" si="146"/>
        <v>5310</v>
      </c>
      <c r="AH186" s="33">
        <f t="shared" si="160"/>
        <v>460613263.35152841</v>
      </c>
      <c r="AI186" s="231">
        <f t="shared" si="147"/>
        <v>-0.11337451995324763</v>
      </c>
      <c r="AJ186" s="50"/>
      <c r="AK186" s="10"/>
      <c r="AL186" s="23">
        <f t="shared" si="148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9"/>
        <v>8.2675635955632033E-3</v>
      </c>
      <c r="AS186" s="25"/>
      <c r="AT186" s="25"/>
      <c r="AU186" s="24"/>
      <c r="AV186" s="341">
        <f t="shared" si="150"/>
        <v>0.58696199353062406</v>
      </c>
      <c r="AW186" s="341"/>
      <c r="AX186" s="24">
        <f t="shared" si="151"/>
        <v>22318.384180790959</v>
      </c>
      <c r="AY186" s="351"/>
      <c r="AZ186" s="10"/>
      <c r="BA186" s="66">
        <f t="shared" si="152"/>
        <v>857797</v>
      </c>
      <c r="BB186" s="67"/>
      <c r="BC186" s="67">
        <v>91703503</v>
      </c>
      <c r="BD186" s="67"/>
      <c r="BE186" s="67">
        <f t="shared" si="153"/>
        <v>39282</v>
      </c>
      <c r="BF186" s="67"/>
      <c r="BG186" s="156">
        <f t="shared" si="154"/>
        <v>4.5794051506358728E-2</v>
      </c>
      <c r="BH186" s="67"/>
      <c r="BI186" s="183"/>
      <c r="BJ186" s="67"/>
      <c r="BK186" s="67">
        <f t="shared" si="155"/>
        <v>4944301</v>
      </c>
      <c r="BL186" s="67"/>
      <c r="BM186" s="156">
        <f t="shared" si="156"/>
        <v>4.9532785321929229E-2</v>
      </c>
      <c r="BN186" s="66">
        <f t="shared" si="157"/>
        <v>518098.88700564974</v>
      </c>
      <c r="BO186" s="67"/>
      <c r="BP186" s="67">
        <f t="shared" si="158"/>
        <v>6387523</v>
      </c>
      <c r="BQ186" s="67"/>
      <c r="BR186" s="478">
        <f t="shared" si="159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9"/>
        <v>6762027</v>
      </c>
      <c r="I187" s="16"/>
      <c r="J187" s="479">
        <f t="shared" si="140"/>
        <v>4.7334614133075388E-3</v>
      </c>
      <c r="K187" s="16"/>
      <c r="L187" s="16"/>
      <c r="M187" s="16"/>
      <c r="N187" s="16">
        <f t="shared" si="141"/>
        <v>245652</v>
      </c>
      <c r="O187" s="16">
        <f t="shared" si="142"/>
        <v>37988.915730337081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3"/>
        <v>198592</v>
      </c>
      <c r="AB187" s="33"/>
      <c r="AC187" s="46">
        <f t="shared" si="144"/>
        <v>2.9368708524825472E-2</v>
      </c>
      <c r="AD187" s="33"/>
      <c r="AE187" s="33">
        <f t="shared" si="145"/>
        <v>1115.685393258427</v>
      </c>
      <c r="AF187" s="50"/>
      <c r="AG187" s="33">
        <f t="shared" si="146"/>
        <v>5272</v>
      </c>
      <c r="AH187" s="33">
        <f t="shared" si="160"/>
        <v>460552663.35152841</v>
      </c>
      <c r="AI187" s="231">
        <f t="shared" si="147"/>
        <v>-0.12859504132231406</v>
      </c>
      <c r="AJ187" s="50"/>
      <c r="AK187" s="10"/>
      <c r="AL187" s="23">
        <f t="shared" si="148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9"/>
        <v>6.2260243006069839E-3</v>
      </c>
      <c r="AS187" s="25"/>
      <c r="AT187" s="25"/>
      <c r="AU187" s="24"/>
      <c r="AV187" s="341">
        <f t="shared" si="150"/>
        <v>0.58783394387511323</v>
      </c>
      <c r="AW187" s="341"/>
      <c r="AX187" s="24">
        <f t="shared" si="151"/>
        <v>22331.174157303372</v>
      </c>
      <c r="AY187" s="351"/>
      <c r="AZ187" s="391"/>
      <c r="BA187" s="66">
        <f t="shared" si="152"/>
        <v>699997</v>
      </c>
      <c r="BB187" s="67"/>
      <c r="BC187" s="67">
        <v>92403500</v>
      </c>
      <c r="BD187" s="67"/>
      <c r="BE187" s="67">
        <f t="shared" si="153"/>
        <v>31857</v>
      </c>
      <c r="BF187" s="67"/>
      <c r="BG187" s="156">
        <f t="shared" si="154"/>
        <v>4.5510195043693046E-2</v>
      </c>
      <c r="BH187" s="67"/>
      <c r="BI187" s="183"/>
      <c r="BJ187" s="67"/>
      <c r="BK187" s="67">
        <f t="shared" si="155"/>
        <v>4928581</v>
      </c>
      <c r="BL187" s="67"/>
      <c r="BM187" s="156">
        <f t="shared" si="156"/>
        <v>0</v>
      </c>
      <c r="BN187" s="66">
        <f t="shared" si="157"/>
        <v>519120.78651685396</v>
      </c>
      <c r="BO187" s="67"/>
      <c r="BP187" s="67">
        <f t="shared" si="158"/>
        <v>6419380</v>
      </c>
      <c r="BQ187" s="67"/>
      <c r="BR187" s="478">
        <f t="shared" si="159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36" si="161">1+B187</f>
        <v>44088</v>
      </c>
      <c r="C188" s="61"/>
      <c r="D188" s="17">
        <v>38072</v>
      </c>
      <c r="E188" s="16"/>
      <c r="F188" s="16"/>
      <c r="G188" s="16"/>
      <c r="H188" s="16">
        <f t="shared" si="139"/>
        <v>6800099</v>
      </c>
      <c r="I188" s="16"/>
      <c r="J188" s="479">
        <f t="shared" si="140"/>
        <v>5.6302644162763617E-3</v>
      </c>
      <c r="K188" s="16"/>
      <c r="L188" s="16"/>
      <c r="M188" s="16"/>
      <c r="N188" s="16">
        <f t="shared" si="141"/>
        <v>258304</v>
      </c>
      <c r="O188" s="16">
        <f t="shared" si="142"/>
        <v>37989.379888268159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3"/>
        <v>199072</v>
      </c>
      <c r="AB188" s="33"/>
      <c r="AC188" s="46">
        <f t="shared" si="144"/>
        <v>2.9274867910011309E-2</v>
      </c>
      <c r="AD188" s="33"/>
      <c r="AE188" s="33">
        <f t="shared" si="145"/>
        <v>1112.1340782122904</v>
      </c>
      <c r="AF188" s="50"/>
      <c r="AG188" s="33">
        <f t="shared" si="146"/>
        <v>5466</v>
      </c>
      <c r="AH188" s="33">
        <f t="shared" si="160"/>
        <v>460499140.35152841</v>
      </c>
      <c r="AI188" s="231">
        <f t="shared" si="147"/>
        <v>-6.1469780219780217E-2</v>
      </c>
      <c r="AJ188" s="50"/>
      <c r="AK188" s="10"/>
      <c r="AL188" s="23">
        <f t="shared" si="148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9"/>
        <v>1.3302560611469481E-2</v>
      </c>
      <c r="AS188" s="25"/>
      <c r="AT188" s="25"/>
      <c r="AU188" s="24"/>
      <c r="AV188" s="341">
        <f t="shared" si="150"/>
        <v>0.59231872947732089</v>
      </c>
      <c r="AW188" s="341"/>
      <c r="AX188" s="24">
        <f t="shared" si="151"/>
        <v>22501.821229050278</v>
      </c>
      <c r="AY188" s="351"/>
      <c r="AZ188" s="10"/>
      <c r="BA188" s="66">
        <f t="shared" si="152"/>
        <v>486822</v>
      </c>
      <c r="BB188" s="67"/>
      <c r="BC188" s="67">
        <v>92890322</v>
      </c>
      <c r="BD188" s="67"/>
      <c r="BE188" s="67">
        <f t="shared" si="153"/>
        <v>38072</v>
      </c>
      <c r="BF188" s="67"/>
      <c r="BG188" s="156">
        <f t="shared" si="154"/>
        <v>7.8205175608333233E-2</v>
      </c>
      <c r="BH188" s="67"/>
      <c r="BI188" s="183"/>
      <c r="BJ188" s="67"/>
      <c r="BK188" s="67">
        <f t="shared" si="155"/>
        <v>4822472</v>
      </c>
      <c r="BL188" s="67"/>
      <c r="BM188" s="156">
        <f t="shared" si="156"/>
        <v>0</v>
      </c>
      <c r="BN188" s="66">
        <f t="shared" si="157"/>
        <v>518940.34636871511</v>
      </c>
      <c r="BO188" s="67"/>
      <c r="BP188" s="67">
        <f t="shared" si="158"/>
        <v>6457452</v>
      </c>
      <c r="BQ188" s="67"/>
      <c r="BR188" s="478">
        <f t="shared" si="159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9"/>
        <v>6836546</v>
      </c>
      <c r="I189" s="16"/>
      <c r="J189" s="479">
        <f t="shared" si="140"/>
        <v>5.3597749091594104E-3</v>
      </c>
      <c r="K189" s="16"/>
      <c r="L189" s="16"/>
      <c r="M189" s="16"/>
      <c r="N189" s="16">
        <f t="shared" si="141"/>
        <v>266312</v>
      </c>
      <c r="O189" s="16">
        <f t="shared" si="142"/>
        <v>37980.811111111114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3"/>
        <v>200269</v>
      </c>
      <c r="AB189" s="33"/>
      <c r="AC189" s="46">
        <f t="shared" si="144"/>
        <v>2.9293886123197298E-2</v>
      </c>
      <c r="AD189" s="33"/>
      <c r="AE189" s="33">
        <f t="shared" si="145"/>
        <v>1112.6055555555556</v>
      </c>
      <c r="AF189" s="50"/>
      <c r="AG189" s="33">
        <f t="shared" si="146"/>
        <v>6167</v>
      </c>
      <c r="AH189" s="33">
        <f t="shared" si="160"/>
        <v>460462297.35152841</v>
      </c>
      <c r="AI189" s="231">
        <f t="shared" si="147"/>
        <v>0.1960822342901474</v>
      </c>
      <c r="AJ189" s="50"/>
      <c r="AK189" s="10"/>
      <c r="AL189" s="23">
        <f t="shared" si="148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9"/>
        <v>9.9954665370351158E-3</v>
      </c>
      <c r="AS189" s="25"/>
      <c r="AT189" s="25"/>
      <c r="AU189" s="24"/>
      <c r="AV189" s="341">
        <f t="shared" si="150"/>
        <v>0.59504989800405061</v>
      </c>
      <c r="AW189" s="341"/>
      <c r="AX189" s="24">
        <f t="shared" si="151"/>
        <v>22600.477777777778</v>
      </c>
      <c r="AY189" s="351"/>
      <c r="AZ189" s="10"/>
      <c r="BA189" s="66">
        <f t="shared" si="152"/>
        <v>741636</v>
      </c>
      <c r="BB189" s="67"/>
      <c r="BC189" s="67">
        <v>93631958</v>
      </c>
      <c r="BD189" s="67"/>
      <c r="BE189" s="67">
        <f t="shared" si="153"/>
        <v>36447</v>
      </c>
      <c r="BF189" s="67"/>
      <c r="BG189" s="156">
        <f t="shared" si="154"/>
        <v>4.9144054495736451E-2</v>
      </c>
      <c r="BH189" s="67"/>
      <c r="BI189" s="183"/>
      <c r="BJ189" s="67"/>
      <c r="BK189" s="67">
        <f t="shared" si="155"/>
        <v>4974984</v>
      </c>
      <c r="BL189" s="67"/>
      <c r="BM189" s="156">
        <f t="shared" si="156"/>
        <v>0</v>
      </c>
      <c r="BN189" s="66">
        <f t="shared" si="157"/>
        <v>520177.54444444447</v>
      </c>
      <c r="BO189" s="67"/>
      <c r="BP189" s="67">
        <f t="shared" si="158"/>
        <v>6493899</v>
      </c>
      <c r="BQ189" s="67"/>
      <c r="BR189" s="478">
        <f t="shared" si="159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9"/>
        <v>6876700</v>
      </c>
      <c r="I190" s="16"/>
      <c r="J190" s="479">
        <f t="shared" si="140"/>
        <v>5.8734337485625053E-3</v>
      </c>
      <c r="K190" s="16"/>
      <c r="L190" s="16"/>
      <c r="M190" s="16"/>
      <c r="N190" s="16">
        <f t="shared" si="141"/>
        <v>271223</v>
      </c>
      <c r="O190" s="16">
        <f t="shared" si="142"/>
        <v>37992.817679558008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3"/>
        <v>201420</v>
      </c>
      <c r="AB190" s="33"/>
      <c r="AC190" s="46">
        <f t="shared" si="144"/>
        <v>2.9290211874881848E-2</v>
      </c>
      <c r="AD190" s="33"/>
      <c r="AE190" s="33">
        <f t="shared" si="145"/>
        <v>1112.8176795580112</v>
      </c>
      <c r="AF190" s="50"/>
      <c r="AG190" s="33">
        <f t="shared" si="146"/>
        <v>6110</v>
      </c>
      <c r="AH190" s="33">
        <f t="shared" si="160"/>
        <v>460421685.35152841</v>
      </c>
      <c r="AI190" s="231">
        <f t="shared" si="147"/>
        <v>0.15851346226772847</v>
      </c>
      <c r="AJ190" s="50"/>
      <c r="AK190" s="10"/>
      <c r="AL190" s="23">
        <f t="shared" si="148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9"/>
        <v>1.2554306865685731E-2</v>
      </c>
      <c r="AS190" s="25"/>
      <c r="AT190" s="25"/>
      <c r="AU190" s="24"/>
      <c r="AV190" s="341">
        <f t="shared" si="150"/>
        <v>0.59900213765323485</v>
      </c>
      <c r="AW190" s="341"/>
      <c r="AX190" s="24">
        <f t="shared" si="151"/>
        <v>22757.779005524862</v>
      </c>
      <c r="AY190" s="351"/>
      <c r="AZ190" s="10"/>
      <c r="BA190" s="66">
        <f t="shared" si="152"/>
        <v>737109</v>
      </c>
      <c r="BB190" s="67"/>
      <c r="BC190" s="67">
        <v>94369067</v>
      </c>
      <c r="BD190" s="67"/>
      <c r="BE190" s="67">
        <f t="shared" si="153"/>
        <v>40154</v>
      </c>
      <c r="BF190" s="67"/>
      <c r="BG190" s="156">
        <f t="shared" si="154"/>
        <v>5.4474982668777615E-2</v>
      </c>
      <c r="BH190" s="67"/>
      <c r="BI190" s="183"/>
      <c r="BJ190" s="67"/>
      <c r="BK190" s="67">
        <f t="shared" si="155"/>
        <v>5085995</v>
      </c>
      <c r="BL190" s="67"/>
      <c r="BM190" s="156">
        <f t="shared" si="156"/>
        <v>0</v>
      </c>
      <c r="BN190" s="66">
        <f t="shared" si="157"/>
        <v>521376.06077348068</v>
      </c>
      <c r="BO190" s="67"/>
      <c r="BP190" s="67">
        <f t="shared" si="158"/>
        <v>6534053</v>
      </c>
      <c r="BQ190" s="67"/>
      <c r="BR190" s="478">
        <f t="shared" si="159"/>
        <v>6.9239351492157916E-2</v>
      </c>
      <c r="BS190" s="67"/>
      <c r="BT190" s="86"/>
      <c r="BU190" s="183"/>
      <c r="BV190" s="1"/>
      <c r="BW190" s="61">
        <f t="shared" ref="BW190:BW215" si="162">+BW189+1</f>
        <v>181</v>
      </c>
    </row>
    <row r="191" spans="2:75" x14ac:dyDescent="0.3">
      <c r="B191" s="171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9"/>
        <v>6922995</v>
      </c>
      <c r="I191" s="16"/>
      <c r="J191" s="479">
        <f t="shared" si="140"/>
        <v>6.7321535038608639E-3</v>
      </c>
      <c r="K191" s="16"/>
      <c r="L191" s="16"/>
      <c r="M191" s="16"/>
      <c r="N191" s="16">
        <f t="shared" si="141"/>
        <v>278707</v>
      </c>
      <c r="O191" s="16">
        <f t="shared" si="142"/>
        <v>38038.434065934067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3"/>
        <v>202299</v>
      </c>
      <c r="AB191" s="33"/>
      <c r="AC191" s="46">
        <f t="shared" si="144"/>
        <v>2.9221312452197352E-2</v>
      </c>
      <c r="AD191" s="33"/>
      <c r="AE191" s="33">
        <f t="shared" si="145"/>
        <v>1111.532967032967</v>
      </c>
      <c r="AF191" s="50"/>
      <c r="AG191" s="33">
        <f t="shared" si="146"/>
        <v>5900</v>
      </c>
      <c r="AH191" s="33">
        <f t="shared" si="160"/>
        <v>460377686.35152841</v>
      </c>
      <c r="AI191" s="231">
        <f t="shared" si="147"/>
        <v>0.12402362354734235</v>
      </c>
      <c r="AJ191" s="50"/>
      <c r="AK191" s="10"/>
      <c r="AL191" s="23">
        <f t="shared" si="148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9"/>
        <v>8.7107607914044573E-3</v>
      </c>
      <c r="AS191" s="25"/>
      <c r="AT191" s="25"/>
      <c r="AU191" s="24"/>
      <c r="AV191" s="341">
        <f t="shared" si="150"/>
        <v>0.60017940212292509</v>
      </c>
      <c r="AW191" s="341"/>
      <c r="AX191" s="24">
        <f t="shared" si="151"/>
        <v>22829.884615384617</v>
      </c>
      <c r="AY191" s="351"/>
      <c r="AZ191" s="10"/>
      <c r="BA191" s="66">
        <f t="shared" si="152"/>
        <v>865955</v>
      </c>
      <c r="BB191" s="67"/>
      <c r="BC191" s="67">
        <v>95235022</v>
      </c>
      <c r="BD191" s="67"/>
      <c r="BE191" s="67">
        <f t="shared" si="153"/>
        <v>46295</v>
      </c>
      <c r="BF191" s="67"/>
      <c r="BG191" s="156">
        <f t="shared" si="154"/>
        <v>5.3461207568522615E-2</v>
      </c>
      <c r="BH191" s="67"/>
      <c r="BI191" s="183"/>
      <c r="BJ191" s="67"/>
      <c r="BK191" s="67">
        <f t="shared" si="155"/>
        <v>5250233</v>
      </c>
      <c r="BL191" s="67"/>
      <c r="BM191" s="156">
        <f t="shared" si="156"/>
        <v>0</v>
      </c>
      <c r="BN191" s="66">
        <f t="shared" si="157"/>
        <v>523269.35164835164</v>
      </c>
      <c r="BO191" s="67"/>
      <c r="BP191" s="67">
        <f t="shared" si="158"/>
        <v>6580348</v>
      </c>
      <c r="BQ191" s="67"/>
      <c r="BR191" s="478">
        <f t="shared" si="159"/>
        <v>6.9095883655069662E-2</v>
      </c>
      <c r="BS191" s="67"/>
      <c r="BT191" s="86"/>
      <c r="BU191" s="183"/>
      <c r="BV191" s="1"/>
      <c r="BW191" s="61">
        <f t="shared" si="162"/>
        <v>182</v>
      </c>
    </row>
    <row r="192" spans="2:75" x14ac:dyDescent="0.3">
      <c r="B192" s="171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9"/>
        <v>6974340</v>
      </c>
      <c r="I192" s="16"/>
      <c r="J192" s="479">
        <f t="shared" si="140"/>
        <v>7.4165877629551952E-3</v>
      </c>
      <c r="K192" s="16"/>
      <c r="L192" s="16"/>
      <c r="M192" s="16"/>
      <c r="N192" s="16">
        <f t="shared" si="141"/>
        <v>283452</v>
      </c>
      <c r="O192" s="16">
        <f t="shared" si="142"/>
        <v>38111.147540983606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3"/>
        <v>203257</v>
      </c>
      <c r="AB192" s="33"/>
      <c r="AC192" s="46">
        <f t="shared" si="144"/>
        <v>2.914354619935363E-2</v>
      </c>
      <c r="AD192" s="33"/>
      <c r="AE192" s="33">
        <f t="shared" si="145"/>
        <v>1110.6939890710382</v>
      </c>
      <c r="AF192" s="50"/>
      <c r="AG192" s="33">
        <f t="shared" si="146"/>
        <v>5764</v>
      </c>
      <c r="AH192" s="33">
        <f t="shared" si="160"/>
        <v>460332713.35152841</v>
      </c>
      <c r="AI192" s="231">
        <f t="shared" si="147"/>
        <v>8.5499058380414314E-2</v>
      </c>
      <c r="AJ192" s="50"/>
      <c r="AK192" s="10"/>
      <c r="AL192" s="23">
        <f t="shared" si="148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9"/>
        <v>8.8699528452079509E-3</v>
      </c>
      <c r="AS192" s="25"/>
      <c r="AT192" s="25"/>
      <c r="AU192" s="24"/>
      <c r="AV192" s="341">
        <f t="shared" si="150"/>
        <v>0.60104526019666382</v>
      </c>
      <c r="AW192" s="341"/>
      <c r="AX192" s="24">
        <f t="shared" si="151"/>
        <v>22906.524590163935</v>
      </c>
      <c r="AY192" s="351"/>
      <c r="AZ192" s="10"/>
      <c r="BA192" s="66">
        <f t="shared" si="152"/>
        <v>988439</v>
      </c>
      <c r="BB192" s="67"/>
      <c r="BC192" s="67">
        <v>96223461</v>
      </c>
      <c r="BD192" s="67"/>
      <c r="BE192" s="67">
        <f t="shared" si="153"/>
        <v>51345</v>
      </c>
      <c r="BF192" s="67"/>
      <c r="BG192" s="156">
        <f t="shared" si="154"/>
        <v>5.1945542415869871E-2</v>
      </c>
      <c r="BH192" s="67"/>
      <c r="BI192" s="183"/>
      <c r="BJ192" s="67"/>
      <c r="BK192" s="67">
        <f t="shared" si="155"/>
        <v>5377755</v>
      </c>
      <c r="BL192" s="67"/>
      <c r="BM192" s="156">
        <f t="shared" si="156"/>
        <v>0</v>
      </c>
      <c r="BN192" s="66">
        <f t="shared" si="157"/>
        <v>525811.26229508198</v>
      </c>
      <c r="BO192" s="67"/>
      <c r="BP192" s="67">
        <f t="shared" si="158"/>
        <v>6631693</v>
      </c>
      <c r="BQ192" s="67"/>
      <c r="BR192" s="478">
        <f t="shared" si="159"/>
        <v>6.8919709716115912E-2</v>
      </c>
      <c r="BS192" s="67"/>
      <c r="BT192" s="86"/>
      <c r="BU192" s="183"/>
      <c r="BV192" s="1"/>
      <c r="BW192" s="61">
        <f t="shared" si="162"/>
        <v>183</v>
      </c>
    </row>
    <row r="193" spans="2:75" x14ac:dyDescent="0.3">
      <c r="B193" s="171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9"/>
        <v>7017953</v>
      </c>
      <c r="I193" s="16"/>
      <c r="J193" s="479">
        <f t="shared" si="140"/>
        <v>6.2533515716182465E-3</v>
      </c>
      <c r="K193" s="16"/>
      <c r="L193" s="16"/>
      <c r="M193" s="16"/>
      <c r="N193" s="16">
        <f t="shared" si="141"/>
        <v>287783</v>
      </c>
      <c r="O193" s="16">
        <f t="shared" si="142"/>
        <v>38141.04891304348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3"/>
        <v>203915</v>
      </c>
      <c r="AB193" s="33"/>
      <c r="AC193" s="46">
        <f t="shared" si="144"/>
        <v>2.9056193451281305E-2</v>
      </c>
      <c r="AD193" s="33"/>
      <c r="AE193" s="33">
        <f t="shared" si="145"/>
        <v>1108.233695652174</v>
      </c>
      <c r="AF193" s="50"/>
      <c r="AG193" s="33">
        <f t="shared" si="146"/>
        <v>5715</v>
      </c>
      <c r="AH193" s="33">
        <f t="shared" si="160"/>
        <v>460287356.35152841</v>
      </c>
      <c r="AI193" s="231">
        <f t="shared" si="147"/>
        <v>7.6271186440677971E-2</v>
      </c>
      <c r="AJ193" s="50"/>
      <c r="AK193" s="10"/>
      <c r="AL193" s="23">
        <f t="shared" si="148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9"/>
        <v>7.5858311302719013E-3</v>
      </c>
      <c r="AS193" s="25"/>
      <c r="AT193" s="25"/>
      <c r="AU193" s="24"/>
      <c r="AV193" s="341">
        <f t="shared" si="150"/>
        <v>0.60184116365555596</v>
      </c>
      <c r="AW193" s="341"/>
      <c r="AX193" s="24">
        <f t="shared" si="151"/>
        <v>22954.853260869564</v>
      </c>
      <c r="AY193" s="351"/>
      <c r="AZ193" s="10"/>
      <c r="BA193" s="66">
        <f t="shared" si="152"/>
        <v>1086851</v>
      </c>
      <c r="BB193" s="67"/>
      <c r="BC193" s="67">
        <v>97310312</v>
      </c>
      <c r="BD193" s="67"/>
      <c r="BE193" s="67">
        <f t="shared" si="153"/>
        <v>43613</v>
      </c>
      <c r="BF193" s="67"/>
      <c r="BG193" s="156">
        <f t="shared" si="154"/>
        <v>4.0127855612222832E-2</v>
      </c>
      <c r="BH193" s="67"/>
      <c r="BI193" s="183"/>
      <c r="BJ193" s="67"/>
      <c r="BK193" s="67">
        <f t="shared" si="155"/>
        <v>5606809</v>
      </c>
      <c r="BL193" s="67"/>
      <c r="BM193" s="156">
        <f t="shared" si="156"/>
        <v>0</v>
      </c>
      <c r="BN193" s="66">
        <f t="shared" si="157"/>
        <v>528860.39130434778</v>
      </c>
      <c r="BO193" s="67"/>
      <c r="BP193" s="67">
        <f t="shared" si="158"/>
        <v>6675306</v>
      </c>
      <c r="BQ193" s="67"/>
      <c r="BR193" s="478">
        <f t="shared" si="159"/>
        <v>6.8598135827578066E-2</v>
      </c>
      <c r="BS193" s="67"/>
      <c r="BT193" s="86"/>
      <c r="BU193" s="183"/>
      <c r="BV193" s="1"/>
      <c r="BW193" s="61">
        <f t="shared" si="162"/>
        <v>184</v>
      </c>
    </row>
    <row r="194" spans="2:75" x14ac:dyDescent="0.3">
      <c r="B194" s="390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9"/>
        <v>7051339</v>
      </c>
      <c r="I194" s="16"/>
      <c r="J194" s="479">
        <f t="shared" si="140"/>
        <v>4.7572276417354176E-3</v>
      </c>
      <c r="K194" s="16"/>
      <c r="L194" s="16"/>
      <c r="M194" s="16"/>
      <c r="N194" s="16">
        <f t="shared" si="141"/>
        <v>289312</v>
      </c>
      <c r="O194" s="16">
        <f t="shared" si="142"/>
        <v>38115.345945945948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3"/>
        <v>204209</v>
      </c>
      <c r="AB194" s="33"/>
      <c r="AC194" s="46">
        <f t="shared" si="144"/>
        <v>2.8960315196872536E-2</v>
      </c>
      <c r="AD194" s="33"/>
      <c r="AE194" s="33">
        <f t="shared" si="145"/>
        <v>1103.8324324324324</v>
      </c>
      <c r="AF194" s="50"/>
      <c r="AG194" s="33">
        <f t="shared" si="146"/>
        <v>5617</v>
      </c>
      <c r="AH194" s="33">
        <f t="shared" si="160"/>
        <v>460236875.35152841</v>
      </c>
      <c r="AI194" s="231">
        <f t="shared" si="147"/>
        <v>6.5440060698027311E-2</v>
      </c>
      <c r="AJ194" s="50"/>
      <c r="AK194" s="10"/>
      <c r="AL194" s="23">
        <f t="shared" si="148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9"/>
        <v>6.2615819852437195E-3</v>
      </c>
      <c r="AS194" s="25"/>
      <c r="AT194" s="25"/>
      <c r="AU194" s="24"/>
      <c r="AV194" s="341">
        <f t="shared" si="150"/>
        <v>0.60274225930706216</v>
      </c>
      <c r="AW194" s="341"/>
      <c r="AX194" s="24">
        <f t="shared" si="151"/>
        <v>22973.72972972973</v>
      </c>
      <c r="AY194" s="351"/>
      <c r="AZ194" s="391"/>
      <c r="BA194" s="66">
        <f t="shared" si="152"/>
        <v>856297</v>
      </c>
      <c r="BB194" s="67"/>
      <c r="BC194" s="67">
        <v>98166609</v>
      </c>
      <c r="BD194" s="67"/>
      <c r="BE194" s="67">
        <f t="shared" si="153"/>
        <v>33386</v>
      </c>
      <c r="BF194" s="67"/>
      <c r="BG194" s="156">
        <f t="shared" si="154"/>
        <v>3.8988808789473743E-2</v>
      </c>
      <c r="BH194" s="67"/>
      <c r="BI194" s="183"/>
      <c r="BJ194" s="67"/>
      <c r="BK194" s="67">
        <f t="shared" si="155"/>
        <v>5763109</v>
      </c>
      <c r="BL194" s="67"/>
      <c r="BM194" s="156">
        <f t="shared" si="156"/>
        <v>0</v>
      </c>
      <c r="BN194" s="66">
        <f t="shared" si="157"/>
        <v>530630.31891891896</v>
      </c>
      <c r="BO194" s="67"/>
      <c r="BP194" s="67">
        <f t="shared" si="158"/>
        <v>6708692</v>
      </c>
      <c r="BQ194" s="67"/>
      <c r="BR194" s="478">
        <f t="shared" si="159"/>
        <v>6.8339856783684969E-2</v>
      </c>
      <c r="BS194" s="67"/>
      <c r="BT194" s="86"/>
      <c r="BU194" s="183"/>
      <c r="BV194" s="1"/>
      <c r="BW194" s="61">
        <f t="shared" si="162"/>
        <v>185</v>
      </c>
    </row>
    <row r="195" spans="2:75" x14ac:dyDescent="0.3">
      <c r="B195" s="171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9"/>
        <v>7088143</v>
      </c>
      <c r="I195" s="16"/>
      <c r="J195" s="479">
        <f t="shared" si="140"/>
        <v>5.2194342095877111E-3</v>
      </c>
      <c r="K195" s="16"/>
      <c r="L195" s="16"/>
      <c r="M195" s="16"/>
      <c r="N195" s="16">
        <f t="shared" si="141"/>
        <v>288044</v>
      </c>
      <c r="O195" s="16">
        <f t="shared" si="142"/>
        <v>38108.295698924732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3"/>
        <v>204593</v>
      </c>
      <c r="AB195" s="33"/>
      <c r="AC195" s="46">
        <f t="shared" si="144"/>
        <v>2.8864118570971268E-2</v>
      </c>
      <c r="AD195" s="33"/>
      <c r="AE195" s="33">
        <f t="shared" si="145"/>
        <v>1099.9623655913979</v>
      </c>
      <c r="AF195" s="50"/>
      <c r="AG195" s="33">
        <f t="shared" si="146"/>
        <v>5521</v>
      </c>
      <c r="AH195" s="33">
        <f t="shared" si="160"/>
        <v>460193046.35152841</v>
      </c>
      <c r="AI195" s="231">
        <f t="shared" si="147"/>
        <v>1.0062202707647273E-2</v>
      </c>
      <c r="AJ195" s="50"/>
      <c r="AK195" s="10"/>
      <c r="AL195" s="23">
        <f t="shared" si="148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9"/>
        <v>1.1619617236138104E-2</v>
      </c>
      <c r="AS195" s="25"/>
      <c r="AT195" s="25"/>
      <c r="AU195" s="24"/>
      <c r="AV195" s="341">
        <f t="shared" si="150"/>
        <v>0.60657988982445754</v>
      </c>
      <c r="AW195" s="341"/>
      <c r="AX195" s="24">
        <f t="shared" si="151"/>
        <v>23115.725806451614</v>
      </c>
      <c r="AY195" s="351"/>
      <c r="AZ195" s="10"/>
      <c r="BA195" s="66">
        <f t="shared" si="152"/>
        <v>743166</v>
      </c>
      <c r="BB195" s="67"/>
      <c r="BC195" s="67">
        <v>98909775</v>
      </c>
      <c r="BD195" s="67"/>
      <c r="BE195" s="67">
        <f t="shared" si="153"/>
        <v>36804</v>
      </c>
      <c r="BF195" s="67"/>
      <c r="BG195" s="156">
        <f t="shared" si="154"/>
        <v>4.9523255907832166E-2</v>
      </c>
      <c r="BH195" s="67"/>
      <c r="BI195" s="183"/>
      <c r="BJ195" s="67"/>
      <c r="BK195" s="67">
        <f t="shared" si="155"/>
        <v>6019453</v>
      </c>
      <c r="BL195" s="67"/>
      <c r="BM195" s="156">
        <f t="shared" si="156"/>
        <v>0</v>
      </c>
      <c r="BN195" s="66">
        <f t="shared" si="157"/>
        <v>531772.98387096776</v>
      </c>
      <c r="BO195" s="67"/>
      <c r="BP195" s="67">
        <f t="shared" si="158"/>
        <v>6745496</v>
      </c>
      <c r="BQ195" s="67"/>
      <c r="BR195" s="478">
        <f t="shared" si="159"/>
        <v>6.8198476844174405E-2</v>
      </c>
      <c r="BS195" s="67"/>
      <c r="BT195" s="86"/>
      <c r="BU195" s="183"/>
      <c r="BV195" s="1"/>
      <c r="BW195" s="61">
        <f t="shared" si="162"/>
        <v>186</v>
      </c>
    </row>
    <row r="196" spans="2:75" x14ac:dyDescent="0.3">
      <c r="B196" s="171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9"/>
        <v>7123839</v>
      </c>
      <c r="I196" s="16"/>
      <c r="J196" s="479">
        <f t="shared" si="140"/>
        <v>5.0360157801556766E-3</v>
      </c>
      <c r="K196" s="16"/>
      <c r="L196" s="16"/>
      <c r="M196" s="16"/>
      <c r="N196" s="16">
        <f t="shared" si="141"/>
        <v>287293</v>
      </c>
      <c r="O196" s="16">
        <f t="shared" si="142"/>
        <v>38095.395721925132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3"/>
        <v>205572</v>
      </c>
      <c r="AB196" s="33"/>
      <c r="AC196" s="46">
        <f t="shared" si="144"/>
        <v>2.8856912684298453E-2</v>
      </c>
      <c r="AD196" s="33"/>
      <c r="AE196" s="33">
        <f t="shared" si="145"/>
        <v>1099.3155080213903</v>
      </c>
      <c r="AF196" s="50"/>
      <c r="AG196" s="33">
        <f t="shared" ref="AG196:AG204" si="163">SUM(W190:W196)</f>
        <v>5303</v>
      </c>
      <c r="AH196" s="33">
        <f t="shared" si="160"/>
        <v>460160328.35152841</v>
      </c>
      <c r="AI196" s="231">
        <f t="shared" si="147"/>
        <v>-0.14010053510621048</v>
      </c>
      <c r="AJ196" s="50"/>
      <c r="AK196" s="10"/>
      <c r="AL196" s="23">
        <f t="shared" si="148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9"/>
        <v>1.0834917810688389E-2</v>
      </c>
      <c r="AS196" s="25"/>
      <c r="AT196" s="25"/>
      <c r="AU196" s="24"/>
      <c r="AV196" s="341">
        <f t="shared" si="150"/>
        <v>0.61007976176890022</v>
      </c>
      <c r="AW196" s="341"/>
      <c r="AX196" s="24">
        <f t="shared" si="151"/>
        <v>23241.229946524065</v>
      </c>
      <c r="AY196" s="351"/>
      <c r="AZ196" s="10"/>
      <c r="BA196" s="66">
        <f t="shared" si="152"/>
        <v>772198</v>
      </c>
      <c r="BB196" s="67"/>
      <c r="BC196" s="67">
        <v>99681973</v>
      </c>
      <c r="BD196" s="67"/>
      <c r="BE196" s="67">
        <f t="shared" si="153"/>
        <v>35696</v>
      </c>
      <c r="BF196" s="67"/>
      <c r="BG196" s="156">
        <f t="shared" si="154"/>
        <v>4.6226485953084574E-2</v>
      </c>
      <c r="BH196" s="67"/>
      <c r="BI196" s="183"/>
      <c r="BJ196" s="67"/>
      <c r="BK196" s="67">
        <f t="shared" si="155"/>
        <v>6050015</v>
      </c>
      <c r="BL196" s="67"/>
      <c r="BM196" s="156">
        <f t="shared" si="156"/>
        <v>0</v>
      </c>
      <c r="BN196" s="66">
        <f t="shared" si="157"/>
        <v>533058.67914438504</v>
      </c>
      <c r="BO196" s="67"/>
      <c r="BP196" s="67">
        <f t="shared" si="158"/>
        <v>6781192</v>
      </c>
      <c r="BQ196" s="67"/>
      <c r="BR196" s="478">
        <f t="shared" si="159"/>
        <v>6.8028268260701463E-2</v>
      </c>
      <c r="BS196" s="67"/>
      <c r="BT196" s="86"/>
      <c r="BU196" s="183"/>
      <c r="BV196" s="1"/>
      <c r="BW196" s="61">
        <f t="shared" si="162"/>
        <v>187</v>
      </c>
    </row>
    <row r="197" spans="2:75" x14ac:dyDescent="0.3">
      <c r="B197" s="171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9"/>
        <v>7165455</v>
      </c>
      <c r="I197" s="16"/>
      <c r="J197" s="479">
        <f t="shared" si="140"/>
        <v>5.8417940102239814E-3</v>
      </c>
      <c r="K197" s="16"/>
      <c r="L197" s="16"/>
      <c r="M197" s="16"/>
      <c r="N197" s="16">
        <f t="shared" si="141"/>
        <v>288755</v>
      </c>
      <c r="O197" s="16">
        <f t="shared" si="142"/>
        <v>38114.122340425529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3"/>
        <v>206687</v>
      </c>
      <c r="AB197" s="33"/>
      <c r="AC197" s="46">
        <f t="shared" si="144"/>
        <v>2.8844923316104838E-2</v>
      </c>
      <c r="AD197" s="33"/>
      <c r="AE197" s="33">
        <f t="shared" si="145"/>
        <v>1099.3989361702127</v>
      </c>
      <c r="AF197" s="50"/>
      <c r="AG197" s="33">
        <f t="shared" si="163"/>
        <v>5267</v>
      </c>
      <c r="AH197" s="33">
        <f t="shared" si="160"/>
        <v>460118844.35152841</v>
      </c>
      <c r="AI197" s="231">
        <f t="shared" si="147"/>
        <v>-0.13797054009819967</v>
      </c>
      <c r="AJ197" s="50"/>
      <c r="AK197" s="10"/>
      <c r="AL197" s="23">
        <f t="shared" si="148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9"/>
        <v>1.2148104856987052E-2</v>
      </c>
      <c r="AS197" s="25"/>
      <c r="AT197" s="25"/>
      <c r="AU197" s="24"/>
      <c r="AV197" s="341">
        <f t="shared" si="150"/>
        <v>0.61390476948079364</v>
      </c>
      <c r="AW197" s="341"/>
      <c r="AX197" s="24">
        <f t="shared" si="151"/>
        <v>23398.441489361703</v>
      </c>
      <c r="AY197" s="351"/>
      <c r="AZ197" s="10"/>
      <c r="BA197" s="66">
        <f t="shared" si="152"/>
        <v>900117</v>
      </c>
      <c r="BB197" s="67"/>
      <c r="BC197" s="67">
        <v>100582090</v>
      </c>
      <c r="BD197" s="67"/>
      <c r="BE197" s="67">
        <f t="shared" si="153"/>
        <v>41616</v>
      </c>
      <c r="BF197" s="67"/>
      <c r="BG197" s="156">
        <f t="shared" si="154"/>
        <v>4.6233989581354426E-2</v>
      </c>
      <c r="BH197" s="67"/>
      <c r="BI197" s="183"/>
      <c r="BJ197" s="67"/>
      <c r="BK197" s="67">
        <f t="shared" si="155"/>
        <v>6213023</v>
      </c>
      <c r="BL197" s="67"/>
      <c r="BM197" s="156">
        <f t="shared" si="156"/>
        <v>0</v>
      </c>
      <c r="BN197" s="66">
        <f t="shared" si="157"/>
        <v>535011.11702127662</v>
      </c>
      <c r="BO197" s="67"/>
      <c r="BP197" s="67">
        <f t="shared" si="158"/>
        <v>6822808</v>
      </c>
      <c r="BQ197" s="67"/>
      <c r="BR197" s="478">
        <f t="shared" si="159"/>
        <v>6.7833229554088603E-2</v>
      </c>
      <c r="BS197" s="67"/>
      <c r="BT197" s="86"/>
      <c r="BU197" s="183"/>
      <c r="BV197" s="1"/>
      <c r="BW197" s="61">
        <f t="shared" si="162"/>
        <v>188</v>
      </c>
    </row>
    <row r="198" spans="2:75" x14ac:dyDescent="0.3">
      <c r="B198" s="171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9"/>
        <v>7210810</v>
      </c>
      <c r="I198" s="16"/>
      <c r="J198" s="479">
        <f t="shared" si="140"/>
        <v>6.3296748078105298E-3</v>
      </c>
      <c r="K198" s="16"/>
      <c r="L198" s="16"/>
      <c r="M198" s="16"/>
      <c r="N198" s="16">
        <f t="shared" si="141"/>
        <v>287815</v>
      </c>
      <c r="O198" s="16">
        <f t="shared" si="142"/>
        <v>38152.433862433863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3"/>
        <v>207629</v>
      </c>
      <c r="AB198" s="33"/>
      <c r="AC198" s="46">
        <f t="shared" si="144"/>
        <v>2.8794129924377427E-2</v>
      </c>
      <c r="AD198" s="33"/>
      <c r="AE198" s="33">
        <f t="shared" si="145"/>
        <v>1098.5661375661375</v>
      </c>
      <c r="AF198" s="50"/>
      <c r="AG198" s="33">
        <f t="shared" si="163"/>
        <v>5330</v>
      </c>
      <c r="AH198" s="33">
        <f t="shared" si="160"/>
        <v>460078746.35152841</v>
      </c>
      <c r="AI198" s="231">
        <f t="shared" si="147"/>
        <v>-9.6610169491525427E-2</v>
      </c>
      <c r="AJ198" s="50"/>
      <c r="AK198" s="10"/>
      <c r="AL198" s="23">
        <f t="shared" si="148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9"/>
        <v>8.7846821949179657E-3</v>
      </c>
      <c r="AS198" s="25"/>
      <c r="AT198" s="25"/>
      <c r="AU198" s="24"/>
      <c r="AV198" s="341">
        <f t="shared" si="150"/>
        <v>0.61540243051751464</v>
      </c>
      <c r="AW198" s="341"/>
      <c r="AX198" s="24">
        <f t="shared" si="151"/>
        <v>23479.100529100528</v>
      </c>
      <c r="AY198" s="351"/>
      <c r="AZ198" s="10"/>
      <c r="BA198" s="66">
        <f t="shared" si="152"/>
        <v>990101</v>
      </c>
      <c r="BB198" s="67"/>
      <c r="BC198" s="67">
        <v>101572191</v>
      </c>
      <c r="BD198" s="67"/>
      <c r="BE198" s="67">
        <f t="shared" si="153"/>
        <v>45355</v>
      </c>
      <c r="BF198" s="67"/>
      <c r="BG198" s="156">
        <f t="shared" si="154"/>
        <v>4.5808457924999574E-2</v>
      </c>
      <c r="BH198" s="67"/>
      <c r="BI198" s="183"/>
      <c r="BJ198" s="67"/>
      <c r="BK198" s="67">
        <f t="shared" si="155"/>
        <v>6337169</v>
      </c>
      <c r="BL198" s="67"/>
      <c r="BM198" s="156">
        <f t="shared" si="156"/>
        <v>0</v>
      </c>
      <c r="BN198" s="66">
        <f t="shared" si="157"/>
        <v>537419</v>
      </c>
      <c r="BO198" s="67"/>
      <c r="BP198" s="67">
        <f t="shared" si="158"/>
        <v>6868163</v>
      </c>
      <c r="BQ198" s="67"/>
      <c r="BR198" s="478">
        <f t="shared" si="159"/>
        <v>6.7618537440036125E-2</v>
      </c>
      <c r="BS198" s="67"/>
      <c r="BT198" s="86"/>
      <c r="BU198" s="183"/>
      <c r="BV198" s="1"/>
      <c r="BW198" s="61">
        <f t="shared" si="162"/>
        <v>189</v>
      </c>
    </row>
    <row r="199" spans="2:75" x14ac:dyDescent="0.3">
      <c r="B199" s="171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9"/>
        <v>7264439</v>
      </c>
      <c r="I199" s="16"/>
      <c r="J199" s="479">
        <f t="shared" si="140"/>
        <v>7.4373059337300524E-3</v>
      </c>
      <c r="K199" s="16"/>
      <c r="L199" s="16"/>
      <c r="M199" s="16"/>
      <c r="N199" s="16">
        <f t="shared" si="141"/>
        <v>290099</v>
      </c>
      <c r="O199" s="16">
        <f t="shared" si="142"/>
        <v>38233.889473684212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3"/>
        <v>208524</v>
      </c>
      <c r="AB199" s="33"/>
      <c r="AC199" s="46">
        <f t="shared" si="144"/>
        <v>2.8704763024371187E-2</v>
      </c>
      <c r="AD199" s="33"/>
      <c r="AE199" s="33">
        <f t="shared" si="145"/>
        <v>1097.4947368421053</v>
      </c>
      <c r="AF199" s="50"/>
      <c r="AG199" s="33">
        <f t="shared" si="163"/>
        <v>5267</v>
      </c>
      <c r="AH199" s="33">
        <f t="shared" si="160"/>
        <v>460034109.35152841</v>
      </c>
      <c r="AI199" s="231">
        <f t="shared" si="147"/>
        <v>-8.6224843858431641E-2</v>
      </c>
      <c r="AJ199" s="50"/>
      <c r="AK199" s="10"/>
      <c r="AL199" s="23">
        <f t="shared" si="148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9"/>
        <v>9.7281157395409622E-3</v>
      </c>
      <c r="AS199" s="25"/>
      <c r="AT199" s="25"/>
      <c r="AU199" s="24"/>
      <c r="AV199" s="341">
        <f t="shared" si="150"/>
        <v>0.61680179295331683</v>
      </c>
      <c r="AW199" s="341"/>
      <c r="AX199" s="24">
        <f t="shared" si="151"/>
        <v>23582.731578947369</v>
      </c>
      <c r="AY199" s="351"/>
      <c r="AZ199" s="10"/>
      <c r="BA199" s="66">
        <f t="shared" si="152"/>
        <v>975164</v>
      </c>
      <c r="BB199" s="67"/>
      <c r="BC199" s="67">
        <v>102547355</v>
      </c>
      <c r="BD199" s="67"/>
      <c r="BE199" s="67">
        <f t="shared" si="153"/>
        <v>53629</v>
      </c>
      <c r="BF199" s="67"/>
      <c r="BG199" s="156">
        <f t="shared" si="154"/>
        <v>5.4994852147946395E-2</v>
      </c>
      <c r="BH199" s="67"/>
      <c r="BI199" s="183"/>
      <c r="BJ199" s="67"/>
      <c r="BK199" s="67">
        <f t="shared" si="155"/>
        <v>6323894</v>
      </c>
      <c r="BL199" s="67"/>
      <c r="BM199" s="156">
        <f t="shared" si="156"/>
        <v>0</v>
      </c>
      <c r="BN199" s="66">
        <f t="shared" si="157"/>
        <v>539722.92105263157</v>
      </c>
      <c r="BO199" s="67"/>
      <c r="BP199" s="67">
        <f t="shared" si="158"/>
        <v>6921792</v>
      </c>
      <c r="BQ199" s="67"/>
      <c r="BR199" s="478">
        <f t="shared" si="159"/>
        <v>6.7498493744670457E-2</v>
      </c>
      <c r="BS199" s="67"/>
      <c r="BT199" s="86"/>
      <c r="BU199" s="183"/>
      <c r="BV199" s="1"/>
      <c r="BW199" s="61">
        <f t="shared" si="162"/>
        <v>190</v>
      </c>
    </row>
    <row r="200" spans="2:75" x14ac:dyDescent="0.3">
      <c r="B200" s="171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9"/>
        <v>7307645</v>
      </c>
      <c r="I200" s="16"/>
      <c r="J200" s="479">
        <f t="shared" si="140"/>
        <v>5.9476031115410291E-3</v>
      </c>
      <c r="K200" s="16"/>
      <c r="L200" s="16"/>
      <c r="M200" s="16"/>
      <c r="N200" s="16">
        <f t="shared" si="141"/>
        <v>289692</v>
      </c>
      <c r="O200" s="16">
        <f t="shared" si="142"/>
        <v>38259.921465968589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3"/>
        <v>209261</v>
      </c>
      <c r="AB200" s="33"/>
      <c r="AC200" s="46">
        <f t="shared" si="144"/>
        <v>2.8635901169254938E-2</v>
      </c>
      <c r="AD200" s="33"/>
      <c r="AE200" s="33">
        <f t="shared" si="145"/>
        <v>1095.6073298429319</v>
      </c>
      <c r="AF200" s="50"/>
      <c r="AG200" s="33">
        <f t="shared" si="163"/>
        <v>5346</v>
      </c>
      <c r="AH200" s="33">
        <f t="shared" si="160"/>
        <v>459988103.35152841</v>
      </c>
      <c r="AI200" s="231">
        <f t="shared" si="147"/>
        <v>-6.4566929133858267E-2</v>
      </c>
      <c r="AJ200" s="50"/>
      <c r="AK200" s="10"/>
      <c r="AL200" s="23">
        <f t="shared" si="148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9"/>
        <v>9.6834905290869612E-3</v>
      </c>
      <c r="AS200" s="25"/>
      <c r="AT200" s="25"/>
      <c r="AU200" s="24"/>
      <c r="AV200" s="341">
        <f t="shared" si="150"/>
        <v>0.61909247096704889</v>
      </c>
      <c r="AW200" s="341"/>
      <c r="AX200" s="24">
        <f t="shared" si="151"/>
        <v>23686.429319371728</v>
      </c>
      <c r="AY200" s="351"/>
      <c r="AZ200" s="10"/>
      <c r="BA200" s="66">
        <f t="shared" si="152"/>
        <v>1028168</v>
      </c>
      <c r="BB200" s="67"/>
      <c r="BC200" s="67">
        <v>103575523</v>
      </c>
      <c r="BD200" s="67"/>
      <c r="BE200" s="67">
        <f t="shared" si="153"/>
        <v>43206</v>
      </c>
      <c r="BF200" s="67"/>
      <c r="BG200" s="156">
        <f t="shared" si="154"/>
        <v>4.2022315419270005E-2</v>
      </c>
      <c r="BH200" s="67"/>
      <c r="BI200" s="183"/>
      <c r="BJ200" s="67"/>
      <c r="BK200" s="67">
        <f t="shared" si="155"/>
        <v>6265211</v>
      </c>
      <c r="BL200" s="67"/>
      <c r="BM200" s="156">
        <f t="shared" si="156"/>
        <v>0</v>
      </c>
      <c r="BN200" s="66">
        <f t="shared" si="157"/>
        <v>542280.22513089003</v>
      </c>
      <c r="BO200" s="67"/>
      <c r="BP200" s="67">
        <f t="shared" si="158"/>
        <v>6964998</v>
      </c>
      <c r="BQ200" s="67"/>
      <c r="BR200" s="478">
        <f t="shared" si="159"/>
        <v>6.7245598170911483E-2</v>
      </c>
      <c r="BS200" s="67"/>
      <c r="BT200" s="86"/>
      <c r="BU200" s="183"/>
      <c r="BV200" s="1"/>
      <c r="BW200" s="61">
        <f t="shared" si="162"/>
        <v>191</v>
      </c>
    </row>
    <row r="201" spans="2:75" x14ac:dyDescent="0.3">
      <c r="B201" s="390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9"/>
        <v>7341427</v>
      </c>
      <c r="I201" s="16"/>
      <c r="J201" s="479">
        <f t="shared" si="140"/>
        <v>4.622829926741105E-3</v>
      </c>
      <c r="K201" s="16"/>
      <c r="L201" s="16"/>
      <c r="M201" s="16"/>
      <c r="N201" s="16">
        <f t="shared" si="141"/>
        <v>290088</v>
      </c>
      <c r="O201" s="16">
        <f t="shared" si="142"/>
        <v>38236.598958333336</v>
      </c>
      <c r="P201" s="41"/>
      <c r="Q201" s="453"/>
      <c r="R201" s="16"/>
      <c r="S201" s="60"/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3"/>
        <v>209537</v>
      </c>
      <c r="AB201" s="33"/>
      <c r="AC201" s="46">
        <f t="shared" si="144"/>
        <v>2.8541726288363285E-2</v>
      </c>
      <c r="AD201" s="33"/>
      <c r="AE201" s="33">
        <f t="shared" si="145"/>
        <v>1091.3385416666667</v>
      </c>
      <c r="AF201" s="50"/>
      <c r="AG201" s="33">
        <f t="shared" si="163"/>
        <v>5328</v>
      </c>
      <c r="AH201" s="33">
        <f t="shared" si="160"/>
        <v>459938502.35152841</v>
      </c>
      <c r="AI201" s="231">
        <f t="shared" si="147"/>
        <v>-5.145095246572904E-2</v>
      </c>
      <c r="AJ201" s="50"/>
      <c r="AK201" s="10"/>
      <c r="AL201" s="23">
        <f t="shared" si="148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9"/>
        <v>8.0342909585712809E-3</v>
      </c>
      <c r="AS201" s="25"/>
      <c r="AT201" s="25"/>
      <c r="AU201" s="24"/>
      <c r="AV201" s="341">
        <f t="shared" si="150"/>
        <v>0.62119476227169457</v>
      </c>
      <c r="AW201" s="341"/>
      <c r="AX201" s="24">
        <f t="shared" si="151"/>
        <v>23752.375</v>
      </c>
      <c r="AY201" s="351"/>
      <c r="AZ201" s="391"/>
      <c r="BA201" s="66">
        <f t="shared" si="152"/>
        <v>759639</v>
      </c>
      <c r="BB201" s="67"/>
      <c r="BC201" s="67">
        <v>104335162</v>
      </c>
      <c r="BD201" s="67"/>
      <c r="BE201" s="67">
        <f t="shared" si="153"/>
        <v>33782</v>
      </c>
      <c r="BF201" s="67"/>
      <c r="BG201" s="156">
        <f t="shared" si="154"/>
        <v>4.4471123783797306E-2</v>
      </c>
      <c r="BH201" s="67"/>
      <c r="BI201" s="183"/>
      <c r="BJ201" s="67"/>
      <c r="BK201" s="67">
        <f t="shared" si="155"/>
        <v>6168553</v>
      </c>
      <c r="BL201" s="67"/>
      <c r="BM201" s="156">
        <f t="shared" si="156"/>
        <v>0</v>
      </c>
      <c r="BN201" s="66">
        <f t="shared" si="157"/>
        <v>543412.30208333337</v>
      </c>
      <c r="BO201" s="67"/>
      <c r="BP201" s="67">
        <f t="shared" si="158"/>
        <v>6998780</v>
      </c>
      <c r="BQ201" s="67"/>
      <c r="BR201" s="478">
        <f t="shared" si="159"/>
        <v>6.7079782748600131E-2</v>
      </c>
      <c r="BS201" s="67"/>
      <c r="BT201" s="86"/>
      <c r="BU201" s="183"/>
      <c r="BV201" s="1"/>
      <c r="BW201" s="61">
        <f t="shared" si="162"/>
        <v>192</v>
      </c>
    </row>
    <row r="202" spans="2:75" x14ac:dyDescent="0.3">
      <c r="B202" s="171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9"/>
        <v>7378845</v>
      </c>
      <c r="I202" s="16"/>
      <c r="J202" s="479">
        <f t="shared" si="140"/>
        <v>5.0968292676614509E-3</v>
      </c>
      <c r="K202" s="16"/>
      <c r="L202" s="16"/>
      <c r="M202" s="16"/>
      <c r="N202" s="16">
        <f t="shared" si="141"/>
        <v>290702</v>
      </c>
      <c r="O202" s="16">
        <f t="shared" si="142"/>
        <v>38232.357512953371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3"/>
        <v>209892</v>
      </c>
      <c r="AB202" s="33"/>
      <c r="AC202" s="46">
        <f t="shared" si="144"/>
        <v>2.844510218062583E-2</v>
      </c>
      <c r="AD202" s="33"/>
      <c r="AE202" s="33">
        <f t="shared" si="145"/>
        <v>1087.5233160621763</v>
      </c>
      <c r="AF202" s="50"/>
      <c r="AG202" s="33">
        <f t="shared" si="163"/>
        <v>5299</v>
      </c>
      <c r="AH202" s="33">
        <f t="shared" si="160"/>
        <v>459895842.35152841</v>
      </c>
      <c r="AI202" s="231">
        <f t="shared" si="147"/>
        <v>-4.0210106864698426E-2</v>
      </c>
      <c r="AJ202" s="50"/>
      <c r="AK202" s="10"/>
      <c r="AL202" s="23">
        <f t="shared" si="148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9"/>
        <v>1.0784009318366409E-2</v>
      </c>
      <c r="AS202" s="25"/>
      <c r="AT202" s="25"/>
      <c r="AU202" s="24"/>
      <c r="AV202" s="341">
        <f t="shared" si="150"/>
        <v>0.62470969372577956</v>
      </c>
      <c r="AW202" s="341"/>
      <c r="AX202" s="24">
        <f t="shared" si="151"/>
        <v>23884.124352331608</v>
      </c>
      <c r="AY202" s="351"/>
      <c r="AZ202" s="10"/>
      <c r="BA202" s="66">
        <f t="shared" si="152"/>
        <v>1066544</v>
      </c>
      <c r="BB202" s="67"/>
      <c r="BC202" s="67">
        <v>105401706</v>
      </c>
      <c r="BD202" s="67"/>
      <c r="BE202" s="67">
        <f t="shared" si="153"/>
        <v>37418</v>
      </c>
      <c r="BF202" s="67"/>
      <c r="BG202" s="156">
        <f t="shared" si="154"/>
        <v>3.5083409592103092E-2</v>
      </c>
      <c r="BH202" s="67"/>
      <c r="BI202" s="183"/>
      <c r="BJ202" s="67"/>
      <c r="BK202" s="67">
        <f t="shared" si="155"/>
        <v>6491931</v>
      </c>
      <c r="BL202" s="67"/>
      <c r="BM202" s="156">
        <f t="shared" si="156"/>
        <v>0</v>
      </c>
      <c r="BN202" s="66">
        <f t="shared" si="157"/>
        <v>546122.82901554403</v>
      </c>
      <c r="BO202" s="67"/>
      <c r="BP202" s="67">
        <f t="shared" si="158"/>
        <v>7036198</v>
      </c>
      <c r="BQ202" s="67"/>
      <c r="BR202" s="478">
        <f t="shared" si="159"/>
        <v>6.6756016264101076E-2</v>
      </c>
      <c r="BS202" s="67"/>
      <c r="BT202" s="86"/>
      <c r="BU202" s="183"/>
      <c r="BV202" s="1"/>
      <c r="BW202" s="61">
        <f t="shared" si="162"/>
        <v>193</v>
      </c>
    </row>
    <row r="203" spans="2:75" x14ac:dyDescent="0.3">
      <c r="B203" s="171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9"/>
        <v>7423072</v>
      </c>
      <c r="I203" s="16"/>
      <c r="J203" s="479">
        <f t="shared" si="140"/>
        <v>5.9937564754375516E-3</v>
      </c>
      <c r="K203" s="16"/>
      <c r="L203" s="16"/>
      <c r="M203" s="16"/>
      <c r="N203" s="16">
        <f t="shared" si="141"/>
        <v>299233</v>
      </c>
      <c r="O203" s="16">
        <f t="shared" si="142"/>
        <v>38263.257731958765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3"/>
        <v>210869</v>
      </c>
      <c r="AB203" s="33"/>
      <c r="AC203" s="46">
        <f t="shared" si="144"/>
        <v>2.8407241637963366E-2</v>
      </c>
      <c r="AD203" s="33"/>
      <c r="AE203" s="33">
        <f t="shared" si="145"/>
        <v>1086.9536082474226</v>
      </c>
      <c r="AF203" s="50"/>
      <c r="AG203" s="33">
        <f t="shared" si="163"/>
        <v>5297</v>
      </c>
      <c r="AH203" s="33">
        <f t="shared" si="160"/>
        <v>459861861.35152841</v>
      </c>
      <c r="AI203" s="231">
        <f t="shared" si="147"/>
        <v>-1.1314350367716388E-3</v>
      </c>
      <c r="AJ203" s="50"/>
      <c r="AK203" s="10"/>
      <c r="AL203" s="23">
        <f t="shared" si="148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9"/>
        <v>8.4707339147819909E-3</v>
      </c>
      <c r="AS203" s="25"/>
      <c r="AT203" s="25"/>
      <c r="AU203" s="24"/>
      <c r="AV203" s="341">
        <f t="shared" si="150"/>
        <v>0.62624786611257444</v>
      </c>
      <c r="AW203" s="341"/>
      <c r="AX203" s="24">
        <f t="shared" si="151"/>
        <v>23962.283505154639</v>
      </c>
      <c r="AY203" s="351"/>
      <c r="AZ203" s="10"/>
      <c r="BA203" s="66">
        <f t="shared" si="152"/>
        <v>771516</v>
      </c>
      <c r="BB203" s="67"/>
      <c r="BC203" s="67">
        <v>106173222</v>
      </c>
      <c r="BD203" s="67"/>
      <c r="BE203" s="67">
        <f t="shared" si="153"/>
        <v>44227</v>
      </c>
      <c r="BF203" s="67"/>
      <c r="BG203" s="156">
        <f t="shared" si="154"/>
        <v>5.7324799485687916E-2</v>
      </c>
      <c r="BH203" s="67"/>
      <c r="BI203" s="183"/>
      <c r="BJ203" s="67"/>
      <c r="BK203" s="67">
        <f t="shared" si="155"/>
        <v>6491249</v>
      </c>
      <c r="BL203" s="67"/>
      <c r="BM203" s="156">
        <f t="shared" si="156"/>
        <v>0</v>
      </c>
      <c r="BN203" s="66">
        <f t="shared" si="157"/>
        <v>547284.64948453603</v>
      </c>
      <c r="BO203" s="67"/>
      <c r="BP203" s="67">
        <f t="shared" si="158"/>
        <v>7080425</v>
      </c>
      <c r="BQ203" s="67"/>
      <c r="BR203" s="478">
        <f t="shared" si="159"/>
        <v>6.6687483591672481E-2</v>
      </c>
      <c r="BS203" s="67"/>
      <c r="BT203" s="86"/>
      <c r="BU203" s="183"/>
      <c r="BV203" s="1"/>
      <c r="BW203" s="61">
        <f t="shared" si="162"/>
        <v>194</v>
      </c>
    </row>
    <row r="204" spans="2:75" x14ac:dyDescent="0.3">
      <c r="B204" s="171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9"/>
        <v>7464001</v>
      </c>
      <c r="I204" s="16"/>
      <c r="J204" s="479">
        <f t="shared" si="140"/>
        <v>5.5137549521276363E-3</v>
      </c>
      <c r="K204" s="16"/>
      <c r="L204" s="16"/>
      <c r="M204" s="16"/>
      <c r="N204" s="469">
        <f>SUM(D175:D204)</f>
        <v>1202331</v>
      </c>
      <c r="O204" s="16">
        <f t="shared" si="142"/>
        <v>38276.928205128206</v>
      </c>
      <c r="P204" s="41"/>
      <c r="Q204" s="453"/>
      <c r="R204" s="16"/>
      <c r="S204" s="60"/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3"/>
        <v>211824</v>
      </c>
      <c r="AB204" s="33"/>
      <c r="AC204" s="46">
        <f t="shared" si="144"/>
        <v>2.8379417419692202E-2</v>
      </c>
      <c r="AD204" s="33"/>
      <c r="AE204" s="33">
        <f t="shared" si="145"/>
        <v>1086.2769230769231</v>
      </c>
      <c r="AF204" s="50"/>
      <c r="AG204" s="33">
        <f t="shared" si="163"/>
        <v>5137</v>
      </c>
      <c r="AH204" s="33">
        <f t="shared" si="160"/>
        <v>459823301.35152841</v>
      </c>
      <c r="AI204" s="231">
        <f t="shared" si="147"/>
        <v>-2.468198215302829E-2</v>
      </c>
      <c r="AJ204" s="50"/>
      <c r="AK204" s="10"/>
      <c r="AL204" s="23">
        <f t="shared" si="148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9"/>
        <v>1.0975796800943407E-2</v>
      </c>
      <c r="AS204" s="25"/>
      <c r="AT204" s="25"/>
      <c r="AU204" s="24"/>
      <c r="AV204" s="341">
        <f t="shared" si="150"/>
        <v>0.62964970127951481</v>
      </c>
      <c r="AW204" s="341"/>
      <c r="AX204" s="24">
        <f t="shared" si="151"/>
        <v>24101.056410256409</v>
      </c>
      <c r="AY204" s="351"/>
      <c r="AZ204" s="10"/>
      <c r="BA204" s="66">
        <f t="shared" si="152"/>
        <v>1363003</v>
      </c>
      <c r="BB204" s="67"/>
      <c r="BC204" s="67">
        <v>107536225</v>
      </c>
      <c r="BD204" s="67"/>
      <c r="BE204" s="67">
        <f t="shared" si="153"/>
        <v>40929</v>
      </c>
      <c r="BF204" s="67"/>
      <c r="BG204" s="156">
        <f t="shared" si="154"/>
        <v>3.0028547259250346E-2</v>
      </c>
      <c r="BH204" s="67"/>
      <c r="BI204" s="183"/>
      <c r="BJ204" s="67"/>
      <c r="BK204" s="67">
        <f t="shared" si="155"/>
        <v>6954135</v>
      </c>
      <c r="BL204" s="67"/>
      <c r="BM204" s="156">
        <f t="shared" si="156"/>
        <v>0</v>
      </c>
      <c r="BN204" s="66">
        <f t="shared" si="157"/>
        <v>551467.8205128205</v>
      </c>
      <c r="BO204" s="67"/>
      <c r="BP204" s="67">
        <f t="shared" si="158"/>
        <v>7121354</v>
      </c>
      <c r="BQ204" s="67"/>
      <c r="BR204" s="478">
        <f t="shared" si="159"/>
        <v>6.6222837932054995E-2</v>
      </c>
      <c r="BS204" s="67"/>
      <c r="BT204" s="86"/>
      <c r="BU204" s="183"/>
      <c r="BV204" s="1"/>
      <c r="BW204" s="61">
        <f t="shared" si="162"/>
        <v>195</v>
      </c>
    </row>
    <row r="205" spans="2:75" x14ac:dyDescent="0.3">
      <c r="B205" s="171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9"/>
        <v>7511390</v>
      </c>
      <c r="I205" s="16"/>
      <c r="J205" s="479">
        <f t="shared" si="140"/>
        <v>6.3490077238735629E-3</v>
      </c>
      <c r="K205" s="16"/>
      <c r="L205" s="16"/>
      <c r="M205" s="16"/>
      <c r="N205" s="16">
        <f t="shared" si="141"/>
        <v>300580</v>
      </c>
      <c r="O205" s="16">
        <f t="shared" si="142"/>
        <v>38323.418367346938</v>
      </c>
      <c r="P205" s="41"/>
      <c r="Q205" s="453"/>
      <c r="R205" s="16"/>
      <c r="S205" s="60"/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3"/>
        <v>212744</v>
      </c>
      <c r="AB205" s="33"/>
      <c r="AC205" s="46">
        <f t="shared" si="144"/>
        <v>2.8322853692858446E-2</v>
      </c>
      <c r="AD205" s="33"/>
      <c r="AE205" s="33">
        <f t="shared" si="145"/>
        <v>1085.4285714285713</v>
      </c>
      <c r="AF205" s="50"/>
      <c r="AG205" s="33">
        <f t="shared" ref="AG205:AG212" si="164">SUM(W199:W205)</f>
        <v>5115</v>
      </c>
      <c r="AH205" s="33">
        <f t="shared" si="160"/>
        <v>459781322.35152841</v>
      </c>
      <c r="AI205" s="231">
        <f t="shared" si="147"/>
        <v>-4.0337711069418386E-2</v>
      </c>
      <c r="AJ205" s="50"/>
      <c r="AK205" s="10"/>
      <c r="AL205" s="23">
        <f t="shared" si="148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9"/>
        <v>7.8547466586207735E-3</v>
      </c>
      <c r="AS205" s="25"/>
      <c r="AT205" s="25"/>
      <c r="AU205" s="24"/>
      <c r="AV205" s="341">
        <f t="shared" si="150"/>
        <v>0.63059180790772418</v>
      </c>
      <c r="AW205" s="341"/>
      <c r="AX205" s="24">
        <f t="shared" si="151"/>
        <v>24166.433673469386</v>
      </c>
      <c r="AY205" s="351"/>
      <c r="AZ205" s="10"/>
      <c r="BA205" s="66">
        <f t="shared" si="152"/>
        <v>895735</v>
      </c>
      <c r="BB205" s="67"/>
      <c r="BC205" s="67">
        <v>108431960</v>
      </c>
      <c r="BD205" s="67"/>
      <c r="BE205" s="67">
        <f t="shared" si="153"/>
        <v>47389</v>
      </c>
      <c r="BF205" s="67"/>
      <c r="BG205" s="156">
        <f t="shared" si="154"/>
        <v>5.2905156100855721E-2</v>
      </c>
      <c r="BH205" s="67"/>
      <c r="BI205" s="183"/>
      <c r="BJ205" s="67"/>
      <c r="BK205" s="67">
        <f t="shared" si="155"/>
        <v>6859769</v>
      </c>
      <c r="BL205" s="67"/>
      <c r="BM205" s="156">
        <f t="shared" si="156"/>
        <v>0</v>
      </c>
      <c r="BN205" s="66">
        <f t="shared" si="157"/>
        <v>553224.28571428568</v>
      </c>
      <c r="BO205" s="67"/>
      <c r="BP205" s="67">
        <f t="shared" si="158"/>
        <v>7168743</v>
      </c>
      <c r="BQ205" s="67"/>
      <c r="BR205" s="478">
        <f t="shared" si="159"/>
        <v>6.6112823193456988E-2</v>
      </c>
      <c r="BS205" s="67"/>
      <c r="BT205" s="86"/>
      <c r="BU205" s="183"/>
      <c r="BV205" s="1"/>
      <c r="BW205" s="61">
        <f t="shared" si="162"/>
        <v>196</v>
      </c>
    </row>
    <row r="206" spans="2:75" x14ac:dyDescent="0.3">
      <c r="B206" s="171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9"/>
        <v>7562793</v>
      </c>
      <c r="I206" s="16"/>
      <c r="J206" s="479">
        <f t="shared" si="140"/>
        <v>6.8433405801056795E-3</v>
      </c>
      <c r="K206" s="16"/>
      <c r="L206" s="16"/>
      <c r="M206" s="16"/>
      <c r="N206" s="16">
        <f t="shared" si="141"/>
        <v>298354</v>
      </c>
      <c r="O206" s="16">
        <f t="shared" si="142"/>
        <v>38389.812182741116</v>
      </c>
      <c r="P206" s="41"/>
      <c r="Q206" s="453"/>
      <c r="R206" s="16"/>
      <c r="S206" s="60"/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3"/>
        <v>213608</v>
      </c>
      <c r="AB206" s="33"/>
      <c r="AC206" s="46">
        <f t="shared" si="144"/>
        <v>2.8244591647556664E-2</v>
      </c>
      <c r="AD206" s="33"/>
      <c r="AE206" s="33">
        <f t="shared" si="145"/>
        <v>1084.3045685279187</v>
      </c>
      <c r="AF206" s="50"/>
      <c r="AG206" s="33">
        <f t="shared" si="164"/>
        <v>5084</v>
      </c>
      <c r="AH206" s="33">
        <f t="shared" si="160"/>
        <v>459740111.35152841</v>
      </c>
      <c r="AI206" s="231">
        <f t="shared" si="147"/>
        <v>-3.4744636415416745E-2</v>
      </c>
      <c r="AJ206" s="50"/>
      <c r="AK206" s="10"/>
      <c r="AL206" s="23">
        <f t="shared" si="148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9"/>
        <v>8.4876961867964527E-3</v>
      </c>
      <c r="AS206" s="25"/>
      <c r="AT206" s="25"/>
      <c r="AU206" s="24"/>
      <c r="AV206" s="341">
        <f t="shared" si="150"/>
        <v>0.63162167733534424</v>
      </c>
      <c r="AW206" s="341"/>
      <c r="AX206" s="24">
        <f t="shared" si="151"/>
        <v>24247.837563451776</v>
      </c>
      <c r="AY206" s="351"/>
      <c r="AZ206" s="10"/>
      <c r="BA206" s="66">
        <f t="shared" si="152"/>
        <v>1138486</v>
      </c>
      <c r="BB206" s="67"/>
      <c r="BC206" s="67">
        <v>109570446</v>
      </c>
      <c r="BD206" s="67"/>
      <c r="BE206" s="67">
        <f t="shared" si="153"/>
        <v>51403</v>
      </c>
      <c r="BF206" s="67"/>
      <c r="BG206" s="156">
        <f t="shared" si="154"/>
        <v>4.515031366217942E-2</v>
      </c>
      <c r="BH206" s="67"/>
      <c r="BI206" s="183"/>
      <c r="BJ206" s="67"/>
      <c r="BK206" s="67">
        <f t="shared" si="155"/>
        <v>7023091</v>
      </c>
      <c r="BL206" s="67"/>
      <c r="BM206" s="156">
        <f t="shared" si="156"/>
        <v>0</v>
      </c>
      <c r="BN206" s="66">
        <f t="shared" si="157"/>
        <v>556195.15736040613</v>
      </c>
      <c r="BO206" s="67"/>
      <c r="BP206" s="67">
        <f t="shared" si="158"/>
        <v>7220146</v>
      </c>
      <c r="BQ206" s="67"/>
      <c r="BR206" s="478">
        <f t="shared" si="159"/>
        <v>6.589501333233598E-2</v>
      </c>
      <c r="BS206" s="67"/>
      <c r="BT206" s="86"/>
      <c r="BU206" s="183"/>
      <c r="BV206" s="1"/>
      <c r="BW206" s="61">
        <f t="shared" si="162"/>
        <v>197</v>
      </c>
    </row>
    <row r="207" spans="2:75" x14ac:dyDescent="0.3">
      <c r="B207" s="171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9"/>
        <v>7611718</v>
      </c>
      <c r="I207" s="16"/>
      <c r="J207" s="479">
        <f t="shared" si="140"/>
        <v>6.4691708473311382E-3</v>
      </c>
      <c r="K207" s="16"/>
      <c r="L207" s="16"/>
      <c r="M207" s="16"/>
      <c r="N207" s="16">
        <f t="shared" si="141"/>
        <v>304073</v>
      </c>
      <c r="O207" s="16">
        <f t="shared" si="142"/>
        <v>38443.020202020205</v>
      </c>
      <c r="P207" s="41"/>
      <c r="Q207" s="453"/>
      <c r="R207" s="16"/>
      <c r="S207" s="60"/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3"/>
        <v>214363</v>
      </c>
      <c r="AB207" s="33"/>
      <c r="AC207" s="46">
        <f t="shared" si="144"/>
        <v>2.8162236173226596E-2</v>
      </c>
      <c r="AD207" s="33"/>
      <c r="AE207" s="33">
        <f t="shared" si="145"/>
        <v>1082.6414141414141</v>
      </c>
      <c r="AF207" s="50"/>
      <c r="AG207" s="33">
        <f t="shared" si="164"/>
        <v>5102</v>
      </c>
      <c r="AH207" s="33">
        <f t="shared" si="160"/>
        <v>459694647.35152841</v>
      </c>
      <c r="AI207" s="231">
        <f t="shared" si="147"/>
        <v>-4.5641601197156753E-2</v>
      </c>
      <c r="AJ207" s="50"/>
      <c r="AK207" s="10"/>
      <c r="AL207" s="23">
        <f t="shared" si="148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9"/>
        <v>8.7265094966865013E-3</v>
      </c>
      <c r="AS207" s="25"/>
      <c r="AT207" s="25"/>
      <c r="AU207" s="24"/>
      <c r="AV207" s="341">
        <f t="shared" si="150"/>
        <v>0.63303829700469727</v>
      </c>
      <c r="AW207" s="341"/>
      <c r="AX207" s="24">
        <f t="shared" si="151"/>
        <v>24335.904040404039</v>
      </c>
      <c r="AY207" s="351"/>
      <c r="AZ207" s="10"/>
      <c r="BA207" s="66">
        <f t="shared" si="152"/>
        <v>955837</v>
      </c>
      <c r="BB207" s="67"/>
      <c r="BC207" s="67">
        <v>110526283</v>
      </c>
      <c r="BD207" s="67"/>
      <c r="BE207" s="67">
        <f t="shared" si="153"/>
        <v>48925</v>
      </c>
      <c r="BF207" s="67"/>
      <c r="BG207" s="156">
        <f t="shared" si="154"/>
        <v>5.1185505478444547E-2</v>
      </c>
      <c r="BH207" s="67"/>
      <c r="BI207" s="183"/>
      <c r="BJ207" s="67"/>
      <c r="BK207" s="67">
        <f t="shared" si="155"/>
        <v>6950760</v>
      </c>
      <c r="BL207" s="67"/>
      <c r="BM207" s="156">
        <f t="shared" si="156"/>
        <v>0</v>
      </c>
      <c r="BN207" s="66">
        <f t="shared" si="157"/>
        <v>558213.55050505046</v>
      </c>
      <c r="BO207" s="67"/>
      <c r="BP207" s="67">
        <f t="shared" si="158"/>
        <v>7269071</v>
      </c>
      <c r="BQ207" s="67"/>
      <c r="BR207" s="478">
        <f t="shared" si="159"/>
        <v>6.5767804749210651E-2</v>
      </c>
      <c r="BS207" s="67"/>
      <c r="BT207" s="86"/>
      <c r="BU207" s="183"/>
      <c r="BV207" s="1"/>
      <c r="BW207" s="61">
        <f t="shared" si="162"/>
        <v>198</v>
      </c>
    </row>
    <row r="208" spans="2:75" x14ac:dyDescent="0.3">
      <c r="B208" s="390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9"/>
        <v>7645784</v>
      </c>
      <c r="I208" s="16"/>
      <c r="J208" s="479">
        <f t="shared" si="140"/>
        <v>4.4754679561171337E-3</v>
      </c>
      <c r="K208" s="16"/>
      <c r="L208" s="16"/>
      <c r="M208" s="16"/>
      <c r="N208" s="16">
        <f t="shared" si="141"/>
        <v>304357</v>
      </c>
      <c r="O208" s="16">
        <f t="shared" si="142"/>
        <v>38421.025125628141</v>
      </c>
      <c r="P208" s="41"/>
      <c r="Q208" s="453"/>
      <c r="R208" s="16"/>
      <c r="S208" s="60"/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3"/>
        <v>214695</v>
      </c>
      <c r="AB208" s="33"/>
      <c r="AC208" s="46">
        <f t="shared" si="144"/>
        <v>2.8080181182204466E-2</v>
      </c>
      <c r="AD208" s="33"/>
      <c r="AE208" s="33">
        <f t="shared" si="145"/>
        <v>1078.8693467336684</v>
      </c>
      <c r="AF208" s="50"/>
      <c r="AG208" s="33">
        <f t="shared" si="164"/>
        <v>5158</v>
      </c>
      <c r="AH208" s="33">
        <f t="shared" si="160"/>
        <v>459641798.35152841</v>
      </c>
      <c r="AI208" s="231">
        <f t="shared" si="147"/>
        <v>-3.1906906906906909E-2</v>
      </c>
      <c r="AJ208" s="50"/>
      <c r="AK208" s="10"/>
      <c r="AL208" s="23">
        <f t="shared" si="148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9"/>
        <v>6.3357773120274342E-3</v>
      </c>
      <c r="AS208" s="25"/>
      <c r="AT208" s="25"/>
      <c r="AU208" s="24"/>
      <c r="AV208" s="341">
        <f t="shared" si="150"/>
        <v>0.63421069703250832</v>
      </c>
      <c r="AW208" s="341"/>
      <c r="AX208" s="24">
        <f t="shared" si="151"/>
        <v>24367.025125628141</v>
      </c>
      <c r="AY208" s="351"/>
      <c r="AZ208" s="391"/>
      <c r="BA208" s="66">
        <f t="shared" si="152"/>
        <v>943983</v>
      </c>
      <c r="BB208" s="67"/>
      <c r="BC208" s="67">
        <v>111470266</v>
      </c>
      <c r="BD208" s="67"/>
      <c r="BE208" s="67">
        <f t="shared" si="153"/>
        <v>34066</v>
      </c>
      <c r="BF208" s="67"/>
      <c r="BG208" s="156">
        <f t="shared" si="154"/>
        <v>3.6087514287863234E-2</v>
      </c>
      <c r="BH208" s="67"/>
      <c r="BI208" s="183"/>
      <c r="BJ208" s="67"/>
      <c r="BK208" s="67">
        <f t="shared" si="155"/>
        <v>7135104</v>
      </c>
      <c r="BL208" s="67"/>
      <c r="BM208" s="156">
        <f t="shared" si="156"/>
        <v>0</v>
      </c>
      <c r="BN208" s="66">
        <f t="shared" si="157"/>
        <v>560152.09045226127</v>
      </c>
      <c r="BO208" s="67"/>
      <c r="BP208" s="67">
        <f t="shared" si="158"/>
        <v>7303137</v>
      </c>
      <c r="BQ208" s="67"/>
      <c r="BR208" s="478">
        <f t="shared" si="159"/>
        <v>6.5516457994278049E-2</v>
      </c>
      <c r="BS208" s="67"/>
      <c r="BT208" s="86"/>
      <c r="BU208" s="183"/>
      <c r="BV208" s="1"/>
      <c r="BW208" s="61">
        <f t="shared" si="162"/>
        <v>199</v>
      </c>
    </row>
    <row r="209" spans="2:75" x14ac:dyDescent="0.3">
      <c r="B209" s="171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9"/>
        <v>7683501</v>
      </c>
      <c r="I209" s="16"/>
      <c r="J209" s="479">
        <f t="shared" si="140"/>
        <v>4.9330454535466868E-3</v>
      </c>
      <c r="K209" s="16"/>
      <c r="L209" s="16"/>
      <c r="M209" s="16"/>
      <c r="N209" s="16">
        <f t="shared" si="141"/>
        <v>304656</v>
      </c>
      <c r="O209" s="16">
        <f t="shared" si="142"/>
        <v>38417.504999999997</v>
      </c>
      <c r="P209" s="41"/>
      <c r="Q209" s="453"/>
      <c r="R209" s="16"/>
      <c r="S209" s="60"/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3"/>
        <v>215043</v>
      </c>
      <c r="AB209" s="33"/>
      <c r="AC209" s="46">
        <f t="shared" si="144"/>
        <v>2.7987632200477359E-2</v>
      </c>
      <c r="AD209" s="33"/>
      <c r="AE209" s="33">
        <f t="shared" si="145"/>
        <v>1075.2149999999999</v>
      </c>
      <c r="AF209" s="50"/>
      <c r="AG209" s="33">
        <f t="shared" si="164"/>
        <v>5151</v>
      </c>
      <c r="AH209" s="33">
        <f t="shared" si="160"/>
        <v>459599706.35152841</v>
      </c>
      <c r="AI209" s="231">
        <f t="shared" si="147"/>
        <v>-2.7929798075108512E-2</v>
      </c>
      <c r="AJ209" s="50"/>
      <c r="AK209" s="10"/>
      <c r="AL209" s="23">
        <f t="shared" si="148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9"/>
        <v>8.0017933454017073E-3</v>
      </c>
      <c r="AS209" s="25"/>
      <c r="AT209" s="25"/>
      <c r="AU209" s="24"/>
      <c r="AV209" s="341">
        <f t="shared" si="150"/>
        <v>0.63614737604641425</v>
      </c>
      <c r="AW209" s="341"/>
      <c r="AX209" s="24">
        <f t="shared" si="151"/>
        <v>24439.195</v>
      </c>
      <c r="AY209" s="351"/>
      <c r="AZ209" s="10"/>
      <c r="BA209" s="66">
        <f t="shared" si="152"/>
        <v>901908</v>
      </c>
      <c r="BB209" s="67"/>
      <c r="BC209" s="67">
        <v>112372174</v>
      </c>
      <c r="BD209" s="67"/>
      <c r="BE209" s="67">
        <f t="shared" si="153"/>
        <v>37717</v>
      </c>
      <c r="BF209" s="67"/>
      <c r="BG209" s="156">
        <f t="shared" si="154"/>
        <v>4.1819121240747395E-2</v>
      </c>
      <c r="BH209" s="67"/>
      <c r="BI209" s="183"/>
      <c r="BJ209" s="67"/>
      <c r="BK209" s="67">
        <f t="shared" si="155"/>
        <v>6970468</v>
      </c>
      <c r="BL209" s="67"/>
      <c r="BM209" s="156">
        <f t="shared" si="156"/>
        <v>0</v>
      </c>
      <c r="BN209" s="66">
        <f t="shared" si="157"/>
        <v>561860.87</v>
      </c>
      <c r="BO209" s="67"/>
      <c r="BP209" s="67">
        <f t="shared" si="158"/>
        <v>7340854</v>
      </c>
      <c r="BQ209" s="67"/>
      <c r="BR209" s="478">
        <f t="shared" si="159"/>
        <v>6.5326261286001289E-2</v>
      </c>
      <c r="BS209" s="67"/>
      <c r="BT209" s="86"/>
      <c r="BU209" s="183"/>
      <c r="BV209" s="1"/>
      <c r="BW209" s="61">
        <f t="shared" si="162"/>
        <v>200</v>
      </c>
    </row>
    <row r="210" spans="2:75" x14ac:dyDescent="0.3">
      <c r="B210" s="171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9"/>
        <v>7728169</v>
      </c>
      <c r="I210" s="16"/>
      <c r="J210" s="479">
        <f t="shared" si="140"/>
        <v>5.8134956968184165E-3</v>
      </c>
      <c r="K210" s="16"/>
      <c r="L210" s="16"/>
      <c r="M210" s="16"/>
      <c r="N210" s="16">
        <f t="shared" si="141"/>
        <v>305097</v>
      </c>
      <c r="O210" s="16">
        <f t="shared" si="142"/>
        <v>38448.601990049749</v>
      </c>
      <c r="P210" s="41"/>
      <c r="Q210" s="453"/>
      <c r="R210" s="16"/>
      <c r="S210" s="60"/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3"/>
        <v>215851</v>
      </c>
      <c r="AB210" s="33"/>
      <c r="AC210" s="46">
        <f t="shared" si="144"/>
        <v>2.7930419223492653E-2</v>
      </c>
      <c r="AD210" s="33"/>
      <c r="AE210" s="33">
        <f t="shared" si="145"/>
        <v>1073.8855721393036</v>
      </c>
      <c r="AF210" s="50"/>
      <c r="AG210" s="33">
        <f t="shared" si="164"/>
        <v>4982</v>
      </c>
      <c r="AH210" s="33">
        <f t="shared" si="160"/>
        <v>459568596.35152841</v>
      </c>
      <c r="AI210" s="231">
        <f t="shared" si="147"/>
        <v>-5.9467623182933735E-2</v>
      </c>
      <c r="AJ210" s="50"/>
      <c r="AK210" s="10"/>
      <c r="AL210" s="23">
        <f t="shared" si="148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9"/>
        <v>9.7601414449207512E-3</v>
      </c>
      <c r="AS210" s="25"/>
      <c r="AT210" s="25"/>
      <c r="AU210" s="24"/>
      <c r="AV210" s="341">
        <f t="shared" si="150"/>
        <v>0.63864351310122747</v>
      </c>
      <c r="AW210" s="341"/>
      <c r="AX210" s="24">
        <f t="shared" si="151"/>
        <v>24554.95024875622</v>
      </c>
      <c r="AY210" s="351"/>
      <c r="AZ210" s="10"/>
      <c r="BA210" s="66">
        <f t="shared" si="152"/>
        <v>947144</v>
      </c>
      <c r="BB210" s="67"/>
      <c r="BC210" s="67">
        <v>113319318</v>
      </c>
      <c r="BD210" s="67"/>
      <c r="BE210" s="67">
        <f t="shared" si="153"/>
        <v>44668</v>
      </c>
      <c r="BF210" s="67"/>
      <c r="BG210" s="156">
        <f t="shared" si="154"/>
        <v>4.7160727407870397E-2</v>
      </c>
      <c r="BH210" s="67"/>
      <c r="BI210" s="183"/>
      <c r="BJ210" s="67"/>
      <c r="BK210" s="67">
        <f t="shared" si="155"/>
        <v>7146096</v>
      </c>
      <c r="BL210" s="67"/>
      <c r="BM210" s="156">
        <f t="shared" si="156"/>
        <v>0</v>
      </c>
      <c r="BN210" s="66">
        <f t="shared" si="157"/>
        <v>563777.70149253728</v>
      </c>
      <c r="BO210" s="67"/>
      <c r="BP210" s="67">
        <f t="shared" si="158"/>
        <v>7385522</v>
      </c>
      <c r="BQ210" s="67"/>
      <c r="BR210" s="478">
        <f t="shared" si="159"/>
        <v>6.5174430364997427E-2</v>
      </c>
      <c r="BS210" s="67"/>
      <c r="BT210" s="86"/>
      <c r="BU210" s="183"/>
      <c r="BV210" s="1"/>
      <c r="BW210" s="61">
        <f t="shared" si="162"/>
        <v>201</v>
      </c>
    </row>
    <row r="211" spans="2:75" x14ac:dyDescent="0.3">
      <c r="B211" s="171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9"/>
        <v>7777527</v>
      </c>
      <c r="I211" s="16"/>
      <c r="J211" s="479">
        <f t="shared" si="140"/>
        <v>6.3867650927405964E-3</v>
      </c>
      <c r="K211" s="16"/>
      <c r="L211" s="16"/>
      <c r="M211" s="16"/>
      <c r="N211" s="16">
        <f t="shared" si="141"/>
        <v>313526</v>
      </c>
      <c r="O211" s="16">
        <f t="shared" si="142"/>
        <v>38502.608910891089</v>
      </c>
      <c r="P211" s="41"/>
      <c r="Q211" s="453"/>
      <c r="R211" s="16"/>
      <c r="S211" s="60"/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3"/>
        <v>216781</v>
      </c>
      <c r="AB211" s="33"/>
      <c r="AC211" s="46">
        <f t="shared" si="144"/>
        <v>2.7872741553966962E-2</v>
      </c>
      <c r="AD211" s="33"/>
      <c r="AE211" s="33">
        <f t="shared" si="145"/>
        <v>1073.1732673267327</v>
      </c>
      <c r="AF211" s="50"/>
      <c r="AG211" s="33">
        <f t="shared" si="164"/>
        <v>4957</v>
      </c>
      <c r="AH211" s="33">
        <f t="shared" si="160"/>
        <v>459543176.35152841</v>
      </c>
      <c r="AI211" s="231">
        <f t="shared" si="147"/>
        <v>-3.5039906560249176E-2</v>
      </c>
      <c r="AJ211" s="50"/>
      <c r="AK211" s="10"/>
      <c r="AL211" s="23">
        <f t="shared" si="148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9"/>
        <v>9.6919387828497162E-3</v>
      </c>
      <c r="AS211" s="25"/>
      <c r="AT211" s="25"/>
      <c r="AU211" s="24"/>
      <c r="AV211" s="341">
        <f t="shared" si="150"/>
        <v>0.64074094503304202</v>
      </c>
      <c r="AW211" s="341"/>
      <c r="AX211" s="24">
        <f t="shared" si="151"/>
        <v>24670.198019801981</v>
      </c>
      <c r="AY211" s="351"/>
      <c r="AZ211" s="10"/>
      <c r="BA211" s="66">
        <f t="shared" si="152"/>
        <v>839531</v>
      </c>
      <c r="BB211" s="67"/>
      <c r="BC211" s="67">
        <v>114158849</v>
      </c>
      <c r="BD211" s="67"/>
      <c r="BE211" s="67">
        <f t="shared" si="153"/>
        <v>49358</v>
      </c>
      <c r="BF211" s="67"/>
      <c r="BG211" s="156">
        <f t="shared" si="154"/>
        <v>5.8792349538015869E-2</v>
      </c>
      <c r="BH211" s="67"/>
      <c r="BI211" s="183"/>
      <c r="BJ211" s="67"/>
      <c r="BK211" s="67">
        <f t="shared" si="155"/>
        <v>6622624</v>
      </c>
      <c r="BL211" s="67"/>
      <c r="BM211" s="156">
        <f t="shared" si="156"/>
        <v>0</v>
      </c>
      <c r="BN211" s="66">
        <f t="shared" si="157"/>
        <v>565142.81683168316</v>
      </c>
      <c r="BO211" s="67"/>
      <c r="BP211" s="67">
        <f t="shared" si="158"/>
        <v>7434880</v>
      </c>
      <c r="BQ211" s="67"/>
      <c r="BR211" s="478">
        <f t="shared" si="159"/>
        <v>6.5127496161072898E-2</v>
      </c>
      <c r="BS211" s="67"/>
      <c r="BT211" s="86"/>
      <c r="BU211" s="183"/>
      <c r="BV211" s="1"/>
      <c r="BW211" s="61">
        <f t="shared" si="162"/>
        <v>202</v>
      </c>
    </row>
    <row r="212" spans="2:75" x14ac:dyDescent="0.3">
      <c r="B212" s="171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9"/>
        <v>7834845</v>
      </c>
      <c r="I212" s="16"/>
      <c r="J212" s="479">
        <f t="shared" si="140"/>
        <v>7.3696947628725685E-3</v>
      </c>
      <c r="K212" s="16"/>
      <c r="L212" s="16"/>
      <c r="M212" s="16"/>
      <c r="N212" s="16">
        <f t="shared" si="141"/>
        <v>323455</v>
      </c>
      <c r="O212" s="16">
        <f t="shared" si="142"/>
        <v>38595.295566502464</v>
      </c>
      <c r="P212" s="41"/>
      <c r="Q212" s="453"/>
      <c r="R212" s="16"/>
      <c r="S212" s="60"/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3"/>
        <v>217738</v>
      </c>
      <c r="AB212" s="33"/>
      <c r="AC212" s="46">
        <f t="shared" si="144"/>
        <v>2.7790977358199173E-2</v>
      </c>
      <c r="AD212" s="33"/>
      <c r="AE212" s="33">
        <f t="shared" si="145"/>
        <v>1072.6009852216748</v>
      </c>
      <c r="AF212" s="50"/>
      <c r="AG212" s="33">
        <f t="shared" si="164"/>
        <v>4994</v>
      </c>
      <c r="AH212" s="33">
        <f t="shared" si="160"/>
        <v>459514737.35152841</v>
      </c>
      <c r="AI212" s="231">
        <f t="shared" si="147"/>
        <v>-2.3655913978494623E-2</v>
      </c>
      <c r="AJ212" s="50"/>
      <c r="AK212" s="10"/>
      <c r="AL212" s="23">
        <f t="shared" si="148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9"/>
        <v>8.3904899887225128E-3</v>
      </c>
      <c r="AS212" s="25"/>
      <c r="AT212" s="25"/>
      <c r="AU212" s="24"/>
      <c r="AV212" s="341">
        <f t="shared" si="150"/>
        <v>0.6413902253331113</v>
      </c>
      <c r="AW212" s="341"/>
      <c r="AX212" s="24">
        <f t="shared" si="151"/>
        <v>24754.645320197043</v>
      </c>
      <c r="AY212" s="351"/>
      <c r="AZ212" s="10"/>
      <c r="BA212" s="66">
        <f t="shared" si="152"/>
        <v>1184966</v>
      </c>
      <c r="BB212" s="67"/>
      <c r="BC212" s="67">
        <v>115343815</v>
      </c>
      <c r="BD212" s="67"/>
      <c r="BE212" s="67">
        <f t="shared" si="153"/>
        <v>57318</v>
      </c>
      <c r="BF212" s="67"/>
      <c r="BG212" s="156">
        <f t="shared" si="154"/>
        <v>4.8371008113312956E-2</v>
      </c>
      <c r="BH212" s="67"/>
      <c r="BI212" s="183"/>
      <c r="BJ212" s="67"/>
      <c r="BK212" s="67">
        <f t="shared" si="155"/>
        <v>6911855</v>
      </c>
      <c r="BL212" s="67"/>
      <c r="BM212" s="156">
        <f t="shared" si="156"/>
        <v>0</v>
      </c>
      <c r="BN212" s="66">
        <f t="shared" si="157"/>
        <v>568196.13300492615</v>
      </c>
      <c r="BO212" s="67"/>
      <c r="BP212" s="67">
        <f t="shared" si="158"/>
        <v>7492198</v>
      </c>
      <c r="BQ212" s="67"/>
      <c r="BR212" s="478">
        <f t="shared" si="159"/>
        <v>6.4955351095331806E-2</v>
      </c>
      <c r="BS212" s="67"/>
      <c r="BT212" s="86"/>
      <c r="BU212" s="183"/>
      <c r="BV212" s="1"/>
      <c r="BW212" s="61">
        <f t="shared" si="162"/>
        <v>203</v>
      </c>
    </row>
    <row r="213" spans="2:75" x14ac:dyDescent="0.3">
      <c r="B213" s="171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7895828</v>
      </c>
      <c r="I213" s="16"/>
      <c r="J213" s="479">
        <f t="shared" ref="J213:J222" si="166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38705.039215686273</v>
      </c>
      <c r="P213" s="41"/>
      <c r="Q213" s="453"/>
      <c r="R213" s="16"/>
      <c r="S213" s="60"/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218647</v>
      </c>
      <c r="AB213" s="33"/>
      <c r="AC213" s="46">
        <f t="shared" ref="AC213:AC222" si="169">+AA213/H213</f>
        <v>2.7691459337766729E-2</v>
      </c>
      <c r="AD213" s="33"/>
      <c r="AE213" s="33">
        <f t="shared" ref="AE213:AE222" si="170">+AA213/BW213</f>
        <v>1071.7990196078431</v>
      </c>
      <c r="AF213" s="50"/>
      <c r="AG213" s="33">
        <f t="shared" ref="AG213:AG222" si="171">SUM(W207:W213)</f>
        <v>5039</v>
      </c>
      <c r="AH213" s="33">
        <f t="shared" si="160"/>
        <v>459479494.35152841</v>
      </c>
      <c r="AI213" s="231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4">+AL213/AP212</f>
        <v>7.7821886641965795E-3</v>
      </c>
      <c r="AS213" s="25"/>
      <c r="AT213" s="25"/>
      <c r="AU213" s="24"/>
      <c r="AV213" s="341">
        <f t="shared" ref="AV213:AV222" si="175">+AP213/H213</f>
        <v>0.64138935143977305</v>
      </c>
      <c r="AW213" s="341"/>
      <c r="AX213" s="24">
        <f t="shared" ref="AX213:AX222" si="176">+AP213/BW213</f>
        <v>24825</v>
      </c>
      <c r="AY213" s="351"/>
      <c r="AZ213" s="10"/>
      <c r="BA213" s="66">
        <f t="shared" ref="BA213:BA222" si="177">+BC213-BC212</f>
        <v>1154320</v>
      </c>
      <c r="BB213" s="67"/>
      <c r="BC213" s="67">
        <v>116498135</v>
      </c>
      <c r="BD213" s="67"/>
      <c r="BE213" s="67">
        <f t="shared" ref="BE213:BE222" si="178">+D213</f>
        <v>60983</v>
      </c>
      <c r="BF213" s="67"/>
      <c r="BG213" s="156">
        <f t="shared" ref="BG213:BG222" si="179">+BE213/BA213</f>
        <v>5.2830237715711416E-2</v>
      </c>
      <c r="BH213" s="67"/>
      <c r="BI213" s="183"/>
      <c r="BJ213" s="67"/>
      <c r="BK213" s="67">
        <f t="shared" ref="BK213:BK222" si="180">SUM(BA207:BA213)</f>
        <v>6927689</v>
      </c>
      <c r="BL213" s="67"/>
      <c r="BM213" s="156">
        <f t="shared" ref="BM213:BM222" si="181">+Q213/BK213</f>
        <v>0</v>
      </c>
      <c r="BN213" s="66">
        <f t="shared" ref="BN213:BN222" si="182">+BC213/BW213</f>
        <v>571069.28921568627</v>
      </c>
      <c r="BO213" s="67"/>
      <c r="BP213" s="67">
        <f t="shared" ref="BP213:BP222" si="183">+BP212+BE213</f>
        <v>7553181</v>
      </c>
      <c r="BQ213" s="67"/>
      <c r="BR213" s="478">
        <f t="shared" ref="BR213:BR222" si="184">+BP213/BC213</f>
        <v>6.4835209593698651E-2</v>
      </c>
      <c r="BS213" s="67"/>
      <c r="BT213" s="86"/>
      <c r="BU213" s="183"/>
      <c r="BV213" s="1"/>
      <c r="BW213" s="61">
        <f t="shared" si="162"/>
        <v>204</v>
      </c>
    </row>
    <row r="214" spans="2:75" x14ac:dyDescent="0.3">
      <c r="B214" s="171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7950063</v>
      </c>
      <c r="I214" s="16"/>
      <c r="J214" s="479">
        <f t="shared" si="166"/>
        <v>6.8688173045309501E-3</v>
      </c>
      <c r="K214" s="16"/>
      <c r="L214" s="16"/>
      <c r="M214" s="16"/>
      <c r="N214" s="16">
        <f>SUM(D205:D214)</f>
        <v>486062</v>
      </c>
      <c r="O214" s="16">
        <f t="shared" si="167"/>
        <v>38780.795121951218</v>
      </c>
      <c r="P214" s="41"/>
      <c r="Q214" s="453"/>
      <c r="R214" s="16"/>
      <c r="S214" s="60"/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219370</v>
      </c>
      <c r="AB214" s="33"/>
      <c r="AC214" s="46">
        <f t="shared" si="169"/>
        <v>2.7593492026415388E-2</v>
      </c>
      <c r="AD214" s="33"/>
      <c r="AE214" s="33">
        <f t="shared" si="170"/>
        <v>1070.0975609756097</v>
      </c>
      <c r="AF214" s="50"/>
      <c r="AG214" s="33">
        <f t="shared" si="171"/>
        <v>5007</v>
      </c>
      <c r="AH214" s="33">
        <f t="shared" si="160"/>
        <v>459440683.35152841</v>
      </c>
      <c r="AI214" s="231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4"/>
        <v>5.0435400746401283E-3</v>
      </c>
      <c r="AS214" s="25"/>
      <c r="AT214" s="25"/>
      <c r="AU214" s="24"/>
      <c r="AV214" s="341">
        <f t="shared" si="175"/>
        <v>0.6402266246192011</v>
      </c>
      <c r="AW214" s="341"/>
      <c r="AX214" s="24">
        <f t="shared" si="176"/>
        <v>24828.497560975611</v>
      </c>
      <c r="AY214" s="351"/>
      <c r="AZ214" s="10"/>
      <c r="BA214" s="66">
        <f t="shared" si="177"/>
        <v>1103287</v>
      </c>
      <c r="BB214" s="67"/>
      <c r="BC214" s="67">
        <v>117601422</v>
      </c>
      <c r="BD214" s="67"/>
      <c r="BE214" s="67">
        <f t="shared" si="178"/>
        <v>54235</v>
      </c>
      <c r="BF214" s="67"/>
      <c r="BG214" s="156">
        <f t="shared" si="179"/>
        <v>4.9157653448286799E-2</v>
      </c>
      <c r="BH214" s="67"/>
      <c r="BI214" s="183"/>
      <c r="BJ214" s="67"/>
      <c r="BK214" s="67">
        <f t="shared" si="180"/>
        <v>7075139</v>
      </c>
      <c r="BL214" s="67"/>
      <c r="BM214" s="156">
        <f t="shared" si="181"/>
        <v>0</v>
      </c>
      <c r="BN214" s="66">
        <f t="shared" si="182"/>
        <v>573665.47317073168</v>
      </c>
      <c r="BO214" s="67"/>
      <c r="BP214" s="67">
        <f t="shared" si="183"/>
        <v>7607416</v>
      </c>
      <c r="BQ214" s="67"/>
      <c r="BR214" s="478">
        <f t="shared" si="184"/>
        <v>6.4688129366326882E-2</v>
      </c>
      <c r="BS214" s="67"/>
      <c r="BT214" s="86"/>
      <c r="BU214" s="183"/>
      <c r="BV214" s="1"/>
      <c r="BW214" s="61">
        <f t="shared" si="162"/>
        <v>205</v>
      </c>
    </row>
    <row r="215" spans="2:75" x14ac:dyDescent="0.3">
      <c r="B215" s="390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7991998</v>
      </c>
      <c r="I215" s="16"/>
      <c r="J215" s="479">
        <f t="shared" si="166"/>
        <v>5.2748009669860482E-3</v>
      </c>
      <c r="K215" s="16"/>
      <c r="L215" s="16"/>
      <c r="M215" s="16"/>
      <c r="N215" s="469">
        <f t="shared" ref="N215:N222" si="185">SUM(D209:D215)</f>
        <v>346214</v>
      </c>
      <c r="O215" s="16">
        <f t="shared" si="167"/>
        <v>38796.106796116503</v>
      </c>
      <c r="P215" s="41"/>
      <c r="Q215" s="453"/>
      <c r="R215" s="16"/>
      <c r="S215" s="60"/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68"/>
        <v>219695</v>
      </c>
      <c r="AB215" s="33"/>
      <c r="AC215" s="46">
        <f t="shared" si="169"/>
        <v>2.7489371243586396E-2</v>
      </c>
      <c r="AD215" s="33"/>
      <c r="AE215" s="33">
        <f t="shared" si="170"/>
        <v>1066.4805825242718</v>
      </c>
      <c r="AF215" s="50"/>
      <c r="AG215" s="33">
        <f t="shared" si="171"/>
        <v>5000</v>
      </c>
      <c r="AH215" s="33">
        <f t="shared" si="160"/>
        <v>459394083.35152841</v>
      </c>
      <c r="AI215" s="231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4"/>
        <v>7.5287209308265365E-3</v>
      </c>
      <c r="AS215" s="25"/>
      <c r="AT215" s="25"/>
      <c r="AU215" s="24"/>
      <c r="AV215" s="341">
        <f t="shared" si="175"/>
        <v>0.64166207248800611</v>
      </c>
      <c r="AW215" s="341"/>
      <c r="AX215" s="24">
        <f t="shared" si="176"/>
        <v>24893.990291262136</v>
      </c>
      <c r="AY215" s="351"/>
      <c r="AZ215" s="391"/>
      <c r="BA215" s="66">
        <f t="shared" si="177"/>
        <v>885476</v>
      </c>
      <c r="BB215" s="67"/>
      <c r="BC215" s="67">
        <v>118486898</v>
      </c>
      <c r="BD215" s="67"/>
      <c r="BE215" s="67">
        <f t="shared" si="178"/>
        <v>41935</v>
      </c>
      <c r="BF215" s="67"/>
      <c r="BG215" s="156">
        <f t="shared" si="179"/>
        <v>4.7358708762292825E-2</v>
      </c>
      <c r="BH215" s="67"/>
      <c r="BI215" s="183"/>
      <c r="BJ215" s="67"/>
      <c r="BK215" s="67">
        <f t="shared" si="180"/>
        <v>7016632</v>
      </c>
      <c r="BL215" s="67"/>
      <c r="BM215" s="156">
        <f t="shared" si="181"/>
        <v>0</v>
      </c>
      <c r="BN215" s="66">
        <f t="shared" si="182"/>
        <v>575179.11650485441</v>
      </c>
      <c r="BO215" s="67"/>
      <c r="BP215" s="67">
        <f t="shared" si="183"/>
        <v>7649351</v>
      </c>
      <c r="BQ215" s="67"/>
      <c r="BR215" s="478">
        <f t="shared" si="184"/>
        <v>6.4558623182117567E-2</v>
      </c>
      <c r="BS215" s="67"/>
      <c r="BT215" s="86"/>
      <c r="BU215" s="183"/>
      <c r="BV215" s="1"/>
      <c r="BW215" s="61">
        <f t="shared" si="162"/>
        <v>206</v>
      </c>
    </row>
    <row r="216" spans="2:75" x14ac:dyDescent="0.3">
      <c r="B216" s="171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8037789</v>
      </c>
      <c r="I216" s="16"/>
      <c r="J216" s="479">
        <f t="shared" si="166"/>
        <v>5.7296060384399499E-3</v>
      </c>
      <c r="K216" s="16"/>
      <c r="L216" s="16"/>
      <c r="M216" s="16"/>
      <c r="N216" s="16">
        <f t="shared" si="185"/>
        <v>354288</v>
      </c>
      <c r="O216" s="16">
        <f t="shared" si="167"/>
        <v>38829.89855072464</v>
      </c>
      <c r="P216" s="41"/>
      <c r="Q216" s="453"/>
      <c r="R216" s="16"/>
      <c r="S216" s="60"/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220011</v>
      </c>
      <c r="AB216" s="33"/>
      <c r="AC216" s="46">
        <f t="shared" si="169"/>
        <v>2.7372079560685159E-2</v>
      </c>
      <c r="AD216" s="33"/>
      <c r="AE216" s="33">
        <f t="shared" si="170"/>
        <v>1062.855072463768</v>
      </c>
      <c r="AF216" s="50"/>
      <c r="AG216" s="33">
        <f t="shared" si="171"/>
        <v>4968</v>
      </c>
      <c r="AH216" s="33">
        <f t="shared" ref="AH216:AH223" si="186">SUM(D187:D322)</f>
        <v>459354801.35152841</v>
      </c>
      <c r="AI216" s="231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4"/>
        <v>1.1008427580875954E-2</v>
      </c>
      <c r="AS216" s="25"/>
      <c r="AT216" s="25"/>
      <c r="AU216" s="24"/>
      <c r="AV216" s="341">
        <f t="shared" si="175"/>
        <v>0.64502999518897552</v>
      </c>
      <c r="AW216" s="341"/>
      <c r="AX216" s="24">
        <f t="shared" si="176"/>
        <v>25046.44927536232</v>
      </c>
      <c r="AY216" s="351"/>
      <c r="AZ216" s="10"/>
      <c r="BA216" s="66">
        <f t="shared" si="177"/>
        <v>1010726</v>
      </c>
      <c r="BB216" s="67"/>
      <c r="BC216" s="67">
        <v>119497624</v>
      </c>
      <c r="BD216" s="67"/>
      <c r="BE216" s="67">
        <f t="shared" si="178"/>
        <v>45791</v>
      </c>
      <c r="BF216" s="67"/>
      <c r="BG216" s="156">
        <f t="shared" si="179"/>
        <v>4.5305057948444978E-2</v>
      </c>
      <c r="BH216" s="67"/>
      <c r="BI216" s="183"/>
      <c r="BJ216" s="67"/>
      <c r="BK216" s="67">
        <f t="shared" si="180"/>
        <v>7125450</v>
      </c>
      <c r="BL216" s="67"/>
      <c r="BM216" s="156">
        <f t="shared" si="181"/>
        <v>0</v>
      </c>
      <c r="BN216" s="66">
        <f t="shared" si="182"/>
        <v>577283.20772946859</v>
      </c>
      <c r="BO216" s="67"/>
      <c r="BP216" s="67">
        <f t="shared" si="183"/>
        <v>7695142</v>
      </c>
      <c r="BQ216" s="67"/>
      <c r="BR216" s="478">
        <f t="shared" si="184"/>
        <v>6.4395774095056479E-2</v>
      </c>
      <c r="BS216" s="67"/>
      <c r="BT216" s="86"/>
      <c r="BU216" s="183"/>
      <c r="BV216" s="1"/>
      <c r="BW216" s="61">
        <f t="shared" ref="BW216:BW236" si="187">+BW215+1</f>
        <v>207</v>
      </c>
    </row>
    <row r="217" spans="2:75" x14ac:dyDescent="0.3">
      <c r="B217" s="171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8089323</v>
      </c>
      <c r="I217" s="16"/>
      <c r="J217" s="479">
        <f t="shared" si="166"/>
        <v>6.4114646453147751E-3</v>
      </c>
      <c r="K217" s="16"/>
      <c r="L217" s="16"/>
      <c r="M217" s="16"/>
      <c r="N217" s="16">
        <f t="shared" si="185"/>
        <v>361154</v>
      </c>
      <c r="O217" s="16">
        <f t="shared" si="167"/>
        <v>38890.975961538461</v>
      </c>
      <c r="P217" s="41"/>
      <c r="Q217" s="453"/>
      <c r="R217" s="16"/>
      <c r="S217" s="60"/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220854</v>
      </c>
      <c r="AB217" s="33"/>
      <c r="AC217" s="46">
        <f t="shared" si="169"/>
        <v>2.7301913893165101E-2</v>
      </c>
      <c r="AD217" s="33"/>
      <c r="AE217" s="33">
        <f t="shared" si="170"/>
        <v>1061.7980769230769</v>
      </c>
      <c r="AF217" s="50"/>
      <c r="AG217" s="33">
        <f t="shared" si="171"/>
        <v>5003</v>
      </c>
      <c r="AH217" s="33">
        <f t="shared" si="186"/>
        <v>459322944.35152841</v>
      </c>
      <c r="AI217" s="231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4"/>
        <v>8.0646296783849908E-3</v>
      </c>
      <c r="AS217" s="25"/>
      <c r="AT217" s="25"/>
      <c r="AU217" s="24"/>
      <c r="AV217" s="341">
        <f t="shared" si="175"/>
        <v>0.64608954296917065</v>
      </c>
      <c r="AW217" s="341"/>
      <c r="AX217" s="24">
        <f t="shared" si="176"/>
        <v>25127.052884615383</v>
      </c>
      <c r="AY217" s="351"/>
      <c r="AZ217" s="10"/>
      <c r="BA217" s="66">
        <f t="shared" si="177"/>
        <v>1025948</v>
      </c>
      <c r="BB217" s="67"/>
      <c r="BC217" s="67">
        <v>120523572</v>
      </c>
      <c r="BD217" s="67"/>
      <c r="BE217" s="67">
        <f t="shared" si="178"/>
        <v>51534</v>
      </c>
      <c r="BF217" s="67"/>
      <c r="BG217" s="156">
        <f t="shared" si="179"/>
        <v>5.0230615976638193E-2</v>
      </c>
      <c r="BH217" s="67"/>
      <c r="BI217" s="183"/>
      <c r="BJ217" s="67"/>
      <c r="BK217" s="67">
        <f t="shared" si="180"/>
        <v>7204254</v>
      </c>
      <c r="BL217" s="67"/>
      <c r="BM217" s="156">
        <f t="shared" si="181"/>
        <v>0</v>
      </c>
      <c r="BN217" s="66">
        <f t="shared" si="182"/>
        <v>579440.25</v>
      </c>
      <c r="BO217" s="67"/>
      <c r="BP217" s="67">
        <f t="shared" si="183"/>
        <v>7746676</v>
      </c>
      <c r="BQ217" s="67"/>
      <c r="BR217" s="478">
        <f t="shared" si="184"/>
        <v>6.4275194233373703E-2</v>
      </c>
      <c r="BS217" s="67"/>
      <c r="BT217" s="86"/>
      <c r="BU217" s="183"/>
      <c r="BV217" s="1"/>
      <c r="BW217" s="61">
        <f t="shared" si="187"/>
        <v>208</v>
      </c>
    </row>
    <row r="218" spans="2:75" x14ac:dyDescent="0.3">
      <c r="B218" s="171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8149016</v>
      </c>
      <c r="I218" s="16"/>
      <c r="J218" s="479">
        <f t="shared" si="166"/>
        <v>7.3792330952788011E-3</v>
      </c>
      <c r="K218" s="16"/>
      <c r="L218" s="16"/>
      <c r="M218" s="16"/>
      <c r="N218" s="16">
        <f t="shared" si="185"/>
        <v>371489</v>
      </c>
      <c r="O218" s="16">
        <f t="shared" si="167"/>
        <v>38990.507177033491</v>
      </c>
      <c r="P218" s="41"/>
      <c r="Q218" s="453"/>
      <c r="R218" s="16"/>
      <c r="S218" s="60"/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221824</v>
      </c>
      <c r="AB218" s="33"/>
      <c r="AC218" s="46">
        <f t="shared" si="169"/>
        <v>2.722095526625546E-2</v>
      </c>
      <c r="AD218" s="33"/>
      <c r="AE218" s="33">
        <f t="shared" si="170"/>
        <v>1061.3588516746411</v>
      </c>
      <c r="AF218" s="50"/>
      <c r="AG218" s="33">
        <f t="shared" si="171"/>
        <v>5043</v>
      </c>
      <c r="AH218" s="33">
        <f t="shared" si="186"/>
        <v>459284872.35152841</v>
      </c>
      <c r="AI218" s="231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4"/>
        <v>1.0011811128329162E-2</v>
      </c>
      <c r="AS218" s="25"/>
      <c r="AT218" s="25"/>
      <c r="AU218" s="24"/>
      <c r="AV218" s="341">
        <f t="shared" si="175"/>
        <v>0.64777796484876216</v>
      </c>
      <c r="AW218" s="341"/>
      <c r="AX218" s="24">
        <f t="shared" si="176"/>
        <v>25257.191387559807</v>
      </c>
      <c r="AY218" s="351"/>
      <c r="AZ218" s="10"/>
      <c r="BA218" s="66">
        <f t="shared" si="177"/>
        <v>1043566</v>
      </c>
      <c r="BB218" s="67"/>
      <c r="BC218" s="67">
        <v>121567138</v>
      </c>
      <c r="BD218" s="67"/>
      <c r="BE218" s="67">
        <f t="shared" si="178"/>
        <v>59693</v>
      </c>
      <c r="BF218" s="67"/>
      <c r="BG218" s="156">
        <f t="shared" si="179"/>
        <v>5.7200982017428702E-2</v>
      </c>
      <c r="BH218" s="67"/>
      <c r="BI218" s="183"/>
      <c r="BJ218" s="67"/>
      <c r="BK218" s="67">
        <f t="shared" si="180"/>
        <v>7408289</v>
      </c>
      <c r="BL218" s="67"/>
      <c r="BM218" s="156">
        <f t="shared" si="181"/>
        <v>0</v>
      </c>
      <c r="BN218" s="66">
        <f t="shared" si="182"/>
        <v>581660.94736842101</v>
      </c>
      <c r="BO218" s="67"/>
      <c r="BP218" s="67">
        <f t="shared" si="183"/>
        <v>7806369</v>
      </c>
      <c r="BQ218" s="67"/>
      <c r="BR218" s="478">
        <f t="shared" si="184"/>
        <v>6.4214467235380671E-2</v>
      </c>
      <c r="BS218" s="67"/>
      <c r="BT218" s="86"/>
      <c r="BU218" s="183"/>
      <c r="BV218" s="1"/>
      <c r="BW218" s="61">
        <f t="shared" si="187"/>
        <v>209</v>
      </c>
    </row>
    <row r="219" spans="2:75" x14ac:dyDescent="0.3">
      <c r="B219" s="171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8215145</v>
      </c>
      <c r="I219" s="16"/>
      <c r="J219" s="479">
        <f t="shared" si="166"/>
        <v>8.1149675003705964E-3</v>
      </c>
      <c r="K219" s="16"/>
      <c r="L219" s="16"/>
      <c r="M219" s="16"/>
      <c r="N219" s="16">
        <f t="shared" si="185"/>
        <v>380300</v>
      </c>
      <c r="O219" s="16">
        <f t="shared" si="167"/>
        <v>39119.738095238092</v>
      </c>
      <c r="P219" s="41"/>
      <c r="Q219" s="453"/>
      <c r="R219" s="16"/>
      <c r="S219" s="60"/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222698</v>
      </c>
      <c r="AB219" s="33"/>
      <c r="AC219" s="46">
        <f t="shared" si="169"/>
        <v>2.7108225113494651E-2</v>
      </c>
      <c r="AD219" s="33"/>
      <c r="AE219" s="33">
        <f t="shared" si="170"/>
        <v>1060.4666666666667</v>
      </c>
      <c r="AF219" s="50"/>
      <c r="AG219" s="33">
        <f t="shared" si="171"/>
        <v>4960</v>
      </c>
      <c r="AH219" s="33">
        <f t="shared" si="186"/>
        <v>459248425.35152841</v>
      </c>
      <c r="AI219" s="231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4"/>
        <v>7.8401092076102064E-3</v>
      </c>
      <c r="AS219" s="25"/>
      <c r="AT219" s="25"/>
      <c r="AU219" s="24"/>
      <c r="AV219" s="341">
        <f t="shared" si="175"/>
        <v>0.64760135091955162</v>
      </c>
      <c r="AW219" s="341"/>
      <c r="AX219" s="24">
        <f t="shared" si="176"/>
        <v>25333.995238095238</v>
      </c>
      <c r="AY219" s="351"/>
      <c r="AZ219" s="10"/>
      <c r="BA219" s="66">
        <f t="shared" si="177"/>
        <v>1128210</v>
      </c>
      <c r="BB219" s="67"/>
      <c r="BC219" s="67">
        <v>122695348</v>
      </c>
      <c r="BD219" s="67"/>
      <c r="BE219" s="67">
        <f t="shared" si="178"/>
        <v>66129</v>
      </c>
      <c r="BF219" s="67"/>
      <c r="BG219" s="156">
        <f t="shared" si="179"/>
        <v>5.8614087802802667E-2</v>
      </c>
      <c r="BH219" s="67"/>
      <c r="BI219" s="183"/>
      <c r="BJ219" s="67"/>
      <c r="BK219" s="67">
        <f t="shared" si="180"/>
        <v>7351533</v>
      </c>
      <c r="BL219" s="67"/>
      <c r="BM219" s="156">
        <f t="shared" si="181"/>
        <v>0</v>
      </c>
      <c r="BN219" s="66">
        <f t="shared" si="182"/>
        <v>584263.56190476194</v>
      </c>
      <c r="BO219" s="67"/>
      <c r="BP219" s="67">
        <f t="shared" si="183"/>
        <v>7872498</v>
      </c>
      <c r="BQ219" s="67"/>
      <c r="BR219" s="478">
        <f t="shared" si="184"/>
        <v>6.4162970547179995E-2</v>
      </c>
      <c r="BS219" s="67"/>
      <c r="BT219" s="86"/>
      <c r="BU219" s="183"/>
      <c r="BV219" s="1"/>
      <c r="BW219" s="61">
        <f t="shared" si="187"/>
        <v>210</v>
      </c>
    </row>
    <row r="220" spans="2:75" x14ac:dyDescent="0.3">
      <c r="B220" s="171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8286832</v>
      </c>
      <c r="I220" s="16"/>
      <c r="J220" s="479">
        <f t="shared" si="166"/>
        <v>8.726200207056601E-3</v>
      </c>
      <c r="K220" s="16"/>
      <c r="L220" s="16"/>
      <c r="M220" s="16"/>
      <c r="N220" s="16">
        <f t="shared" si="185"/>
        <v>391004</v>
      </c>
      <c r="O220" s="16">
        <f t="shared" si="167"/>
        <v>39274.08530805687</v>
      </c>
      <c r="P220" s="41"/>
      <c r="Q220" s="453"/>
      <c r="R220" s="16"/>
      <c r="S220" s="60"/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223626</v>
      </c>
      <c r="AB220" s="33"/>
      <c r="AC220" s="46">
        <f t="shared" si="169"/>
        <v>2.6985704549096688E-2</v>
      </c>
      <c r="AD220" s="33"/>
      <c r="AE220" s="33">
        <f t="shared" si="170"/>
        <v>1059.8388625592418</v>
      </c>
      <c r="AF220" s="50"/>
      <c r="AG220" s="33">
        <f t="shared" si="171"/>
        <v>4979</v>
      </c>
      <c r="AH220" s="33">
        <f t="shared" si="186"/>
        <v>459208271.35152841</v>
      </c>
      <c r="AI220" s="231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4"/>
        <v>1.4146622860793675E-2</v>
      </c>
      <c r="AS220" s="25"/>
      <c r="AT220" s="25"/>
      <c r="AU220" s="24"/>
      <c r="AV220" s="341">
        <f t="shared" si="175"/>
        <v>0.6510812575903554</v>
      </c>
      <c r="AW220" s="341"/>
      <c r="AX220" s="24">
        <f t="shared" si="176"/>
        <v>25570.620853080567</v>
      </c>
      <c r="AY220" s="351"/>
      <c r="AZ220" s="10"/>
      <c r="BA220" s="66">
        <f t="shared" si="177"/>
        <v>1041099</v>
      </c>
      <c r="BB220" s="67"/>
      <c r="BC220" s="67">
        <v>123736447</v>
      </c>
      <c r="BD220" s="67"/>
      <c r="BE220" s="67">
        <f t="shared" si="178"/>
        <v>71687</v>
      </c>
      <c r="BF220" s="67"/>
      <c r="BG220" s="156">
        <f t="shared" si="179"/>
        <v>6.885704433488074E-2</v>
      </c>
      <c r="BH220" s="67"/>
      <c r="BI220" s="183"/>
      <c r="BJ220" s="67"/>
      <c r="BK220" s="67">
        <f t="shared" si="180"/>
        <v>7238312</v>
      </c>
      <c r="BL220" s="67"/>
      <c r="BM220" s="156">
        <f t="shared" si="181"/>
        <v>0</v>
      </c>
      <c r="BN220" s="66">
        <f t="shared" si="182"/>
        <v>586428.65876777249</v>
      </c>
      <c r="BO220" s="67"/>
      <c r="BP220" s="67">
        <f t="shared" si="183"/>
        <v>7944185</v>
      </c>
      <c r="BQ220" s="67"/>
      <c r="BR220" s="478">
        <f t="shared" si="184"/>
        <v>6.4202465745602025E-2</v>
      </c>
      <c r="BS220" s="67"/>
      <c r="BT220" s="86"/>
      <c r="BU220" s="183"/>
      <c r="BV220" s="1"/>
      <c r="BW220" s="61">
        <f t="shared" si="187"/>
        <v>211</v>
      </c>
    </row>
    <row r="221" spans="2:75" x14ac:dyDescent="0.3">
      <c r="B221" s="171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8341064</v>
      </c>
      <c r="I221" s="16"/>
      <c r="J221" s="479">
        <f t="shared" si="166"/>
        <v>6.5443585679062881E-3</v>
      </c>
      <c r="K221" s="16"/>
      <c r="L221" s="16"/>
      <c r="M221" s="16"/>
      <c r="N221" s="16">
        <f t="shared" si="185"/>
        <v>391001</v>
      </c>
      <c r="O221" s="16">
        <f t="shared" si="167"/>
        <v>39344.641509433961</v>
      </c>
      <c r="P221" s="41"/>
      <c r="Q221" s="453"/>
      <c r="R221" s="16"/>
      <c r="S221" s="60"/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224264</v>
      </c>
      <c r="AB221" s="33"/>
      <c r="AC221" s="46">
        <f t="shared" si="169"/>
        <v>2.6886737711160111E-2</v>
      </c>
      <c r="AD221" s="33"/>
      <c r="AE221" s="33">
        <f t="shared" si="170"/>
        <v>1057.8490566037735</v>
      </c>
      <c r="AF221" s="50"/>
      <c r="AG221" s="33">
        <f t="shared" si="171"/>
        <v>4894</v>
      </c>
      <c r="AH221" s="33">
        <f t="shared" si="186"/>
        <v>459161976.35152841</v>
      </c>
      <c r="AI221" s="231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4"/>
        <v>6.8189556253557427E-3</v>
      </c>
      <c r="AS221" s="25"/>
      <c r="AT221" s="25"/>
      <c r="AU221" s="24"/>
      <c r="AV221" s="341">
        <f t="shared" si="175"/>
        <v>0.65125888016205125</v>
      </c>
      <c r="AW221" s="341"/>
      <c r="AX221" s="24">
        <f t="shared" si="176"/>
        <v>25623.547169811322</v>
      </c>
      <c r="AY221" s="351"/>
      <c r="AZ221" s="10"/>
      <c r="BA221" s="66">
        <f t="shared" si="177"/>
        <v>1056221</v>
      </c>
      <c r="BB221" s="67"/>
      <c r="BC221" s="67">
        <v>124792668</v>
      </c>
      <c r="BD221" s="67"/>
      <c r="BE221" s="67">
        <f t="shared" si="178"/>
        <v>54232</v>
      </c>
      <c r="BF221" s="67"/>
      <c r="BG221" s="156">
        <f t="shared" si="179"/>
        <v>5.1345315042969228E-2</v>
      </c>
      <c r="BH221" s="67"/>
      <c r="BI221" s="183"/>
      <c r="BJ221" s="67"/>
      <c r="BK221" s="67">
        <f t="shared" si="180"/>
        <v>7191246</v>
      </c>
      <c r="BL221" s="67"/>
      <c r="BM221" s="156">
        <f t="shared" si="181"/>
        <v>0</v>
      </c>
      <c r="BN221" s="66">
        <f t="shared" si="182"/>
        <v>588644.66037735844</v>
      </c>
      <c r="BO221" s="67"/>
      <c r="BP221" s="67">
        <f t="shared" si="183"/>
        <v>7998417</v>
      </c>
      <c r="BQ221" s="67"/>
      <c r="BR221" s="478">
        <f t="shared" si="184"/>
        <v>6.4093645309354227E-2</v>
      </c>
      <c r="BS221" s="67"/>
      <c r="BT221" s="86"/>
      <c r="BU221" s="183"/>
      <c r="BV221" s="1"/>
      <c r="BW221" s="61">
        <f t="shared" si="187"/>
        <v>212</v>
      </c>
    </row>
    <row r="222" spans="2:75" x14ac:dyDescent="0.3">
      <c r="B222" s="390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8386005</v>
      </c>
      <c r="I222" s="16"/>
      <c r="J222" s="479">
        <f t="shared" si="166"/>
        <v>5.3879217327669465E-3</v>
      </c>
      <c r="K222" s="16"/>
      <c r="L222" s="16"/>
      <c r="M222" s="16"/>
      <c r="N222" s="16">
        <f t="shared" si="185"/>
        <v>394007</v>
      </c>
      <c r="O222" s="16">
        <f t="shared" si="167"/>
        <v>39370.915492957749</v>
      </c>
      <c r="P222" s="41"/>
      <c r="Q222" s="453"/>
      <c r="R222" s="16"/>
      <c r="S222" s="60"/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68"/>
        <v>224712</v>
      </c>
      <c r="AB222" s="33"/>
      <c r="AC222" s="46">
        <f t="shared" si="169"/>
        <v>2.6796072742622978E-2</v>
      </c>
      <c r="AD222" s="33"/>
      <c r="AE222" s="33">
        <f t="shared" si="170"/>
        <v>1054.9859154929577</v>
      </c>
      <c r="AF222" s="50"/>
      <c r="AG222" s="33">
        <f t="shared" si="171"/>
        <v>5017</v>
      </c>
      <c r="AH222" s="33">
        <f t="shared" si="186"/>
        <v>459110631.35152841</v>
      </c>
      <c r="AI222" s="231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4"/>
        <v>4.6927649096350057E-3</v>
      </c>
      <c r="AS222" s="25"/>
      <c r="AT222" s="25"/>
      <c r="AU222" s="24"/>
      <c r="AV222" s="341">
        <f t="shared" si="175"/>
        <v>0.65080857929371616</v>
      </c>
      <c r="AW222" s="341"/>
      <c r="AX222" s="24">
        <f t="shared" si="176"/>
        <v>25622.929577464787</v>
      </c>
      <c r="AY222" s="351"/>
      <c r="AZ222" s="391"/>
      <c r="BA222" s="66">
        <f t="shared" si="177"/>
        <v>891213</v>
      </c>
      <c r="BB222" s="67"/>
      <c r="BC222" s="67">
        <v>125683881</v>
      </c>
      <c r="BD222" s="67"/>
      <c r="BE222" s="67">
        <f t="shared" si="178"/>
        <v>44941</v>
      </c>
      <c r="BF222" s="67"/>
      <c r="BG222" s="156">
        <f t="shared" si="179"/>
        <v>5.0426777885870154E-2</v>
      </c>
      <c r="BH222" s="67"/>
      <c r="BI222" s="183"/>
      <c r="BJ222" s="67"/>
      <c r="BK222" s="67">
        <f t="shared" si="180"/>
        <v>7196983</v>
      </c>
      <c r="BL222" s="67"/>
      <c r="BM222" s="156">
        <f t="shared" si="181"/>
        <v>0</v>
      </c>
      <c r="BN222" s="66">
        <f t="shared" si="182"/>
        <v>590065.1690140845</v>
      </c>
      <c r="BO222" s="67"/>
      <c r="BP222" s="67">
        <f t="shared" si="183"/>
        <v>8043358</v>
      </c>
      <c r="BQ222" s="67"/>
      <c r="BR222" s="478">
        <f t="shared" si="184"/>
        <v>6.39967347921091E-2</v>
      </c>
      <c r="BS222" s="67"/>
      <c r="BT222" s="86"/>
      <c r="BU222" s="183"/>
      <c r="BV222" s="1"/>
      <c r="BW222" s="61">
        <f t="shared" si="187"/>
        <v>213</v>
      </c>
    </row>
    <row r="223" spans="2:75" x14ac:dyDescent="0.3">
      <c r="B223" s="171">
        <f t="shared" si="161"/>
        <v>44123</v>
      </c>
      <c r="C223" s="61"/>
      <c r="D223" s="17">
        <v>57327</v>
      </c>
      <c r="E223" s="16"/>
      <c r="F223" s="16"/>
      <c r="G223" s="16"/>
      <c r="H223" s="16">
        <f>+H222+D223</f>
        <v>8443332</v>
      </c>
      <c r="I223" s="16"/>
      <c r="J223" s="479">
        <f>+D223/H222</f>
        <v>6.8360321750344771E-3</v>
      </c>
      <c r="K223" s="16"/>
      <c r="L223" s="16"/>
      <c r="M223" s="16"/>
      <c r="N223" s="16">
        <f>SUM(D217:D223)</f>
        <v>405543</v>
      </c>
      <c r="O223" s="16">
        <f>+H223/BW223</f>
        <v>39454.82242990654</v>
      </c>
      <c r="P223" s="41"/>
      <c r="Q223" s="453"/>
      <c r="R223" s="16"/>
      <c r="S223" s="60"/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>+AA222+W223</f>
        <v>225154</v>
      </c>
      <c r="AB223" s="33"/>
      <c r="AC223" s="46">
        <f>+AA223/H223</f>
        <v>2.6666486642950911E-2</v>
      </c>
      <c r="AD223" s="33"/>
      <c r="AE223" s="33">
        <f>+AA223/BW223</f>
        <v>1052.1214953271028</v>
      </c>
      <c r="AF223" s="50"/>
      <c r="AG223" s="33">
        <f>SUM(W217:W223)</f>
        <v>5143</v>
      </c>
      <c r="AH223" s="33">
        <f t="shared" si="186"/>
        <v>459067018.35152841</v>
      </c>
      <c r="AI223" s="231">
        <f>+(AG223-AG216)/AG216</f>
        <v>3.5225442834138483E-2</v>
      </c>
      <c r="AJ223" s="50"/>
      <c r="AK223" s="10"/>
      <c r="AL223" s="23">
        <f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>+AL223/AP222</f>
        <v>8.3522607758162622E-3</v>
      </c>
      <c r="AS223" s="25"/>
      <c r="AT223" s="25"/>
      <c r="AU223" s="24"/>
      <c r="AV223" s="341">
        <f>+AP223/H223</f>
        <v>0.65178865405268915</v>
      </c>
      <c r="AW223" s="341"/>
      <c r="AX223" s="24">
        <f>+AP223/BW223</f>
        <v>25716.205607476637</v>
      </c>
      <c r="AY223" s="351"/>
      <c r="AZ223" s="10"/>
      <c r="BA223" s="66">
        <f>+BC223-BC222</f>
        <v>1373226</v>
      </c>
      <c r="BB223" s="67"/>
      <c r="BC223" s="67">
        <v>127057107</v>
      </c>
      <c r="BD223" s="67"/>
      <c r="BE223" s="67">
        <f>+D223</f>
        <v>57327</v>
      </c>
      <c r="BF223" s="67"/>
      <c r="BG223" s="156">
        <f>+BE223/BA223</f>
        <v>4.1746223855359567E-2</v>
      </c>
      <c r="BH223" s="67"/>
      <c r="BI223" s="183"/>
      <c r="BJ223" s="67"/>
      <c r="BK223" s="67">
        <f>SUM(BA217:BA223)</f>
        <v>7559483</v>
      </c>
      <c r="BL223" s="67"/>
      <c r="BM223" s="156">
        <f>+Q223/BK223</f>
        <v>0</v>
      </c>
      <c r="BN223" s="66">
        <f>+BC223/BW223</f>
        <v>593724.79906542052</v>
      </c>
      <c r="BO223" s="67"/>
      <c r="BP223" s="67">
        <f>+BP222+BE223</f>
        <v>8100685</v>
      </c>
      <c r="BQ223" s="67"/>
      <c r="BR223" s="478">
        <f>+BP223/BC223</f>
        <v>6.3756252532965352E-2</v>
      </c>
      <c r="BS223" s="67"/>
      <c r="BT223" s="86"/>
      <c r="BU223" s="183"/>
      <c r="BV223" s="1"/>
      <c r="BW223" s="61">
        <f t="shared" si="187"/>
        <v>214</v>
      </c>
    </row>
    <row r="224" spans="2:75" x14ac:dyDescent="0.3">
      <c r="B224" s="171">
        <f t="shared" si="161"/>
        <v>44124</v>
      </c>
      <c r="C224" s="61"/>
      <c r="D224" s="17">
        <v>62072</v>
      </c>
      <c r="E224" s="16"/>
      <c r="F224" s="16"/>
      <c r="G224" s="16"/>
      <c r="H224" s="16">
        <f>+H223+D224</f>
        <v>8505404</v>
      </c>
      <c r="I224" s="16"/>
      <c r="J224" s="479">
        <f>+D224/H223</f>
        <v>7.3516000555231041E-3</v>
      </c>
      <c r="K224" s="16"/>
      <c r="L224" s="16"/>
      <c r="M224" s="16"/>
      <c r="N224" s="16">
        <f>SUM(D218:D224)</f>
        <v>416081</v>
      </c>
      <c r="O224" s="16">
        <f>+H224/BW224</f>
        <v>39560.018604651166</v>
      </c>
      <c r="P224" s="41"/>
      <c r="Q224" s="453"/>
      <c r="R224" s="16"/>
      <c r="S224" s="60"/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>+AA223+W224</f>
        <v>226106</v>
      </c>
      <c r="AB224" s="33"/>
      <c r="AC224" s="46">
        <f>+AA224/H224</f>
        <v>2.6583804837489202E-2</v>
      </c>
      <c r="AD224" s="33"/>
      <c r="AE224" s="33">
        <f>+AA224/BW224</f>
        <v>1051.6558139534884</v>
      </c>
      <c r="AF224" s="50"/>
      <c r="AG224" s="33">
        <f>SUM(W218:W224)</f>
        <v>5252</v>
      </c>
      <c r="AH224" s="33">
        <f t="shared" ref="AH224" si="188">SUM(D195:D330)</f>
        <v>459033632.35152841</v>
      </c>
      <c r="AI224" s="231">
        <f>+(AG224-AG217)/AG217</f>
        <v>4.977013791724965E-2</v>
      </c>
      <c r="AJ224" s="50"/>
      <c r="AK224" s="10"/>
      <c r="AL224" s="23">
        <f>+AP224-AP223</f>
        <v>42351</v>
      </c>
      <c r="AM224" s="24"/>
      <c r="AN224" s="24"/>
      <c r="AO224" s="24">
        <v>178263</v>
      </c>
      <c r="AP224" s="24">
        <v>5545619</v>
      </c>
      <c r="AQ224" s="24"/>
      <c r="AR224" s="504">
        <f>+AL224/AP223</f>
        <v>7.6956092270992439E-3</v>
      </c>
      <c r="AS224" s="25"/>
      <c r="AT224" s="25"/>
      <c r="AU224" s="24"/>
      <c r="AV224" s="341">
        <f>+AP224/H224</f>
        <v>0.65201123897230517</v>
      </c>
      <c r="AW224" s="341"/>
      <c r="AX224" s="24">
        <f>+AP224/BW224</f>
        <v>25793.576744186048</v>
      </c>
      <c r="AY224" s="351"/>
      <c r="AZ224" s="10"/>
      <c r="BA224" s="66">
        <f>+BC224-BC223</f>
        <v>777769</v>
      </c>
      <c r="BB224" s="67"/>
      <c r="BC224" s="67">
        <v>127834876</v>
      </c>
      <c r="BD224" s="67"/>
      <c r="BE224" s="67">
        <f>+D224</f>
        <v>62072</v>
      </c>
      <c r="BF224" s="67"/>
      <c r="BG224" s="156">
        <f>+BE224/BA224</f>
        <v>7.9807757830409803E-2</v>
      </c>
      <c r="BH224" s="67"/>
      <c r="BI224" s="183"/>
      <c r="BJ224" s="67"/>
      <c r="BK224" s="67">
        <f>SUM(BA218:BA224)</f>
        <v>7311304</v>
      </c>
      <c r="BL224" s="67"/>
      <c r="BM224" s="156">
        <f>+Q224/BK224</f>
        <v>0</v>
      </c>
      <c r="BN224" s="66">
        <f>+BC224/BW224</f>
        <v>594580.81860465114</v>
      </c>
      <c r="BO224" s="67"/>
      <c r="BP224" s="67">
        <f>+BP223+BE224</f>
        <v>8162757</v>
      </c>
      <c r="BQ224" s="67"/>
      <c r="BR224" s="478">
        <f>+BP224/BC224</f>
        <v>6.3853912605195476E-2</v>
      </c>
      <c r="BS224" s="67"/>
      <c r="BT224" s="86"/>
      <c r="BU224" s="183"/>
      <c r="BV224" s="1"/>
      <c r="BW224" s="61">
        <f t="shared" si="187"/>
        <v>215</v>
      </c>
    </row>
    <row r="225" spans="2:85" x14ac:dyDescent="0.3">
      <c r="B225" s="171">
        <f t="shared" si="161"/>
        <v>44125</v>
      </c>
      <c r="C225" s="61"/>
      <c r="D225" s="17">
        <v>63663</v>
      </c>
      <c r="E225" s="16"/>
      <c r="F225" s="16"/>
      <c r="G225" s="16"/>
      <c r="H225" s="16">
        <f>+H224+D225</f>
        <v>8569067</v>
      </c>
      <c r="I225" s="16"/>
      <c r="J225" s="479">
        <f>+D225/H224</f>
        <v>7.4850060032421737E-3</v>
      </c>
      <c r="K225" s="16"/>
      <c r="L225" s="16"/>
      <c r="M225" s="16"/>
      <c r="N225" s="16">
        <f>SUM(D219:D225)</f>
        <v>420051</v>
      </c>
      <c r="O225" s="16">
        <f>+H225/BW225</f>
        <v>39671.606481481482</v>
      </c>
      <c r="P225" s="41"/>
      <c r="Q225" s="453"/>
      <c r="R225" s="16"/>
      <c r="S225" s="60"/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>+AA224+W225</f>
        <v>227331</v>
      </c>
      <c r="AB225" s="33"/>
      <c r="AC225" s="46">
        <f>+AA225/H225</f>
        <v>2.6529259253078544E-2</v>
      </c>
      <c r="AD225" s="33"/>
      <c r="AE225" s="33">
        <f>+AA225/BW225</f>
        <v>1052.4583333333333</v>
      </c>
      <c r="AF225" s="50"/>
      <c r="AG225" s="33">
        <f>SUM(W219:W225)</f>
        <v>5507</v>
      </c>
      <c r="AH225" s="33">
        <f t="shared" ref="AH225" si="189">SUM(D196:D331)</f>
        <v>458996828.35152841</v>
      </c>
      <c r="AI225" s="231">
        <f>+(AG225-AG218)/AG218</f>
        <v>9.2008724965298438E-2</v>
      </c>
      <c r="AJ225" s="50"/>
      <c r="AK225" s="10"/>
      <c r="AL225" s="23">
        <f>+AP225-AP224</f>
        <v>56497</v>
      </c>
      <c r="AM225" s="24"/>
      <c r="AN225" s="24"/>
      <c r="AO225" s="24">
        <v>178263</v>
      </c>
      <c r="AP225" s="24">
        <v>5602116</v>
      </c>
      <c r="AQ225" s="24"/>
      <c r="AR225" s="504">
        <f>+AL225/AP224</f>
        <v>1.0187681483347486E-2</v>
      </c>
      <c r="AS225" s="25"/>
      <c r="AT225" s="25"/>
      <c r="AU225" s="24"/>
      <c r="AV225" s="341">
        <f>+AP225/H225</f>
        <v>0.65376032186467903</v>
      </c>
      <c r="AW225" s="341"/>
      <c r="AX225" s="24">
        <f>+AP225/BW225</f>
        <v>25935.722222222223</v>
      </c>
      <c r="AY225" s="351"/>
      <c r="AZ225" s="10"/>
      <c r="BA225" s="66">
        <f>+BC225-BC224</f>
        <v>815281</v>
      </c>
      <c r="BB225" s="67"/>
      <c r="BC225" s="67">
        <v>128650157</v>
      </c>
      <c r="BD225" s="67"/>
      <c r="BE225" s="67">
        <f>+D225</f>
        <v>63663</v>
      </c>
      <c r="BF225" s="67"/>
      <c r="BG225" s="156">
        <f>+BE225/BA225</f>
        <v>7.8087187117079876E-2</v>
      </c>
      <c r="BH225" s="67"/>
      <c r="BI225" s="183"/>
      <c r="BJ225" s="67"/>
      <c r="BK225" s="67">
        <f>SUM(BA219:BA225)</f>
        <v>7083019</v>
      </c>
      <c r="BL225" s="67"/>
      <c r="BM225" s="156">
        <f>+Q225/BK225</f>
        <v>0</v>
      </c>
      <c r="BN225" s="66">
        <f>+BC225/BW225</f>
        <v>595602.57870370371</v>
      </c>
      <c r="BO225" s="67"/>
      <c r="BP225" s="67">
        <f>+BP224+BE225</f>
        <v>8226420</v>
      </c>
      <c r="BQ225" s="67"/>
      <c r="BR225" s="478">
        <f>+BP225/BC225</f>
        <v>6.3944111626696262E-2</v>
      </c>
      <c r="BS225" s="67"/>
      <c r="BT225" s="86"/>
      <c r="BU225" s="183"/>
      <c r="BV225" s="1"/>
      <c r="BW225" s="61">
        <f t="shared" si="187"/>
        <v>216</v>
      </c>
    </row>
    <row r="226" spans="2:85" x14ac:dyDescent="0.3">
      <c r="B226" s="171">
        <f t="shared" si="161"/>
        <v>44126</v>
      </c>
      <c r="C226" s="61"/>
      <c r="D226" s="17">
        <v>74301</v>
      </c>
      <c r="E226" s="16"/>
      <c r="F226" s="16"/>
      <c r="G226" s="16"/>
      <c r="H226" s="16">
        <f>+H225+D226</f>
        <v>8643368</v>
      </c>
      <c r="I226" s="16"/>
      <c r="J226" s="479">
        <f>+D226/H225</f>
        <v>8.6708389606476415E-3</v>
      </c>
      <c r="K226" s="16"/>
      <c r="L226" s="16"/>
      <c r="M226" s="16"/>
      <c r="N226" s="16">
        <f>SUM(D220:D226)</f>
        <v>428223</v>
      </c>
      <c r="O226" s="16">
        <f>+H226/BW226</f>
        <v>39831.188940092165</v>
      </c>
      <c r="P226" s="41"/>
      <c r="Q226" s="453"/>
      <c r="R226" s="16"/>
      <c r="S226" s="60"/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>+AA225+W226</f>
        <v>228304</v>
      </c>
      <c r="AB226" s="33"/>
      <c r="AC226" s="46">
        <f>+AA226/H226</f>
        <v>2.6413777592253392E-2</v>
      </c>
      <c r="AD226" s="33"/>
      <c r="AE226" s="33">
        <f>+AA226/BW226</f>
        <v>1052.0921658986176</v>
      </c>
      <c r="AF226" s="50"/>
      <c r="AG226" s="33">
        <f>SUM(W220:W226)</f>
        <v>5606</v>
      </c>
      <c r="AH226" s="33">
        <f t="shared" ref="AH226" si="190">SUM(D197:D332)</f>
        <v>458961132.35152841</v>
      </c>
      <c r="AI226" s="231">
        <f>+(AG226-AG219)/AG219</f>
        <v>0.13024193548387097</v>
      </c>
      <c r="AJ226" s="50"/>
      <c r="AK226" s="10"/>
      <c r="AL226" s="23">
        <f>+AP226-AP225</f>
        <v>53185</v>
      </c>
      <c r="AM226" s="24"/>
      <c r="AN226" s="24"/>
      <c r="AO226" s="24">
        <v>178263</v>
      </c>
      <c r="AP226" s="24">
        <v>5655301</v>
      </c>
      <c r="AQ226" s="24"/>
      <c r="AR226" s="504">
        <f>+AL226/AP225</f>
        <v>9.4937341533092145E-3</v>
      </c>
      <c r="AS226" s="25"/>
      <c r="AT226" s="25"/>
      <c r="AU226" s="24"/>
      <c r="AV226" s="341">
        <f>+AP226/H226</f>
        <v>0.65429367348468792</v>
      </c>
      <c r="AW226" s="341"/>
      <c r="AX226" s="24">
        <f>+AP226/BW226</f>
        <v>26061.294930875578</v>
      </c>
      <c r="AY226" s="351"/>
      <c r="AZ226" s="10"/>
      <c r="BA226" s="66">
        <f>+BC226-BC225</f>
        <v>1154411</v>
      </c>
      <c r="BB226" s="67"/>
      <c r="BC226" s="67">
        <v>129804568</v>
      </c>
      <c r="BD226" s="67"/>
      <c r="BE226" s="67">
        <f>+D226</f>
        <v>74301</v>
      </c>
      <c r="BF226" s="67"/>
      <c r="BG226" s="156">
        <f>+BE226/BA226</f>
        <v>6.4362692316687897E-2</v>
      </c>
      <c r="BH226" s="67"/>
      <c r="BI226" s="183"/>
      <c r="BJ226" s="67"/>
      <c r="BK226" s="67">
        <f>SUM(BA220:BA226)</f>
        <v>7109220</v>
      </c>
      <c r="BL226" s="67"/>
      <c r="BM226" s="156">
        <f>+Q226/BK226</f>
        <v>0</v>
      </c>
      <c r="BN226" s="66">
        <f>+BC226/BW226</f>
        <v>598177.73271889403</v>
      </c>
      <c r="BO226" s="67"/>
      <c r="BP226" s="67">
        <f>+BP225+BE226</f>
        <v>8300721</v>
      </c>
      <c r="BQ226" s="67"/>
      <c r="BR226" s="478">
        <f>+BP226/BC226</f>
        <v>6.3947834254954719E-2</v>
      </c>
      <c r="BS226" s="67"/>
      <c r="BT226" s="86"/>
      <c r="BU226" s="183"/>
      <c r="BV226" s="1"/>
      <c r="BW226" s="61">
        <f t="shared" si="187"/>
        <v>217</v>
      </c>
    </row>
    <row r="227" spans="2:85" x14ac:dyDescent="0.3">
      <c r="B227" s="171">
        <f t="shared" si="161"/>
        <v>44127</v>
      </c>
      <c r="C227" s="61"/>
      <c r="D227" s="17">
        <v>81414</v>
      </c>
      <c r="E227" s="16"/>
      <c r="F227" s="16"/>
      <c r="G227" s="16"/>
      <c r="H227" s="16">
        <f>+H226+D227</f>
        <v>8724782</v>
      </c>
      <c r="I227" s="16"/>
      <c r="J227" s="479">
        <f>+D227/H226</f>
        <v>9.4192449054581497E-3</v>
      </c>
      <c r="K227" s="16"/>
      <c r="L227" s="16"/>
      <c r="M227" s="16"/>
      <c r="N227" s="16">
        <f>SUM(D221:D227)</f>
        <v>437950</v>
      </c>
      <c r="O227" s="16">
        <f>+H227/BW227</f>
        <v>40021.935779816515</v>
      </c>
      <c r="P227" s="41"/>
      <c r="Q227" s="453"/>
      <c r="R227" s="16"/>
      <c r="S227" s="60"/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>+AA226+W227</f>
        <v>229207</v>
      </c>
      <c r="AB227" s="33"/>
      <c r="AC227" s="46">
        <f>+AA227/H227</f>
        <v>2.627079966009466E-2</v>
      </c>
      <c r="AD227" s="33"/>
      <c r="AE227" s="33">
        <f>+AA227/BW227</f>
        <v>1051.4082568807339</v>
      </c>
      <c r="AF227" s="50"/>
      <c r="AG227" s="33">
        <f>SUM(W221:W227)</f>
        <v>5581</v>
      </c>
      <c r="AH227" s="33">
        <f t="shared" ref="AH227" si="191">SUM(D198:D333)</f>
        <v>458919516.35152841</v>
      </c>
      <c r="AI227" s="231">
        <f>+(AG227-AG220)/AG220</f>
        <v>0.12090781281381803</v>
      </c>
      <c r="AJ227" s="50"/>
      <c r="AK227" s="10"/>
      <c r="AL227" s="23">
        <f>+AP227-AP226</f>
        <v>42860</v>
      </c>
      <c r="AM227" s="24"/>
      <c r="AN227" s="24"/>
      <c r="AO227" s="24">
        <v>178263</v>
      </c>
      <c r="AP227" s="24">
        <v>5698161</v>
      </c>
      <c r="AQ227" s="24"/>
      <c r="AR227" s="504">
        <f>+AL227/AP226</f>
        <v>7.5787301153378041E-3</v>
      </c>
      <c r="AS227" s="25"/>
      <c r="AT227" s="25"/>
      <c r="AU227" s="24"/>
      <c r="AV227" s="341">
        <f>+AP227/H227</f>
        <v>0.65310067346095291</v>
      </c>
      <c r="AW227" s="341"/>
      <c r="AX227" s="24">
        <f>+AP227/BW227</f>
        <v>26138.353211009173</v>
      </c>
      <c r="AY227" s="351"/>
      <c r="AZ227" s="10"/>
      <c r="BA227" s="66">
        <f>+BC227-BC226</f>
        <v>1252145</v>
      </c>
      <c r="BB227" s="67"/>
      <c r="BC227" s="67">
        <v>131056713</v>
      </c>
      <c r="BD227" s="67"/>
      <c r="BE227" s="67">
        <f>+D227</f>
        <v>81414</v>
      </c>
      <c r="BF227" s="67"/>
      <c r="BG227" s="156">
        <f>+BE227/BA227</f>
        <v>6.501962632123276E-2</v>
      </c>
      <c r="BH227" s="67"/>
      <c r="BI227" s="183"/>
      <c r="BJ227" s="67"/>
      <c r="BK227" s="67">
        <f>SUM(BA221:BA227)</f>
        <v>7320266</v>
      </c>
      <c r="BL227" s="67"/>
      <c r="BM227" s="156">
        <f>+Q227/BK227</f>
        <v>0</v>
      </c>
      <c r="BN227" s="66">
        <f>+BC227/BW227</f>
        <v>601177.58256880729</v>
      </c>
      <c r="BO227" s="67"/>
      <c r="BP227" s="67">
        <f>+BP226+BE227</f>
        <v>8382135</v>
      </c>
      <c r="BQ227" s="67"/>
      <c r="BR227" s="478">
        <f>+BP227/BC227</f>
        <v>6.3958074394861411E-2</v>
      </c>
      <c r="BS227" s="67"/>
      <c r="BT227" s="86"/>
      <c r="BU227" s="183"/>
      <c r="BV227" s="1"/>
      <c r="BW227" s="61">
        <f t="shared" si="187"/>
        <v>218</v>
      </c>
    </row>
    <row r="228" spans="2:85" x14ac:dyDescent="0.3">
      <c r="B228" s="171">
        <f t="shared" si="161"/>
        <v>44128</v>
      </c>
      <c r="C228" s="61"/>
      <c r="D228" s="17">
        <v>79449</v>
      </c>
      <c r="E228" s="16"/>
      <c r="F228" s="16"/>
      <c r="G228" s="16"/>
      <c r="H228" s="16">
        <f>+H227+D228</f>
        <v>8804231</v>
      </c>
      <c r="I228" s="16"/>
      <c r="J228" s="479">
        <f>+D228/H227</f>
        <v>9.1061301015887847E-3</v>
      </c>
      <c r="K228" s="16"/>
      <c r="L228" s="16"/>
      <c r="M228" s="16"/>
      <c r="N228" s="16">
        <f>SUM(D222:D228)</f>
        <v>463167</v>
      </c>
      <c r="O228" s="16">
        <f>+H228/BW228</f>
        <v>40201.968036529681</v>
      </c>
      <c r="P228" s="41"/>
      <c r="Q228" s="453"/>
      <c r="R228" s="16"/>
      <c r="S228" s="60"/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>+AA227+W228</f>
        <v>229991</v>
      </c>
      <c r="AB228" s="33"/>
      <c r="AC228" s="46">
        <f>+AA228/H228</f>
        <v>2.6122781194632443E-2</v>
      </c>
      <c r="AD228" s="33"/>
      <c r="AE228" s="33">
        <f>+AA228/BW228</f>
        <v>1050.1872146118722</v>
      </c>
      <c r="AF228" s="50"/>
      <c r="AG228" s="33">
        <f>SUM(W222:W228)</f>
        <v>5727</v>
      </c>
      <c r="AH228" s="33">
        <f t="shared" ref="AH228" si="192">SUM(D199:D334)</f>
        <v>458874161.35152841</v>
      </c>
      <c r="AI228" s="231">
        <f>+(AG228-AG221)/AG221</f>
        <v>0.17020841847159787</v>
      </c>
      <c r="AJ228" s="50"/>
      <c r="AK228" s="10"/>
      <c r="AL228" s="23">
        <f>+AP228-AP227</f>
        <v>43450</v>
      </c>
      <c r="AM228" s="24"/>
      <c r="AN228" s="24"/>
      <c r="AO228" s="24">
        <v>178263</v>
      </c>
      <c r="AP228" s="24">
        <v>5741611</v>
      </c>
      <c r="AQ228" s="24"/>
      <c r="AR228" s="504">
        <f>+AL228/AP227</f>
        <v>7.625267169530661E-3</v>
      </c>
      <c r="AS228" s="25"/>
      <c r="AT228" s="25"/>
      <c r="AU228" s="24"/>
      <c r="AV228" s="341">
        <f>+AP228/H228</f>
        <v>0.65214224842578528</v>
      </c>
      <c r="AW228" s="341"/>
      <c r="AX228" s="24">
        <f>+AP228/BW228</f>
        <v>26217.40182648402</v>
      </c>
      <c r="AY228" s="351"/>
      <c r="AZ228" s="10"/>
      <c r="BA228" s="66">
        <f>+BC228-BC227</f>
        <v>1151780</v>
      </c>
      <c r="BB228" s="67"/>
      <c r="BC228" s="67">
        <v>132208493</v>
      </c>
      <c r="BD228" s="67"/>
      <c r="BE228" s="67">
        <f>+D228</f>
        <v>79449</v>
      </c>
      <c r="BF228" s="67"/>
      <c r="BG228" s="156">
        <f>+BE228/BA228</f>
        <v>6.8979318967163875E-2</v>
      </c>
      <c r="BH228" s="67"/>
      <c r="BI228" s="183"/>
      <c r="BJ228" s="67"/>
      <c r="BK228" s="67">
        <f>SUM(BA222:BA228)</f>
        <v>7415825</v>
      </c>
      <c r="BL228" s="67"/>
      <c r="BM228" s="156">
        <f>+Q228/BK228</f>
        <v>0</v>
      </c>
      <c r="BN228" s="66">
        <f>+BC228/BW228</f>
        <v>603691.74885844754</v>
      </c>
      <c r="BO228" s="67"/>
      <c r="BP228" s="67">
        <f>+BP227+BE228</f>
        <v>8461584</v>
      </c>
      <c r="BQ228" s="67"/>
      <c r="BR228" s="478">
        <f>+BP228/BC228</f>
        <v>6.4001818703129765E-2</v>
      </c>
      <c r="BS228" s="67"/>
      <c r="BT228" s="86"/>
      <c r="BU228" s="183"/>
      <c r="BV228" s="1"/>
      <c r="BW228" s="61">
        <f t="shared" si="187"/>
        <v>219</v>
      </c>
    </row>
    <row r="229" spans="2:85" x14ac:dyDescent="0.3">
      <c r="B229" s="390">
        <f t="shared" si="161"/>
        <v>44129</v>
      </c>
      <c r="C229" s="61"/>
      <c r="D229" s="17">
        <v>60889</v>
      </c>
      <c r="E229" s="16"/>
      <c r="F229" s="16"/>
      <c r="G229" s="16"/>
      <c r="H229" s="16">
        <f>+H228+D229</f>
        <v>8865120</v>
      </c>
      <c r="I229" s="16"/>
      <c r="J229" s="479">
        <f>+D229/H228</f>
        <v>6.9158794220642323E-3</v>
      </c>
      <c r="K229" s="16"/>
      <c r="L229" s="16"/>
      <c r="M229" s="16"/>
      <c r="N229" s="16">
        <f>SUM(D223:D229)</f>
        <v>479115</v>
      </c>
      <c r="O229" s="16">
        <f>+H229/BW229</f>
        <v>40296</v>
      </c>
      <c r="P229" s="41"/>
      <c r="Q229" s="453"/>
      <c r="R229" s="16"/>
      <c r="S229" s="60"/>
      <c r="T229" s="16"/>
      <c r="U229" s="41"/>
      <c r="V229" s="391">
        <f t="shared" si="109"/>
        <v>121</v>
      </c>
      <c r="W229" s="34">
        <v>442</v>
      </c>
      <c r="X229" s="33"/>
      <c r="Y229" s="33"/>
      <c r="Z229" s="33"/>
      <c r="AA229" s="33">
        <f>+AA228+W229</f>
        <v>230433</v>
      </c>
      <c r="AB229" s="33"/>
      <c r="AC229" s="46">
        <f>+AA229/H229</f>
        <v>2.5993218365910443E-2</v>
      </c>
      <c r="AD229" s="33"/>
      <c r="AE229" s="33">
        <f>+AA229/BW229</f>
        <v>1047.4227272727273</v>
      </c>
      <c r="AF229" s="50"/>
      <c r="AG229" s="33">
        <f>SUM(W223:W229)</f>
        <v>5721</v>
      </c>
      <c r="AH229" s="33">
        <f t="shared" ref="AH229" si="193">SUM(D200:D335)</f>
        <v>458820532.35152841</v>
      </c>
      <c r="AI229" s="231">
        <f>+(AG229-AG222)/AG222</f>
        <v>0.14032290213274864</v>
      </c>
      <c r="AJ229" s="50"/>
      <c r="AK229" s="10"/>
      <c r="AL229" s="23">
        <f>+AP229-AP228</f>
        <v>30887</v>
      </c>
      <c r="AM229" s="24"/>
      <c r="AN229" s="24"/>
      <c r="AO229" s="24">
        <v>178263</v>
      </c>
      <c r="AP229" s="24">
        <v>5772498</v>
      </c>
      <c r="AQ229" s="24"/>
      <c r="AR229" s="504">
        <f>+AL229/AP228</f>
        <v>5.379500631442987E-3</v>
      </c>
      <c r="AS229" s="25"/>
      <c r="AT229" s="25"/>
      <c r="AU229" s="24"/>
      <c r="AV229" s="341">
        <f>+AP229/H229</f>
        <v>0.6511471925929937</v>
      </c>
      <c r="AW229" s="341"/>
      <c r="AX229" s="24">
        <f>+AP229/BW229</f>
        <v>26238.627272727274</v>
      </c>
      <c r="AY229" s="351"/>
      <c r="AZ229" s="391"/>
      <c r="BA229" s="66">
        <f>+BC229-BC228</f>
        <v>1020835</v>
      </c>
      <c r="BB229" s="67"/>
      <c r="BC229" s="67">
        <v>133229328</v>
      </c>
      <c r="BD229" s="67"/>
      <c r="BE229" s="67">
        <f>+D229</f>
        <v>60889</v>
      </c>
      <c r="BF229" s="67"/>
      <c r="BG229" s="156">
        <f>+BE229/BA229</f>
        <v>5.964626996527353E-2</v>
      </c>
      <c r="BH229" s="67"/>
      <c r="BI229" s="183"/>
      <c r="BJ229" s="67"/>
      <c r="BK229" s="67">
        <f>SUM(BA223:BA229)</f>
        <v>7545447</v>
      </c>
      <c r="BL229" s="67"/>
      <c r="BM229" s="156">
        <f>+Q229/BK229</f>
        <v>0</v>
      </c>
      <c r="BN229" s="66">
        <f>+BC229/BW229</f>
        <v>605587.85454545449</v>
      </c>
      <c r="BO229" s="67"/>
      <c r="BP229" s="67">
        <f>+BP228+BE229</f>
        <v>8522473</v>
      </c>
      <c r="BQ229" s="67"/>
      <c r="BR229" s="478">
        <f>+BP229/BC229</f>
        <v>6.3968445446185837E-2</v>
      </c>
      <c r="BS229" s="67"/>
      <c r="BT229" s="86"/>
      <c r="BU229" s="183"/>
      <c r="BV229" s="1"/>
      <c r="BW229" s="61">
        <f t="shared" si="187"/>
        <v>220</v>
      </c>
    </row>
    <row r="230" spans="2:85" x14ac:dyDescent="0.3">
      <c r="B230" s="171">
        <f t="shared" si="161"/>
        <v>44130</v>
      </c>
      <c r="C230" s="61"/>
      <c r="D230" s="17"/>
      <c r="E230" s="16"/>
      <c r="F230" s="16"/>
      <c r="G230" s="16"/>
      <c r="H230" s="16"/>
      <c r="I230" s="16"/>
      <c r="J230" s="479"/>
      <c r="K230" s="16"/>
      <c r="L230" s="16"/>
      <c r="M230" s="16"/>
      <c r="N230" s="16"/>
      <c r="O230" s="16"/>
      <c r="P230" s="41"/>
      <c r="Q230" s="453"/>
      <c r="R230" s="16"/>
      <c r="S230" s="60"/>
      <c r="T230" s="16"/>
      <c r="U230" s="41"/>
      <c r="V230" s="10"/>
      <c r="W230" s="34"/>
      <c r="X230" s="33"/>
      <c r="Y230" s="33"/>
      <c r="Z230" s="33"/>
      <c r="AA230" s="33"/>
      <c r="AB230" s="33"/>
      <c r="AC230" s="46"/>
      <c r="AD230" s="33"/>
      <c r="AE230" s="33"/>
      <c r="AF230" s="50"/>
      <c r="AG230" s="33"/>
      <c r="AH230" s="33"/>
      <c r="AI230" s="231"/>
      <c r="AJ230" s="50"/>
      <c r="AK230" s="10"/>
      <c r="AL230" s="23"/>
      <c r="AM230" s="24"/>
      <c r="AN230" s="24"/>
      <c r="AO230" s="24"/>
      <c r="AP230" s="24"/>
      <c r="AQ230" s="24"/>
      <c r="AR230" s="504"/>
      <c r="AS230" s="25"/>
      <c r="AT230" s="25"/>
      <c r="AU230" s="24"/>
      <c r="AV230" s="341"/>
      <c r="AW230" s="341"/>
      <c r="AX230" s="24"/>
      <c r="AY230" s="351"/>
      <c r="AZ230" s="10"/>
      <c r="BA230" s="66"/>
      <c r="BB230" s="67"/>
      <c r="BC230" s="67"/>
      <c r="BD230" s="67"/>
      <c r="BE230" s="67"/>
      <c r="BF230" s="67"/>
      <c r="BG230" s="156"/>
      <c r="BH230" s="67"/>
      <c r="BI230" s="183"/>
      <c r="BJ230" s="67"/>
      <c r="BK230" s="67"/>
      <c r="BL230" s="67"/>
      <c r="BM230" s="156"/>
      <c r="BN230" s="66"/>
      <c r="BO230" s="67"/>
      <c r="BP230" s="67"/>
      <c r="BQ230" s="67"/>
      <c r="BR230" s="478"/>
      <c r="BS230" s="67"/>
      <c r="BT230" s="86"/>
      <c r="BU230" s="183"/>
      <c r="BV230" s="1"/>
      <c r="BW230" s="61">
        <f t="shared" si="187"/>
        <v>221</v>
      </c>
    </row>
    <row r="231" spans="2:85" x14ac:dyDescent="0.3">
      <c r="B231" s="171">
        <f t="shared" si="161"/>
        <v>44131</v>
      </c>
      <c r="C231" s="61"/>
      <c r="D231" s="17"/>
      <c r="E231" s="16"/>
      <c r="F231" s="16"/>
      <c r="G231" s="16"/>
      <c r="H231" s="16"/>
      <c r="I231" s="16"/>
      <c r="J231" s="479"/>
      <c r="K231" s="16"/>
      <c r="L231" s="16"/>
      <c r="M231" s="16"/>
      <c r="N231" s="16"/>
      <c r="O231" s="16"/>
      <c r="P231" s="41"/>
      <c r="Q231" s="453"/>
      <c r="R231" s="16"/>
      <c r="S231" s="60"/>
      <c r="T231" s="16"/>
      <c r="U231" s="41"/>
      <c r="V231" s="10"/>
      <c r="W231" s="34"/>
      <c r="X231" s="33"/>
      <c r="Y231" s="33"/>
      <c r="Z231" s="33"/>
      <c r="AA231" s="33"/>
      <c r="AB231" s="33"/>
      <c r="AC231" s="46"/>
      <c r="AD231" s="33"/>
      <c r="AE231" s="33"/>
      <c r="AF231" s="50"/>
      <c r="AG231" s="33"/>
      <c r="AH231" s="33"/>
      <c r="AI231" s="231"/>
      <c r="AJ231" s="50"/>
      <c r="AK231" s="10"/>
      <c r="AL231" s="23"/>
      <c r="AM231" s="24"/>
      <c r="AN231" s="24"/>
      <c r="AO231" s="24"/>
      <c r="AP231" s="24"/>
      <c r="AQ231" s="24"/>
      <c r="AR231" s="504"/>
      <c r="AS231" s="25"/>
      <c r="AT231" s="25"/>
      <c r="AU231" s="24"/>
      <c r="AV231" s="341"/>
      <c r="AW231" s="341"/>
      <c r="AX231" s="24"/>
      <c r="AY231" s="351"/>
      <c r="AZ231" s="10"/>
      <c r="BA231" s="66"/>
      <c r="BB231" s="67"/>
      <c r="BC231" s="533">
        <f>+AA229/BC229</f>
        <v>1.7295966545744343E-3</v>
      </c>
      <c r="BD231" s="67"/>
      <c r="BE231" s="67"/>
      <c r="BF231" s="67"/>
      <c r="BG231" s="156"/>
      <c r="BH231" s="67"/>
      <c r="BI231" s="183"/>
      <c r="BJ231" s="67"/>
      <c r="BK231" s="67"/>
      <c r="BL231" s="67"/>
      <c r="BM231" s="156"/>
      <c r="BN231" s="66"/>
      <c r="BO231" s="67"/>
      <c r="BP231" s="67"/>
      <c r="BQ231" s="67"/>
      <c r="BR231" s="478"/>
      <c r="BS231" s="67"/>
      <c r="BT231" s="86"/>
      <c r="BU231" s="183"/>
      <c r="BV231" s="1"/>
      <c r="BW231" s="61">
        <f t="shared" si="187"/>
        <v>222</v>
      </c>
    </row>
    <row r="232" spans="2:85" x14ac:dyDescent="0.3">
      <c r="B232" s="171">
        <f t="shared" si="161"/>
        <v>44132</v>
      </c>
      <c r="C232" s="61"/>
      <c r="D232" s="17"/>
      <c r="E232" s="16"/>
      <c r="F232" s="16"/>
      <c r="G232" s="16"/>
      <c r="H232" s="16"/>
      <c r="I232" s="16"/>
      <c r="J232" s="479"/>
      <c r="K232" s="16"/>
      <c r="L232" s="16"/>
      <c r="M232" s="16"/>
      <c r="N232" s="16"/>
      <c r="O232" s="16"/>
      <c r="P232" s="41"/>
      <c r="Q232" s="453"/>
      <c r="R232" s="16"/>
      <c r="S232" s="60"/>
      <c r="T232" s="16"/>
      <c r="U232" s="41"/>
      <c r="V232" s="10"/>
      <c r="W232" s="34"/>
      <c r="X232" s="33"/>
      <c r="Y232" s="33"/>
      <c r="Z232" s="33"/>
      <c r="AA232" s="33"/>
      <c r="AB232" s="33"/>
      <c r="AC232" s="46"/>
      <c r="AD232" s="33"/>
      <c r="AE232" s="33"/>
      <c r="AF232" s="50"/>
      <c r="AG232" s="33"/>
      <c r="AH232" s="33"/>
      <c r="AI232" s="231"/>
      <c r="AJ232" s="50"/>
      <c r="AK232" s="10"/>
      <c r="AL232" s="23"/>
      <c r="AM232" s="24"/>
      <c r="AN232" s="24"/>
      <c r="AO232" s="24"/>
      <c r="AP232" s="24"/>
      <c r="AQ232" s="24"/>
      <c r="AR232" s="504"/>
      <c r="AS232" s="25"/>
      <c r="AT232" s="25"/>
      <c r="AU232" s="24"/>
      <c r="AV232" s="341"/>
      <c r="AW232" s="341"/>
      <c r="AX232" s="24"/>
      <c r="AY232" s="351"/>
      <c r="AZ232" s="10"/>
      <c r="BA232" s="66"/>
      <c r="BB232" s="67"/>
      <c r="BC232" s="67"/>
      <c r="BD232" s="67"/>
      <c r="BE232" s="67"/>
      <c r="BF232" s="67"/>
      <c r="BG232" s="156"/>
      <c r="BH232" s="67"/>
      <c r="BI232" s="183"/>
      <c r="BJ232" s="67"/>
      <c r="BK232" s="67">
        <f>+BK229-BK194</f>
        <v>1782338</v>
      </c>
      <c r="BL232" s="67"/>
      <c r="BM232" s="156"/>
      <c r="BN232" s="66"/>
      <c r="BO232" s="67"/>
      <c r="BP232" s="67"/>
      <c r="BQ232" s="67"/>
      <c r="BR232" s="478"/>
      <c r="BS232" s="67"/>
      <c r="BT232" s="86"/>
      <c r="BU232" s="183"/>
      <c r="BV232" s="1"/>
      <c r="BW232" s="61">
        <f t="shared" si="187"/>
        <v>223</v>
      </c>
    </row>
    <row r="233" spans="2:85" x14ac:dyDescent="0.3">
      <c r="B233" s="171">
        <f t="shared" si="161"/>
        <v>44133</v>
      </c>
      <c r="C233" s="61"/>
      <c r="D233" s="17"/>
      <c r="E233" s="16"/>
      <c r="F233" s="16"/>
      <c r="G233" s="16"/>
      <c r="H233" s="16"/>
      <c r="I233" s="16"/>
      <c r="J233" s="479"/>
      <c r="K233" s="16"/>
      <c r="L233" s="16"/>
      <c r="M233" s="16"/>
      <c r="N233" s="16"/>
      <c r="O233" s="16"/>
      <c r="P233" s="41"/>
      <c r="Q233" s="453"/>
      <c r="R233" s="16"/>
      <c r="S233" s="60"/>
      <c r="T233" s="16"/>
      <c r="U233" s="41"/>
      <c r="V233" s="10"/>
      <c r="W233" s="34"/>
      <c r="X233" s="33"/>
      <c r="Y233" s="33"/>
      <c r="Z233" s="33"/>
      <c r="AA233" s="33"/>
      <c r="AB233" s="33"/>
      <c r="AC233" s="46"/>
      <c r="AD233" s="33"/>
      <c r="AE233" s="33"/>
      <c r="AF233" s="50"/>
      <c r="AG233" s="33"/>
      <c r="AH233" s="33"/>
      <c r="AI233" s="231"/>
      <c r="AJ233" s="50"/>
      <c r="AK233" s="10"/>
      <c r="AL233" s="23"/>
      <c r="AM233" s="24"/>
      <c r="AN233" s="24"/>
      <c r="AO233" s="24"/>
      <c r="AP233" s="24"/>
      <c r="AQ233" s="24"/>
      <c r="AR233" s="504"/>
      <c r="AS233" s="25"/>
      <c r="AT233" s="25"/>
      <c r="AU233" s="24"/>
      <c r="AV233" s="341"/>
      <c r="AW233" s="341"/>
      <c r="AX233" s="24"/>
      <c r="AY233" s="351"/>
      <c r="AZ233" s="10"/>
      <c r="BA233" s="66"/>
      <c r="BB233" s="67"/>
      <c r="BC233" s="67">
        <v>331000000</v>
      </c>
      <c r="BD233" s="67"/>
      <c r="BE233" s="67"/>
      <c r="BF233" s="67"/>
      <c r="BG233" s="156"/>
      <c r="BH233" s="67"/>
      <c r="BI233" s="183"/>
      <c r="BJ233" s="67"/>
      <c r="BK233" s="156">
        <f>+BK232/BK229</f>
        <v>0.23621370609322417</v>
      </c>
      <c r="BL233" s="67"/>
      <c r="BM233" s="156"/>
      <c r="BN233" s="66"/>
      <c r="BO233" s="67"/>
      <c r="BP233" s="67"/>
      <c r="BQ233" s="67"/>
      <c r="BR233" s="478"/>
      <c r="BS233" s="67"/>
      <c r="BT233" s="86"/>
      <c r="BU233" s="183"/>
      <c r="BV233" s="1"/>
      <c r="BW233" s="61">
        <f t="shared" si="187"/>
        <v>224</v>
      </c>
    </row>
    <row r="234" spans="2:85" x14ac:dyDescent="0.3">
      <c r="B234" s="171">
        <f t="shared" si="161"/>
        <v>44134</v>
      </c>
      <c r="C234" s="61"/>
      <c r="D234" s="17"/>
      <c r="E234" s="16"/>
      <c r="F234" s="16"/>
      <c r="G234" s="16"/>
      <c r="H234" s="16"/>
      <c r="I234" s="16"/>
      <c r="J234" s="479"/>
      <c r="K234" s="16"/>
      <c r="L234" s="16"/>
      <c r="M234" s="16"/>
      <c r="N234" s="16"/>
      <c r="O234" s="16"/>
      <c r="P234" s="41"/>
      <c r="Q234" s="453"/>
      <c r="R234" s="16"/>
      <c r="S234" s="60"/>
      <c r="T234" s="16"/>
      <c r="U234" s="41"/>
      <c r="V234" s="10"/>
      <c r="W234" s="34"/>
      <c r="X234" s="33"/>
      <c r="Y234" s="33"/>
      <c r="Z234" s="33"/>
      <c r="AA234" s="33"/>
      <c r="AB234" s="33"/>
      <c r="AC234" s="46"/>
      <c r="AD234" s="33"/>
      <c r="AE234" s="33"/>
      <c r="AF234" s="50"/>
      <c r="AG234" s="33"/>
      <c r="AH234" s="33"/>
      <c r="AI234" s="231"/>
      <c r="AJ234" s="50"/>
      <c r="AK234" s="10"/>
      <c r="AL234" s="23"/>
      <c r="AM234" s="24"/>
      <c r="AN234" s="24"/>
      <c r="AO234" s="24"/>
      <c r="AP234" s="24"/>
      <c r="AQ234" s="24"/>
      <c r="AR234" s="504"/>
      <c r="AS234" s="25"/>
      <c r="AT234" s="25"/>
      <c r="AU234" s="24"/>
      <c r="AV234" s="341"/>
      <c r="AW234" s="341"/>
      <c r="AX234" s="24"/>
      <c r="AY234" s="351"/>
      <c r="AZ234" s="10"/>
      <c r="BA234" s="66"/>
      <c r="BB234" s="67"/>
      <c r="BC234" s="156">
        <f>+BC229/BC233</f>
        <v>0.40250552265861028</v>
      </c>
      <c r="BD234" s="67"/>
      <c r="BE234" s="67"/>
      <c r="BF234" s="67"/>
      <c r="BG234" s="156"/>
      <c r="BH234" s="67"/>
      <c r="BI234" s="183"/>
      <c r="BJ234" s="67"/>
      <c r="BK234" s="67"/>
      <c r="BL234" s="67"/>
      <c r="BM234" s="156"/>
      <c r="BN234" s="66"/>
      <c r="BO234" s="67"/>
      <c r="BP234" s="67"/>
      <c r="BQ234" s="67"/>
      <c r="BR234" s="478"/>
      <c r="BS234" s="67"/>
      <c r="BT234" s="86"/>
      <c r="BU234" s="183"/>
      <c r="BV234" s="1"/>
      <c r="BW234" s="61">
        <f t="shared" si="187"/>
        <v>225</v>
      </c>
    </row>
    <row r="235" spans="2:85" x14ac:dyDescent="0.3">
      <c r="B235" s="171">
        <f t="shared" si="161"/>
        <v>44135</v>
      </c>
      <c r="C235" s="61"/>
      <c r="D235" s="17"/>
      <c r="E235" s="16"/>
      <c r="F235" s="16"/>
      <c r="G235" s="16"/>
      <c r="H235" s="16"/>
      <c r="I235" s="16"/>
      <c r="J235" s="479"/>
      <c r="K235" s="16"/>
      <c r="L235" s="16"/>
      <c r="M235" s="16"/>
      <c r="N235" s="16"/>
      <c r="O235" s="16"/>
      <c r="P235" s="41"/>
      <c r="Q235" s="453"/>
      <c r="R235" s="16"/>
      <c r="S235" s="60"/>
      <c r="T235" s="16"/>
      <c r="U235" s="41"/>
      <c r="V235" s="10"/>
      <c r="W235" s="34"/>
      <c r="X235" s="33"/>
      <c r="Y235" s="33"/>
      <c r="Z235" s="33"/>
      <c r="AA235" s="33"/>
      <c r="AB235" s="33"/>
      <c r="AC235" s="46"/>
      <c r="AD235" s="33"/>
      <c r="AE235" s="33"/>
      <c r="AF235" s="50"/>
      <c r="AG235" s="33"/>
      <c r="AH235" s="33"/>
      <c r="AI235" s="231"/>
      <c r="AJ235" s="50"/>
      <c r="AK235" s="10"/>
      <c r="AL235" s="23"/>
      <c r="AM235" s="24"/>
      <c r="AN235" s="24"/>
      <c r="AO235" s="24"/>
      <c r="AP235" s="24"/>
      <c r="AQ235" s="24"/>
      <c r="AR235" s="504"/>
      <c r="AS235" s="25"/>
      <c r="AT235" s="25"/>
      <c r="AU235" s="24"/>
      <c r="AV235" s="341"/>
      <c r="AW235" s="341"/>
      <c r="AX235" s="24"/>
      <c r="AY235" s="351"/>
      <c r="AZ235" s="10"/>
      <c r="BA235" s="66"/>
      <c r="BB235" s="67"/>
      <c r="BC235" s="67"/>
      <c r="BD235" s="67"/>
      <c r="BE235" s="67"/>
      <c r="BF235" s="67"/>
      <c r="BG235" s="156"/>
      <c r="BH235" s="67"/>
      <c r="BI235" s="183"/>
      <c r="BJ235" s="67"/>
      <c r="BK235" s="67"/>
      <c r="BL235" s="67"/>
      <c r="BM235" s="156"/>
      <c r="BN235" s="66"/>
      <c r="BO235" s="67"/>
      <c r="BP235" s="67"/>
      <c r="BQ235" s="67"/>
      <c r="BR235" s="478"/>
      <c r="BS235" s="67"/>
      <c r="BT235" s="86"/>
      <c r="BU235" s="183"/>
      <c r="BV235" s="1"/>
      <c r="BW235" s="61">
        <f t="shared" si="187"/>
        <v>226</v>
      </c>
    </row>
    <row r="236" spans="2:85" x14ac:dyDescent="0.3">
      <c r="B236" s="171">
        <f t="shared" si="161"/>
        <v>44136</v>
      </c>
      <c r="D236" s="18"/>
      <c r="E236" s="19"/>
      <c r="F236" s="19"/>
      <c r="G236" s="19"/>
      <c r="H236" s="19"/>
      <c r="I236" s="19"/>
      <c r="J236" s="39"/>
      <c r="K236" s="19"/>
      <c r="L236" s="19"/>
      <c r="M236" s="19"/>
      <c r="N236" s="19"/>
      <c r="O236" s="19"/>
      <c r="P236" s="43"/>
      <c r="Q236" s="18"/>
      <c r="R236" s="19"/>
      <c r="S236" s="19"/>
      <c r="T236" s="19"/>
      <c r="U236" s="43"/>
      <c r="V236" s="1"/>
      <c r="W236" s="35"/>
      <c r="X236" s="36"/>
      <c r="Y236" s="36"/>
      <c r="Z236" s="36"/>
      <c r="AA236" s="36"/>
      <c r="AB236" s="36"/>
      <c r="AC236" s="47"/>
      <c r="AD236" s="36"/>
      <c r="AE236" s="36"/>
      <c r="AF236" s="51"/>
      <c r="AG236" s="36"/>
      <c r="AH236" s="36"/>
      <c r="AI236" s="36"/>
      <c r="AJ236" s="51"/>
      <c r="AK236" s="1"/>
      <c r="AL236" s="26"/>
      <c r="AM236" s="27"/>
      <c r="AN236" s="27"/>
      <c r="AO236" s="27"/>
      <c r="AP236" s="27"/>
      <c r="AQ236" s="27"/>
      <c r="AR236" s="27"/>
      <c r="AS236" s="27"/>
      <c r="AT236" s="27"/>
      <c r="AU236" s="27"/>
      <c r="AV236" s="343"/>
      <c r="AW236" s="343"/>
      <c r="AX236" s="27"/>
      <c r="AY236" s="350"/>
      <c r="AZ236" s="1"/>
      <c r="BA236" s="68"/>
      <c r="BB236" s="69"/>
      <c r="BC236" s="69"/>
      <c r="BD236" s="69"/>
      <c r="BE236" s="69"/>
      <c r="BF236" s="69"/>
      <c r="BG236" s="69"/>
      <c r="BH236" s="69"/>
      <c r="BI236" s="184"/>
      <c r="BJ236" s="69"/>
      <c r="BK236" s="69"/>
      <c r="BL236" s="69"/>
      <c r="BM236" s="69"/>
      <c r="BN236" s="68"/>
      <c r="BO236" s="69"/>
      <c r="BP236" s="69"/>
      <c r="BQ236" s="69"/>
      <c r="BR236" s="71"/>
      <c r="BS236" s="69"/>
      <c r="BT236" s="69"/>
      <c r="BU236" s="184"/>
      <c r="BV236" s="1"/>
      <c r="BW236" s="61">
        <f t="shared" si="187"/>
        <v>227</v>
      </c>
    </row>
    <row r="237" spans="2:85" x14ac:dyDescent="0.3">
      <c r="B237" s="56"/>
      <c r="D237" s="1"/>
      <c r="E237" s="1"/>
      <c r="F237" s="1"/>
      <c r="G237" s="1"/>
      <c r="H237" s="59"/>
      <c r="I237" s="1"/>
      <c r="J237" s="5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59"/>
      <c r="X237" s="1"/>
      <c r="Y237" s="1"/>
      <c r="Z237" s="1"/>
      <c r="AA237" s="1"/>
      <c r="AB237" s="1"/>
      <c r="AC237" s="59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59"/>
      <c r="BD237" s="1"/>
      <c r="BE237" s="59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2:85" x14ac:dyDescent="0.3">
      <c r="B238" s="179" t="s">
        <v>82</v>
      </c>
      <c r="D238" s="56">
        <f>+D229</f>
        <v>60889</v>
      </c>
      <c r="E238" s="56">
        <f>+E193</f>
        <v>0</v>
      </c>
      <c r="F238" s="56">
        <f>+F193</f>
        <v>0</v>
      </c>
      <c r="G238" s="56">
        <f>+G193</f>
        <v>0</v>
      </c>
      <c r="H238" s="56">
        <f t="shared" ref="H238:BR238" si="194">+H229</f>
        <v>8865120</v>
      </c>
      <c r="I238" s="56">
        <f t="shared" si="194"/>
        <v>0</v>
      </c>
      <c r="J238" s="56">
        <f t="shared" si="194"/>
        <v>6.9158794220642323E-3</v>
      </c>
      <c r="K238" s="56">
        <f t="shared" si="194"/>
        <v>0</v>
      </c>
      <c r="L238" s="56">
        <f t="shared" si="194"/>
        <v>0</v>
      </c>
      <c r="M238" s="56">
        <f t="shared" si="194"/>
        <v>0</v>
      </c>
      <c r="N238" s="56">
        <f t="shared" si="194"/>
        <v>479115</v>
      </c>
      <c r="O238" s="56">
        <f t="shared" si="194"/>
        <v>40296</v>
      </c>
      <c r="P238" s="56">
        <f t="shared" si="194"/>
        <v>0</v>
      </c>
      <c r="Q238" s="56">
        <f t="shared" si="194"/>
        <v>0</v>
      </c>
      <c r="R238" s="56">
        <f t="shared" si="194"/>
        <v>0</v>
      </c>
      <c r="S238" s="56">
        <f t="shared" si="194"/>
        <v>0</v>
      </c>
      <c r="T238" s="56">
        <f t="shared" si="194"/>
        <v>0</v>
      </c>
      <c r="U238" s="56">
        <f t="shared" si="194"/>
        <v>0</v>
      </c>
      <c r="V238" s="56">
        <f t="shared" si="194"/>
        <v>121</v>
      </c>
      <c r="W238" s="56">
        <f t="shared" si="194"/>
        <v>442</v>
      </c>
      <c r="X238" s="56">
        <f t="shared" si="194"/>
        <v>0</v>
      </c>
      <c r="Y238" s="56">
        <f t="shared" si="194"/>
        <v>0</v>
      </c>
      <c r="Z238" s="56">
        <f t="shared" si="194"/>
        <v>0</v>
      </c>
      <c r="AA238" s="56">
        <f t="shared" si="194"/>
        <v>230433</v>
      </c>
      <c r="AB238" s="56">
        <f t="shared" si="194"/>
        <v>0</v>
      </c>
      <c r="AC238" s="56">
        <f t="shared" si="194"/>
        <v>2.5993218365910443E-2</v>
      </c>
      <c r="AD238" s="56">
        <f t="shared" si="194"/>
        <v>0</v>
      </c>
      <c r="AE238" s="56">
        <f t="shared" si="194"/>
        <v>1047.4227272727273</v>
      </c>
      <c r="AF238" s="56">
        <f t="shared" si="194"/>
        <v>0</v>
      </c>
      <c r="AG238" s="56">
        <f t="shared" si="194"/>
        <v>5721</v>
      </c>
      <c r="AH238" s="56">
        <f t="shared" si="194"/>
        <v>458820532.35152841</v>
      </c>
      <c r="AI238" s="56">
        <f t="shared" si="194"/>
        <v>0.14032290213274864</v>
      </c>
      <c r="AJ238" s="56">
        <f t="shared" si="194"/>
        <v>0</v>
      </c>
      <c r="AK238" s="56">
        <f t="shared" si="194"/>
        <v>0</v>
      </c>
      <c r="AL238" s="56">
        <f t="shared" si="194"/>
        <v>30887</v>
      </c>
      <c r="AM238" s="56">
        <f t="shared" si="194"/>
        <v>0</v>
      </c>
      <c r="AN238" s="56">
        <f t="shared" si="194"/>
        <v>0</v>
      </c>
      <c r="AO238" s="56">
        <f t="shared" si="194"/>
        <v>178263</v>
      </c>
      <c r="AP238" s="56">
        <f t="shared" si="194"/>
        <v>5772498</v>
      </c>
      <c r="AQ238" s="56">
        <f t="shared" si="194"/>
        <v>0</v>
      </c>
      <c r="AR238" s="56">
        <f t="shared" si="194"/>
        <v>5.379500631442987E-3</v>
      </c>
      <c r="AS238" s="56">
        <f t="shared" si="194"/>
        <v>0</v>
      </c>
      <c r="AT238" s="56">
        <f t="shared" si="194"/>
        <v>0</v>
      </c>
      <c r="AU238" s="56">
        <f t="shared" si="194"/>
        <v>0</v>
      </c>
      <c r="AV238" s="56">
        <f t="shared" si="194"/>
        <v>0.6511471925929937</v>
      </c>
      <c r="AW238" s="56">
        <f t="shared" si="194"/>
        <v>0</v>
      </c>
      <c r="AX238" s="56">
        <f t="shared" si="194"/>
        <v>26238.627272727274</v>
      </c>
      <c r="AY238" s="56">
        <f t="shared" si="194"/>
        <v>0</v>
      </c>
      <c r="AZ238" s="56">
        <f t="shared" si="194"/>
        <v>0</v>
      </c>
      <c r="BA238" s="56">
        <f t="shared" si="194"/>
        <v>1020835</v>
      </c>
      <c r="BB238" s="56">
        <f t="shared" si="194"/>
        <v>0</v>
      </c>
      <c r="BC238" s="56">
        <f t="shared" si="194"/>
        <v>133229328</v>
      </c>
      <c r="BD238" s="56">
        <f t="shared" si="194"/>
        <v>0</v>
      </c>
      <c r="BE238" s="56">
        <f t="shared" si="194"/>
        <v>60889</v>
      </c>
      <c r="BF238" s="56">
        <f t="shared" si="194"/>
        <v>0</v>
      </c>
      <c r="BG238" s="56">
        <f t="shared" si="194"/>
        <v>5.964626996527353E-2</v>
      </c>
      <c r="BH238" s="56">
        <f t="shared" si="194"/>
        <v>0</v>
      </c>
      <c r="BI238" s="56">
        <f t="shared" si="194"/>
        <v>0</v>
      </c>
      <c r="BJ238" s="56">
        <f t="shared" si="194"/>
        <v>0</v>
      </c>
      <c r="BK238" s="56">
        <f t="shared" si="194"/>
        <v>7545447</v>
      </c>
      <c r="BL238" s="56">
        <f t="shared" si="194"/>
        <v>0</v>
      </c>
      <c r="BM238" s="56">
        <f t="shared" si="194"/>
        <v>0</v>
      </c>
      <c r="BN238" s="56">
        <f t="shared" si="194"/>
        <v>605587.85454545449</v>
      </c>
      <c r="BO238" s="56">
        <f t="shared" si="194"/>
        <v>0</v>
      </c>
      <c r="BP238" s="56">
        <f t="shared" si="194"/>
        <v>8522473</v>
      </c>
      <c r="BQ238" s="56">
        <f t="shared" si="194"/>
        <v>0</v>
      </c>
      <c r="BR238" s="56">
        <f t="shared" si="194"/>
        <v>6.3968445446185837E-2</v>
      </c>
      <c r="BS238" s="56">
        <f>+BS215</f>
        <v>0</v>
      </c>
      <c r="BT238" s="10"/>
      <c r="BU238" s="10"/>
      <c r="BV238" s="10"/>
      <c r="BW238" s="160"/>
      <c r="BX238" s="10"/>
      <c r="BY238" s="62"/>
      <c r="BZ238" s="10"/>
      <c r="CA238" s="160"/>
      <c r="CB238" s="61"/>
      <c r="CC238" s="61"/>
      <c r="CD238" s="61"/>
      <c r="CE238" s="61"/>
      <c r="CF238" s="61"/>
      <c r="CG238" s="157"/>
    </row>
    <row r="239" spans="2:85" x14ac:dyDescent="0.3">
      <c r="B239" t="s">
        <v>118</v>
      </c>
      <c r="D239" s="56">
        <f>+D228-D238</f>
        <v>18560</v>
      </c>
      <c r="E239" s="56">
        <f>+E192-E238</f>
        <v>0</v>
      </c>
      <c r="F239" s="56">
        <f>+F192-F238</f>
        <v>0</v>
      </c>
      <c r="G239" s="56">
        <f>+G192-G238</f>
        <v>0</v>
      </c>
      <c r="H239" s="56">
        <f t="shared" ref="H239:BR239" si="195">+H228-H238</f>
        <v>-60889</v>
      </c>
      <c r="I239" s="56">
        <f t="shared" si="195"/>
        <v>0</v>
      </c>
      <c r="J239" s="56">
        <f t="shared" si="195"/>
        <v>2.1902506795245524E-3</v>
      </c>
      <c r="K239" s="56">
        <f t="shared" si="195"/>
        <v>0</v>
      </c>
      <c r="L239" s="56">
        <f t="shared" si="195"/>
        <v>0</v>
      </c>
      <c r="M239" s="56">
        <f t="shared" si="195"/>
        <v>0</v>
      </c>
      <c r="N239" s="56">
        <f t="shared" si="195"/>
        <v>-15948</v>
      </c>
      <c r="O239" s="56">
        <f t="shared" si="195"/>
        <v>-94.03196347031917</v>
      </c>
      <c r="P239" s="56">
        <f t="shared" si="195"/>
        <v>0</v>
      </c>
      <c r="Q239" s="56">
        <f t="shared" si="195"/>
        <v>0</v>
      </c>
      <c r="R239" s="56">
        <f t="shared" si="195"/>
        <v>0</v>
      </c>
      <c r="S239" s="56">
        <f t="shared" si="195"/>
        <v>0</v>
      </c>
      <c r="T239" s="56">
        <f t="shared" si="195"/>
        <v>0</v>
      </c>
      <c r="U239" s="56">
        <f t="shared" si="195"/>
        <v>0</v>
      </c>
      <c r="V239" s="56">
        <f t="shared" si="195"/>
        <v>-1</v>
      </c>
      <c r="W239" s="56">
        <f t="shared" si="195"/>
        <v>342</v>
      </c>
      <c r="X239" s="56">
        <f t="shared" si="195"/>
        <v>0</v>
      </c>
      <c r="Y239" s="56">
        <f t="shared" si="195"/>
        <v>0</v>
      </c>
      <c r="Z239" s="56">
        <f t="shared" si="195"/>
        <v>0</v>
      </c>
      <c r="AA239" s="56">
        <f t="shared" si="195"/>
        <v>-442</v>
      </c>
      <c r="AB239" s="56">
        <f t="shared" si="195"/>
        <v>0</v>
      </c>
      <c r="AC239" s="56">
        <f t="shared" si="195"/>
        <v>1.2956282872200048E-4</v>
      </c>
      <c r="AD239" s="56">
        <f t="shared" si="195"/>
        <v>0</v>
      </c>
      <c r="AE239" s="56">
        <f t="shared" si="195"/>
        <v>2.7644873391448073</v>
      </c>
      <c r="AF239" s="56">
        <f t="shared" si="195"/>
        <v>0</v>
      </c>
      <c r="AG239" s="56">
        <f t="shared" si="195"/>
        <v>6</v>
      </c>
      <c r="AH239" s="56">
        <f t="shared" si="195"/>
        <v>53629</v>
      </c>
      <c r="AI239" s="56">
        <f t="shared" si="195"/>
        <v>2.9885516338849227E-2</v>
      </c>
      <c r="AJ239" s="56">
        <f t="shared" si="195"/>
        <v>0</v>
      </c>
      <c r="AK239" s="56">
        <f t="shared" si="195"/>
        <v>0</v>
      </c>
      <c r="AL239" s="56">
        <f t="shared" si="195"/>
        <v>12563</v>
      </c>
      <c r="AM239" s="56">
        <f t="shared" si="195"/>
        <v>0</v>
      </c>
      <c r="AN239" s="56">
        <f t="shared" si="195"/>
        <v>0</v>
      </c>
      <c r="AO239" s="56">
        <f t="shared" si="195"/>
        <v>0</v>
      </c>
      <c r="AP239" s="56">
        <f t="shared" si="195"/>
        <v>-30887</v>
      </c>
      <c r="AQ239" s="56">
        <f t="shared" si="195"/>
        <v>0</v>
      </c>
      <c r="AR239" s="56">
        <f t="shared" si="195"/>
        <v>2.245766538087674E-3</v>
      </c>
      <c r="AS239" s="56">
        <f t="shared" si="195"/>
        <v>0</v>
      </c>
      <c r="AT239" s="56">
        <f t="shared" si="195"/>
        <v>0</v>
      </c>
      <c r="AU239" s="56">
        <f t="shared" si="195"/>
        <v>0</v>
      </c>
      <c r="AV239" s="56">
        <f t="shared" si="195"/>
        <v>9.9505583279158039E-4</v>
      </c>
      <c r="AW239" s="56">
        <f t="shared" si="195"/>
        <v>0</v>
      </c>
      <c r="AX239" s="56">
        <f t="shared" si="195"/>
        <v>-21.225446243253828</v>
      </c>
      <c r="AY239" s="56">
        <f t="shared" si="195"/>
        <v>0</v>
      </c>
      <c r="AZ239" s="56">
        <f t="shared" si="195"/>
        <v>0</v>
      </c>
      <c r="BA239" s="56">
        <f t="shared" si="195"/>
        <v>130945</v>
      </c>
      <c r="BB239" s="56">
        <f t="shared" si="195"/>
        <v>0</v>
      </c>
      <c r="BC239" s="56">
        <f t="shared" si="195"/>
        <v>-1020835</v>
      </c>
      <c r="BD239" s="56">
        <f t="shared" si="195"/>
        <v>0</v>
      </c>
      <c r="BE239" s="56">
        <f t="shared" si="195"/>
        <v>18560</v>
      </c>
      <c r="BF239" s="56">
        <f t="shared" si="195"/>
        <v>0</v>
      </c>
      <c r="BG239" s="56">
        <f t="shared" si="195"/>
        <v>9.333049001890345E-3</v>
      </c>
      <c r="BH239" s="56">
        <f t="shared" si="195"/>
        <v>0</v>
      </c>
      <c r="BI239" s="56">
        <f t="shared" si="195"/>
        <v>0</v>
      </c>
      <c r="BJ239" s="56">
        <f t="shared" si="195"/>
        <v>0</v>
      </c>
      <c r="BK239" s="56">
        <f t="shared" si="195"/>
        <v>-129622</v>
      </c>
      <c r="BL239" s="56">
        <f t="shared" si="195"/>
        <v>0</v>
      </c>
      <c r="BM239" s="56">
        <f t="shared" si="195"/>
        <v>0</v>
      </c>
      <c r="BN239" s="56">
        <f t="shared" si="195"/>
        <v>-1896.1056870069588</v>
      </c>
      <c r="BO239" s="56">
        <f t="shared" si="195"/>
        <v>0</v>
      </c>
      <c r="BP239" s="56">
        <f t="shared" si="195"/>
        <v>-60889</v>
      </c>
      <c r="BQ239" s="56">
        <f t="shared" si="195"/>
        <v>0</v>
      </c>
      <c r="BR239" s="56">
        <f t="shared" si="195"/>
        <v>3.3373256943927676E-5</v>
      </c>
      <c r="BS239" s="56">
        <f>+BS214-BS238</f>
        <v>0</v>
      </c>
      <c r="BT239" s="10"/>
      <c r="BU239" s="10"/>
      <c r="BV239" s="10"/>
      <c r="BW239" s="62"/>
      <c r="BX239" s="10"/>
      <c r="BY239" s="10"/>
      <c r="BZ239" s="10"/>
      <c r="CA239" s="62"/>
      <c r="CB239" s="61"/>
      <c r="CC239" s="61"/>
      <c r="CD239" s="61"/>
      <c r="CE239" s="61"/>
      <c r="CF239" s="61"/>
      <c r="CG239" s="117"/>
    </row>
    <row r="240" spans="2:85" x14ac:dyDescent="0.3">
      <c r="B240" s="56"/>
      <c r="D240" s="56"/>
      <c r="H240" s="56"/>
      <c r="O240" s="59"/>
      <c r="AA240" s="56"/>
      <c r="AC240" s="59"/>
      <c r="AE240" s="273"/>
      <c r="BA240" s="59"/>
      <c r="BG240" s="59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61"/>
      <c r="CC240" s="117"/>
      <c r="CD240" s="117"/>
      <c r="CE240" s="117"/>
      <c r="CF240" s="117"/>
    </row>
    <row r="241" spans="2:72" x14ac:dyDescent="0.3">
      <c r="B241" s="56"/>
      <c r="D241" s="56">
        <f>SUM(D144:D173)</f>
        <v>1455371</v>
      </c>
      <c r="H241" s="1"/>
      <c r="J241" t="s">
        <v>157</v>
      </c>
      <c r="O241" s="1">
        <f>SUM(W194:W203)</f>
        <v>6954</v>
      </c>
      <c r="W241" s="56">
        <f>SUM(W175:W203)</f>
        <v>23087</v>
      </c>
      <c r="AA241" s="576">
        <f>SUM(W190:W203)</f>
        <v>10600</v>
      </c>
      <c r="BA241" s="59"/>
      <c r="BC241" s="56"/>
      <c r="BE241" s="59"/>
      <c r="BJ241" s="61"/>
      <c r="BK241" s="10">
        <f>+BK187</f>
        <v>4928581</v>
      </c>
      <c r="BL241" s="61"/>
      <c r="BM241" s="61"/>
      <c r="BN241" s="61"/>
      <c r="BO241" s="61"/>
      <c r="BP241" s="61"/>
      <c r="BQ241" s="61"/>
      <c r="BR241" s="61"/>
      <c r="BS241" s="10"/>
      <c r="BT241" s="10"/>
    </row>
    <row r="242" spans="2:72" x14ac:dyDescent="0.3">
      <c r="B242" s="56"/>
      <c r="D242" s="56">
        <f>SUM(D178:D209)</f>
        <v>1293177</v>
      </c>
      <c r="H242" s="56">
        <f>SUM(D113:D143)</f>
        <v>1970617</v>
      </c>
      <c r="W242" s="56">
        <f>+W241/29</f>
        <v>796.10344827586209</v>
      </c>
      <c r="AA242" s="1">
        <f>+AA241/14</f>
        <v>757.14285714285711</v>
      </c>
      <c r="AD242" s="1"/>
      <c r="AE242" s="1"/>
      <c r="AF242" s="1"/>
      <c r="AG242" s="1">
        <f>+AG238/7</f>
        <v>817.28571428571433</v>
      </c>
      <c r="AH242" s="1"/>
      <c r="AI242" s="1"/>
      <c r="AJ242" s="1"/>
      <c r="AK242" s="1"/>
      <c r="AL242" s="1"/>
      <c r="AM242" s="1"/>
      <c r="AN242" s="1"/>
      <c r="AO242" s="1"/>
      <c r="BC242" s="1">
        <f>SUM(BA144:BA174)</f>
        <v>24131128</v>
      </c>
      <c r="BE242" s="59">
        <f>+D241/BC242</f>
        <v>6.0310939463749894E-2</v>
      </c>
      <c r="BG242" t="s">
        <v>168</v>
      </c>
      <c r="BH242" s="108"/>
      <c r="BI242" s="108"/>
      <c r="BJ242" s="108"/>
      <c r="BK242" s="537"/>
      <c r="BL242" s="108"/>
      <c r="BM242" s="108"/>
      <c r="BN242" s="108"/>
      <c r="BO242" s="108"/>
      <c r="BP242" s="108"/>
      <c r="BQ242" s="108"/>
      <c r="BR242" s="90"/>
      <c r="BS242" s="1"/>
      <c r="BT242" s="1"/>
    </row>
    <row r="243" spans="2:72" x14ac:dyDescent="0.3">
      <c r="D243" s="1"/>
      <c r="E243" s="123" t="s">
        <v>28</v>
      </c>
      <c r="F243" s="124"/>
      <c r="H243" s="124" t="s">
        <v>67</v>
      </c>
      <c r="I243" s="116"/>
      <c r="J243" s="116"/>
      <c r="K243" s="61"/>
      <c r="L243" s="10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BC243" s="56">
        <f>SUM(BA178:BA209)</f>
        <v>27490645</v>
      </c>
      <c r="BE243" s="59">
        <f>+D242/BC243</f>
        <v>4.7040620545643799E-2</v>
      </c>
      <c r="BG243" t="s">
        <v>166</v>
      </c>
      <c r="BH243" s="108"/>
      <c r="BI243" s="108"/>
      <c r="BJ243" s="108"/>
      <c r="BK243" s="537">
        <f>+BK194-BK238</f>
        <v>-1782338</v>
      </c>
      <c r="BL243" s="108"/>
      <c r="BM243" s="108"/>
      <c r="BN243" s="108"/>
      <c r="BO243" s="108"/>
      <c r="BP243" s="108"/>
      <c r="BQ243" s="108"/>
      <c r="BR243" s="90"/>
      <c r="BS243" s="1"/>
      <c r="BT243" s="1"/>
    </row>
    <row r="244" spans="2:72" x14ac:dyDescent="0.3">
      <c r="B244" s="56"/>
      <c r="D244" s="1"/>
      <c r="E244" s="123" t="s">
        <v>40</v>
      </c>
      <c r="F244" s="124"/>
      <c r="H244" s="124" t="s">
        <v>42</v>
      </c>
      <c r="I244" s="10"/>
      <c r="J244" s="10"/>
      <c r="K244" s="61"/>
      <c r="L244" s="10"/>
      <c r="AD244" s="1"/>
      <c r="AE244" s="1"/>
      <c r="AF244" s="1"/>
      <c r="AG244" s="1"/>
      <c r="AH244" s="1"/>
      <c r="AI244" s="1"/>
      <c r="AJ244" s="1"/>
      <c r="AK244" s="1"/>
      <c r="AL244" s="1" t="s">
        <v>17</v>
      </c>
      <c r="AM244" s="1"/>
      <c r="AN244" s="1"/>
      <c r="AO244" s="1"/>
      <c r="BC244" s="56">
        <f>SUM(BA113:BB143)</f>
        <v>24295686</v>
      </c>
      <c r="BE244" s="59">
        <f>+H242/BC244</f>
        <v>8.1109749278122867E-2</v>
      </c>
      <c r="BG244" t="s">
        <v>167</v>
      </c>
      <c r="BH244" s="109"/>
      <c r="BI244" s="109"/>
      <c r="BJ244" s="109"/>
      <c r="BK244" s="537">
        <f>+BK187-BK238</f>
        <v>-2616866</v>
      </c>
      <c r="BL244" s="109"/>
      <c r="BM244" s="109"/>
      <c r="BN244" s="109"/>
      <c r="BO244" s="109"/>
      <c r="BP244" s="109"/>
      <c r="BQ244" s="109"/>
      <c r="BR244" s="90"/>
      <c r="BS244" s="1"/>
      <c r="BT244" s="1"/>
    </row>
    <row r="245" spans="2:72" x14ac:dyDescent="0.3">
      <c r="B245" s="273"/>
      <c r="D245" s="1"/>
      <c r="E245" s="123" t="s">
        <v>47</v>
      </c>
      <c r="F245" s="124"/>
      <c r="H245" s="124" t="s">
        <v>57</v>
      </c>
      <c r="I245" s="10"/>
      <c r="J245" s="10"/>
      <c r="K245" s="61"/>
      <c r="L245" s="10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BC245" s="56"/>
      <c r="BE245" s="59"/>
      <c r="BH245" s="109"/>
      <c r="BI245" s="109"/>
      <c r="BJ245" s="109"/>
      <c r="BK245" s="537"/>
      <c r="BL245" s="109"/>
      <c r="BM245" s="109"/>
      <c r="BN245" s="109"/>
      <c r="BO245" s="109"/>
      <c r="BP245" s="109"/>
      <c r="BQ245" s="109"/>
      <c r="BR245" s="90"/>
      <c r="BS245" s="1"/>
      <c r="BT245" s="1"/>
    </row>
    <row r="246" spans="2:72" x14ac:dyDescent="0.3">
      <c r="D246" s="1"/>
      <c r="E246" s="123" t="s">
        <v>68</v>
      </c>
      <c r="F246" s="61"/>
      <c r="H246" s="93" t="s">
        <v>149</v>
      </c>
      <c r="I246" s="61"/>
      <c r="J246" s="61"/>
      <c r="K246" s="61"/>
      <c r="L246" s="6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BA246">
        <v>400000</v>
      </c>
      <c r="BH246" s="109"/>
      <c r="BI246" s="109"/>
      <c r="BJ246" s="109"/>
      <c r="BK246" s="540"/>
      <c r="BL246" s="109"/>
      <c r="BM246" s="109"/>
      <c r="BN246" s="109"/>
      <c r="BO246" s="109"/>
      <c r="BP246" s="109"/>
      <c r="BQ246" s="109"/>
      <c r="BR246" s="90"/>
      <c r="BS246" s="1"/>
      <c r="BT246" s="1"/>
    </row>
    <row r="247" spans="2:72" x14ac:dyDescent="0.3">
      <c r="E247" s="123" t="s">
        <v>150</v>
      </c>
      <c r="H247" s="93" t="s">
        <v>151</v>
      </c>
      <c r="AD247" s="1"/>
      <c r="AE247" s="1"/>
      <c r="AF247" s="1"/>
      <c r="AG247" s="1"/>
      <c r="AH247" s="1"/>
      <c r="AI247" s="1"/>
      <c r="BA247">
        <v>0.05</v>
      </c>
      <c r="BD247" s="90"/>
      <c r="BE247" s="90"/>
      <c r="BF247" s="90"/>
      <c r="BG247" s="90"/>
      <c r="BH247" s="90"/>
      <c r="BI247" s="90"/>
      <c r="BJ247" s="90"/>
      <c r="BK247" s="538"/>
      <c r="BL247" s="90"/>
      <c r="BM247" s="90"/>
      <c r="BN247" s="90"/>
      <c r="BO247" s="90"/>
      <c r="BP247" s="90"/>
      <c r="BQ247" s="90"/>
      <c r="BR247" s="90"/>
      <c r="BS247" s="1"/>
      <c r="BT247" s="1"/>
    </row>
    <row r="248" spans="2:72" x14ac:dyDescent="0.3">
      <c r="B248" s="56">
        <f>SUM(D144:D174)</f>
        <v>1493931</v>
      </c>
      <c r="AD248" s="1"/>
      <c r="AE248" s="1"/>
      <c r="AF248" s="1"/>
      <c r="AG248" s="1"/>
      <c r="AH248" s="1"/>
      <c r="AI248" s="1"/>
      <c r="BA248">
        <f>+BA246*BA247</f>
        <v>20000</v>
      </c>
      <c r="BK248" s="539"/>
    </row>
    <row r="249" spans="2:72" ht="15" thickBot="1" x14ac:dyDescent="0.35">
      <c r="D249" s="56"/>
      <c r="AD249" s="1"/>
      <c r="AE249" s="1"/>
      <c r="AF249" s="1"/>
      <c r="AG249" s="1"/>
      <c r="AH249" s="1"/>
      <c r="AI249" s="528"/>
      <c r="AJ249" s="529"/>
      <c r="AK249" s="529"/>
      <c r="AL249" s="529"/>
      <c r="AM249" s="529"/>
      <c r="AN249" s="529"/>
      <c r="AO249" s="529"/>
      <c r="AP249" s="529"/>
      <c r="AQ249" s="529"/>
      <c r="AR249" s="529"/>
      <c r="AS249" s="529"/>
      <c r="AT249" s="529"/>
      <c r="AU249" s="529"/>
      <c r="AV249" s="529"/>
      <c r="AW249" s="529"/>
      <c r="AX249" s="529"/>
      <c r="AZ249" s="118"/>
      <c r="BA249" s="118"/>
      <c r="BB249" s="118"/>
      <c r="BC249" s="118"/>
      <c r="BK249" s="1"/>
    </row>
    <row r="250" spans="2:72" x14ac:dyDescent="0.3">
      <c r="D250" s="575">
        <v>4900</v>
      </c>
      <c r="J250" s="530">
        <f>+BR125</f>
        <v>7.4075240343216359E-2</v>
      </c>
      <c r="V250" s="118"/>
      <c r="AA250" s="56"/>
      <c r="AD250" s="1"/>
      <c r="AE250" s="1"/>
      <c r="AF250" s="1"/>
      <c r="AG250" s="1"/>
      <c r="AH250" s="1"/>
      <c r="AI250" s="528"/>
      <c r="AJ250" s="507"/>
      <c r="AK250" s="508"/>
      <c r="AL250" s="508"/>
      <c r="AM250" s="508"/>
      <c r="AN250" s="508"/>
      <c r="AO250" s="508"/>
      <c r="AP250" s="508"/>
      <c r="AQ250" s="508"/>
      <c r="AR250" s="508"/>
      <c r="AS250" s="508"/>
      <c r="AT250" s="508"/>
      <c r="AU250" s="508"/>
      <c r="AV250" s="508"/>
      <c r="AW250" s="509"/>
      <c r="AX250" s="529"/>
      <c r="AZ250" s="118"/>
      <c r="BA250" s="118"/>
      <c r="BB250" s="118"/>
      <c r="BC250" s="118"/>
      <c r="BK250" s="56"/>
    </row>
    <row r="251" spans="2:72" x14ac:dyDescent="0.3">
      <c r="D251" s="1">
        <v>1000000</v>
      </c>
      <c r="J251" s="232">
        <f>+AC125</f>
        <v>3.9339809186854716E-2</v>
      </c>
      <c r="AD251" s="1"/>
      <c r="AE251" s="1"/>
      <c r="AF251" s="1"/>
      <c r="AG251" s="1"/>
      <c r="AH251" s="1"/>
      <c r="AI251" s="528"/>
      <c r="AJ251" s="510"/>
      <c r="AK251" s="607" t="s">
        <v>156</v>
      </c>
      <c r="AL251" s="607"/>
      <c r="AM251" s="607"/>
      <c r="AN251" s="607"/>
      <c r="AO251" s="607"/>
      <c r="AP251" s="607"/>
      <c r="AQ251" s="607"/>
      <c r="AR251" s="607"/>
      <c r="AS251" s="607"/>
      <c r="AT251" s="607"/>
      <c r="AU251" s="607"/>
      <c r="AV251" s="607"/>
      <c r="AW251" s="511"/>
      <c r="AX251" s="529"/>
      <c r="AZ251" s="118"/>
      <c r="BA251" s="118"/>
      <c r="BB251" s="118"/>
      <c r="BC251" s="118"/>
    </row>
    <row r="252" spans="2:72" ht="15.6" x14ac:dyDescent="0.3">
      <c r="J252" s="57">
        <f>+J250*J251</f>
        <v>2.9141058205725341E-3</v>
      </c>
      <c r="AD252" s="1"/>
      <c r="AE252" s="1"/>
      <c r="AF252" s="1"/>
      <c r="AG252" s="1"/>
      <c r="AH252" s="1"/>
      <c r="AI252" s="528"/>
      <c r="AJ252" s="510"/>
      <c r="AK252" s="607" t="s">
        <v>155</v>
      </c>
      <c r="AL252" s="607"/>
      <c r="AM252" s="607"/>
      <c r="AN252" s="607"/>
      <c r="AO252" s="516"/>
      <c r="AP252" s="517" t="s">
        <v>20</v>
      </c>
      <c r="AQ252" s="516"/>
      <c r="AR252" s="517" t="s">
        <v>4</v>
      </c>
      <c r="AS252" s="518"/>
      <c r="AT252" s="518"/>
      <c r="AU252" s="518"/>
      <c r="AV252" s="522" t="s">
        <v>10</v>
      </c>
      <c r="AW252" s="511"/>
      <c r="AX252" s="529"/>
      <c r="AZ252" s="118"/>
      <c r="BA252" s="118"/>
      <c r="BB252" s="118"/>
      <c r="BC252" s="118"/>
    </row>
    <row r="253" spans="2:72" ht="15.6" x14ac:dyDescent="0.3">
      <c r="AD253" s="1"/>
      <c r="AE253" s="1"/>
      <c r="AF253" s="1"/>
      <c r="AG253" s="1"/>
      <c r="AH253" s="1"/>
      <c r="AI253" s="528"/>
      <c r="AJ253" s="510"/>
      <c r="AK253" s="606" t="s">
        <v>152</v>
      </c>
      <c r="AL253" s="606"/>
      <c r="AM253" s="606"/>
      <c r="AN253" s="606"/>
      <c r="AO253" s="516"/>
      <c r="AP253" s="519">
        <f>+AH50</f>
        <v>898992</v>
      </c>
      <c r="AQ253" s="520"/>
      <c r="AR253" s="519">
        <f>+AH51</f>
        <v>55687</v>
      </c>
      <c r="AS253" s="521"/>
      <c r="AT253" s="521"/>
      <c r="AU253" s="521"/>
      <c r="AV253" s="535">
        <f>+AR253/AP253</f>
        <v>6.194382152455194E-2</v>
      </c>
      <c r="AW253" s="511"/>
      <c r="AX253" s="529"/>
      <c r="AZ253" s="118"/>
      <c r="BA253" s="118"/>
      <c r="BB253" s="118"/>
      <c r="BC253" s="118"/>
    </row>
    <row r="254" spans="2:72" ht="15.6" x14ac:dyDescent="0.3">
      <c r="D254" s="277">
        <f>+D250/D251</f>
        <v>4.8999999999999998E-3</v>
      </c>
      <c r="AD254" s="1"/>
      <c r="AE254" s="1"/>
      <c r="AF254" s="1"/>
      <c r="AG254" s="1"/>
      <c r="AH254" s="1"/>
      <c r="AI254" s="528"/>
      <c r="AJ254" s="510"/>
      <c r="AK254" s="589" t="s">
        <v>153</v>
      </c>
      <c r="AL254" s="590"/>
      <c r="AM254" s="590"/>
      <c r="AN254" s="590"/>
      <c r="AO254" s="65"/>
      <c r="AP254" s="512">
        <f>+AG83</f>
        <v>742147</v>
      </c>
      <c r="AQ254" s="65"/>
      <c r="AR254" s="512">
        <f>+AG84</f>
        <v>42339</v>
      </c>
      <c r="AS254" s="65"/>
      <c r="AT254" s="65"/>
      <c r="AU254" s="65"/>
      <c r="AV254" s="533">
        <f>+AR254/AP254</f>
        <v>5.7049344671608188E-2</v>
      </c>
      <c r="AW254" s="511"/>
      <c r="AX254" s="529"/>
      <c r="AZ254" s="118"/>
      <c r="BA254" s="118"/>
      <c r="BB254" s="118"/>
      <c r="BC254" s="118"/>
    </row>
    <row r="255" spans="2:72" ht="15.6" x14ac:dyDescent="0.3">
      <c r="AD255" s="1"/>
      <c r="AE255" s="1"/>
      <c r="AF255" s="1"/>
      <c r="AG255" s="1"/>
      <c r="AH255" s="1"/>
      <c r="AI255" s="528"/>
      <c r="AJ255" s="510"/>
      <c r="AK255" s="590" t="s">
        <v>154</v>
      </c>
      <c r="AL255" s="590"/>
      <c r="AM255" s="590"/>
      <c r="AN255" s="590"/>
      <c r="AO255" s="65"/>
      <c r="AP255" s="512">
        <f>+AH113</f>
        <v>869627</v>
      </c>
      <c r="AQ255" s="65"/>
      <c r="AR255" s="512">
        <f>+AH114</f>
        <v>21252</v>
      </c>
      <c r="AS255" s="65"/>
      <c r="AT255" s="65"/>
      <c r="AU255" s="65"/>
      <c r="AV255" s="533">
        <f>+AR255/AP255</f>
        <v>2.4438063675575852E-2</v>
      </c>
      <c r="AW255" s="511"/>
      <c r="AX255" s="529"/>
      <c r="AZ255" s="118"/>
      <c r="BA255" s="118"/>
      <c r="BB255" s="118"/>
      <c r="BC255" s="118"/>
    </row>
    <row r="256" spans="2:72" ht="15.6" x14ac:dyDescent="0.3">
      <c r="D256" s="471">
        <v>32000</v>
      </c>
      <c r="AD256" s="1"/>
      <c r="AE256" s="1"/>
      <c r="AF256" s="1"/>
      <c r="AG256" s="1"/>
      <c r="AH256" s="1"/>
      <c r="AI256" s="528"/>
      <c r="AJ256" s="510"/>
      <c r="AK256" s="590" t="s">
        <v>158</v>
      </c>
      <c r="AL256" s="590"/>
      <c r="AM256" s="590"/>
      <c r="AN256" s="590"/>
      <c r="AO256" s="65"/>
      <c r="AP256" s="512">
        <f>+AG259</f>
        <v>1970617</v>
      </c>
      <c r="AQ256" s="65"/>
      <c r="AR256" s="512">
        <f>+AG261</f>
        <v>25901</v>
      </c>
      <c r="AS256" s="65"/>
      <c r="AT256" s="65"/>
      <c r="AU256" s="65"/>
      <c r="AV256" s="533">
        <f>+AR256/AP256</f>
        <v>1.3143599187462607E-2</v>
      </c>
      <c r="AW256" s="511"/>
      <c r="AX256" s="529"/>
    </row>
    <row r="257" spans="2:87" ht="15" thickBot="1" x14ac:dyDescent="0.35">
      <c r="B257" s="470"/>
      <c r="D257" s="277"/>
      <c r="AD257" s="1"/>
      <c r="AE257" s="1"/>
      <c r="AF257" s="1"/>
      <c r="AG257" s="1"/>
      <c r="AH257" s="1"/>
      <c r="AI257" s="528"/>
      <c r="AJ257" s="510"/>
      <c r="AK257" s="523"/>
      <c r="AL257" s="523"/>
      <c r="AM257" s="523"/>
      <c r="AN257" s="523"/>
      <c r="AO257" s="524"/>
      <c r="AP257" s="525"/>
      <c r="AQ257" s="524"/>
      <c r="AR257" s="525"/>
      <c r="AS257" s="524"/>
      <c r="AT257" s="524"/>
      <c r="AU257" s="524"/>
      <c r="AV257" s="526"/>
      <c r="AW257" s="511"/>
      <c r="AX257" s="529"/>
    </row>
    <row r="258" spans="2:87" ht="15.6" x14ac:dyDescent="0.3">
      <c r="B258" s="470"/>
      <c r="D258" s="277"/>
      <c r="AD258" s="1"/>
      <c r="AE258" s="1"/>
      <c r="AF258" s="1"/>
      <c r="AG258" s="1"/>
      <c r="AH258" s="1"/>
      <c r="AI258" s="528"/>
      <c r="AJ258" s="510"/>
      <c r="AK258" s="606" t="s">
        <v>152</v>
      </c>
      <c r="AL258" s="606"/>
      <c r="AM258" s="606"/>
      <c r="AN258" s="606"/>
      <c r="AO258" s="65"/>
      <c r="AP258" s="512"/>
      <c r="AQ258" s="65"/>
      <c r="AR258" s="512">
        <f>+AR253</f>
        <v>55687</v>
      </c>
      <c r="AS258" s="65"/>
      <c r="AT258" s="65"/>
      <c r="AU258" s="65"/>
      <c r="AV258" s="156"/>
      <c r="AW258" s="511"/>
      <c r="AX258" s="529"/>
    </row>
    <row r="259" spans="2:87" ht="15.6" x14ac:dyDescent="0.3">
      <c r="B259" s="470"/>
      <c r="D259" s="277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10"/>
      <c r="AE259" s="10"/>
      <c r="AF259" s="1"/>
      <c r="AG259" s="33">
        <f>SUM(D113:D143)</f>
        <v>1970617</v>
      </c>
      <c r="AH259" s="1"/>
      <c r="AI259" s="528"/>
      <c r="AJ259" s="510"/>
      <c r="AK259" s="590" t="s">
        <v>158</v>
      </c>
      <c r="AL259" s="590"/>
      <c r="AM259" s="590"/>
      <c r="AN259" s="64"/>
      <c r="AO259" s="65"/>
      <c r="AP259" s="512"/>
      <c r="AQ259" s="65"/>
      <c r="AR259" s="512">
        <f>+AR256</f>
        <v>25901</v>
      </c>
      <c r="AS259" s="65"/>
      <c r="AT259" s="65"/>
      <c r="AU259" s="65"/>
      <c r="AV259" s="156"/>
      <c r="AW259" s="511"/>
      <c r="AX259" s="529"/>
    </row>
    <row r="260" spans="2:87" ht="15.6" x14ac:dyDescent="0.3">
      <c r="B260" s="470"/>
      <c r="D260" s="277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10"/>
      <c r="AE260" s="10"/>
      <c r="AF260" s="1"/>
      <c r="AG260" s="33">
        <f>SUM(W125:W138)</f>
        <v>12117</v>
      </c>
      <c r="AH260" s="1"/>
      <c r="AI260" s="528"/>
      <c r="AJ260" s="510"/>
      <c r="AK260" s="64"/>
      <c r="AL260" s="541" t="s">
        <v>3</v>
      </c>
      <c r="AM260" s="64"/>
      <c r="AN260" s="64"/>
      <c r="AO260" s="65"/>
      <c r="AP260" s="512"/>
      <c r="AQ260" s="65"/>
      <c r="AR260" s="512">
        <f>+AR258-AR259</f>
        <v>29786</v>
      </c>
      <c r="AS260" s="65"/>
      <c r="AT260" s="65"/>
      <c r="AU260" s="65"/>
      <c r="AV260" s="527">
        <f>+AR260/AR258</f>
        <v>0.53488246808052153</v>
      </c>
      <c r="AW260" s="511"/>
      <c r="AX260" s="529"/>
    </row>
    <row r="261" spans="2:87" ht="15" thickBot="1" x14ac:dyDescent="0.35">
      <c r="D261" s="470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10"/>
      <c r="AE261" s="10"/>
      <c r="AF261" s="1"/>
      <c r="AG261" s="33">
        <f>SUM(W113:W143)</f>
        <v>25901</v>
      </c>
      <c r="AH261" s="1"/>
      <c r="AI261" s="528"/>
      <c r="AJ261" s="513"/>
      <c r="AK261" s="514"/>
      <c r="AL261" s="514"/>
      <c r="AM261" s="514"/>
      <c r="AN261" s="514"/>
      <c r="AO261" s="514"/>
      <c r="AP261" s="514"/>
      <c r="AQ261" s="514"/>
      <c r="AR261" s="514"/>
      <c r="AS261" s="514"/>
      <c r="AT261" s="514"/>
      <c r="AU261" s="514"/>
      <c r="AV261" s="514"/>
      <c r="AW261" s="515"/>
      <c r="AX261" s="529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1"/>
      <c r="BT261" s="1"/>
      <c r="BU261" s="1"/>
      <c r="BV261" s="1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</row>
    <row r="262" spans="2:87" x14ac:dyDescent="0.3"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10"/>
      <c r="AE262" s="10"/>
      <c r="AF262" s="10"/>
      <c r="AG262" s="10"/>
      <c r="AH262" s="10"/>
      <c r="AI262" s="528"/>
      <c r="AJ262" s="529"/>
      <c r="AK262" s="529"/>
      <c r="AL262" s="529"/>
      <c r="AM262" s="529"/>
      <c r="AN262" s="529"/>
      <c r="AO262" s="529"/>
      <c r="AP262" s="529"/>
      <c r="AQ262" s="529"/>
      <c r="AR262" s="529"/>
      <c r="AS262" s="529"/>
      <c r="AT262" s="529"/>
      <c r="AU262" s="529"/>
      <c r="AV262" s="529"/>
      <c r="AW262" s="529"/>
      <c r="AX262" s="529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89"/>
      <c r="BX262" s="89"/>
      <c r="BY262" s="89"/>
      <c r="BZ262" s="89"/>
      <c r="CA262" s="121"/>
      <c r="CB262" s="1"/>
      <c r="CC262" s="1"/>
      <c r="CD262" s="1"/>
      <c r="CE262" s="1"/>
      <c r="CF262" s="1"/>
      <c r="CG262" s="1"/>
      <c r="CH262" s="1"/>
      <c r="CI262" s="1"/>
    </row>
    <row r="263" spans="2:87" x14ac:dyDescent="0.3">
      <c r="D263">
        <v>10</v>
      </c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10"/>
      <c r="AE263" s="10"/>
      <c r="AF263" s="10"/>
      <c r="AG263" s="10"/>
      <c r="AH263" s="10"/>
      <c r="AI263" s="10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89"/>
      <c r="BX263" s="89"/>
      <c r="BY263" s="89"/>
      <c r="BZ263" s="89"/>
      <c r="CA263" s="89"/>
      <c r="CB263" s="1"/>
      <c r="CC263" s="1"/>
      <c r="CD263" s="1"/>
      <c r="CE263" s="1"/>
      <c r="CF263" s="1"/>
      <c r="CG263" s="1"/>
      <c r="CH263" s="1"/>
      <c r="CI263" s="1"/>
    </row>
    <row r="264" spans="2:87" x14ac:dyDescent="0.3">
      <c r="D264" s="1">
        <v>77000000</v>
      </c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10"/>
      <c r="AE264" s="10"/>
      <c r="AF264" s="10"/>
      <c r="AG264" s="10"/>
      <c r="AH264" s="10"/>
      <c r="AI264" s="10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89"/>
      <c r="BX264" s="89"/>
      <c r="BY264" s="89"/>
      <c r="BZ264" s="89"/>
      <c r="CA264" s="89"/>
      <c r="CB264" s="1"/>
      <c r="CC264" s="1"/>
      <c r="CD264" s="1"/>
      <c r="CE264" s="1"/>
      <c r="CF264" s="1"/>
      <c r="CG264" s="1"/>
    </row>
    <row r="265" spans="2:87" x14ac:dyDescent="0.3">
      <c r="D265" s="57">
        <f>+D264/D267</f>
        <v>0.23262839879154079</v>
      </c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10"/>
      <c r="AE265" s="10"/>
      <c r="AF265" s="10"/>
      <c r="AG265" s="545"/>
      <c r="AH265" s="10"/>
      <c r="AI265" s="10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89"/>
      <c r="BX265" s="89"/>
      <c r="BY265" s="89"/>
      <c r="BZ265" s="89"/>
      <c r="CA265" s="89"/>
      <c r="CB265" s="1"/>
      <c r="CC265" s="1"/>
      <c r="CD265" s="1"/>
      <c r="CE265" s="1"/>
      <c r="CF265" s="1"/>
      <c r="CG265" s="1"/>
    </row>
    <row r="266" spans="2:87" x14ac:dyDescent="0.3"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10"/>
      <c r="AE266" s="10"/>
      <c r="AF266" s="551"/>
      <c r="AG266" s="570"/>
      <c r="AH266" s="551"/>
      <c r="AI266" s="551"/>
      <c r="AJ266" s="544"/>
      <c r="AK266" s="544"/>
      <c r="AL266" s="544"/>
      <c r="AM266" s="544"/>
      <c r="AN266" s="544"/>
      <c r="AO266" s="544"/>
      <c r="AP266" s="544"/>
      <c r="AQ266" s="544"/>
      <c r="AR266" s="544"/>
      <c r="AS266" s="544"/>
      <c r="AT266" s="544"/>
      <c r="AU266" s="544"/>
      <c r="AV266" s="544"/>
      <c r="AW266" s="544"/>
      <c r="AX266" s="544"/>
      <c r="AY266" s="544"/>
      <c r="AZ266" s="544"/>
      <c r="BA266" s="544"/>
      <c r="BB266" s="544"/>
      <c r="BC266" s="544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89"/>
      <c r="BX266" s="89"/>
      <c r="BY266" s="122"/>
      <c r="BZ266" s="89"/>
      <c r="CA266" s="89"/>
    </row>
    <row r="267" spans="2:87" x14ac:dyDescent="0.3">
      <c r="D267" s="1">
        <v>331000000</v>
      </c>
      <c r="H267">
        <v>0.13400000000000001</v>
      </c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10"/>
      <c r="AE267" s="10"/>
      <c r="AF267" s="551"/>
      <c r="AG267" s="571"/>
      <c r="AH267" s="551"/>
      <c r="AI267" s="551"/>
      <c r="AJ267" s="568"/>
      <c r="AK267" s="568"/>
      <c r="AL267" s="569"/>
      <c r="AM267" s="569"/>
      <c r="AN267" s="569"/>
      <c r="AO267" s="569"/>
      <c r="AP267" s="569"/>
      <c r="AQ267" s="569"/>
      <c r="AR267" s="569"/>
      <c r="AS267" s="569"/>
      <c r="AT267" s="569"/>
      <c r="AU267" s="569"/>
      <c r="AV267" s="569"/>
      <c r="AW267" s="569"/>
      <c r="AX267" s="569"/>
      <c r="AY267" s="569"/>
      <c r="AZ267" s="569"/>
      <c r="BA267" s="569"/>
      <c r="BB267" s="568"/>
      <c r="BC267" s="568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89"/>
      <c r="BX267" s="89"/>
      <c r="BY267" s="89"/>
      <c r="BZ267" s="89"/>
      <c r="CA267" s="89"/>
    </row>
    <row r="268" spans="2:87" x14ac:dyDescent="0.3">
      <c r="D268" s="1">
        <f>+D267*H267</f>
        <v>44354000</v>
      </c>
      <c r="H268" s="1">
        <f>+D268*0.001</f>
        <v>44354</v>
      </c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10"/>
      <c r="AE268" s="10"/>
      <c r="AF268" s="551"/>
      <c r="AG268" s="570"/>
      <c r="AH268" s="551"/>
      <c r="AI268" s="551"/>
      <c r="AJ268" s="568"/>
      <c r="AK268" s="568"/>
      <c r="AL268" s="150"/>
      <c r="AM268" s="150"/>
      <c r="AN268" s="150"/>
      <c r="AO268" s="150"/>
      <c r="AP268" s="150"/>
      <c r="AQ268" s="150"/>
      <c r="AR268" s="150"/>
      <c r="AS268" s="90"/>
      <c r="AT268" s="90"/>
      <c r="AU268" s="90"/>
      <c r="AV268" s="110"/>
      <c r="AW268" s="110"/>
      <c r="AX268" s="110"/>
      <c r="AY268" s="110"/>
      <c r="AZ268" s="568"/>
      <c r="BA268" s="568"/>
      <c r="BB268" s="574"/>
      <c r="BC268" s="568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89"/>
      <c r="BX268" s="89"/>
      <c r="BY268" s="89"/>
      <c r="BZ268" s="89"/>
      <c r="CA268" s="89"/>
    </row>
    <row r="269" spans="2:87" x14ac:dyDescent="0.3">
      <c r="D269" s="468">
        <v>7.1999999999999995E-2</v>
      </c>
      <c r="H269" s="1">
        <f>+AA204*H267</f>
        <v>28384.416000000001</v>
      </c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10"/>
      <c r="AE269" s="10"/>
      <c r="AF269" s="551"/>
      <c r="AG269" s="570">
        <v>44031</v>
      </c>
      <c r="AH269" s="551"/>
      <c r="AI269" s="551"/>
      <c r="AJ269" s="568"/>
      <c r="AK269" s="568"/>
      <c r="AL269" s="150"/>
      <c r="AM269" s="150"/>
      <c r="AN269" s="150"/>
      <c r="AO269" s="150"/>
      <c r="AP269" s="150"/>
      <c r="AQ269" s="150"/>
      <c r="AR269" s="150"/>
      <c r="AS269" s="150"/>
      <c r="AT269" s="110"/>
      <c r="AU269" s="90"/>
      <c r="AV269" s="110"/>
      <c r="AW269" s="110"/>
      <c r="AX269" s="110"/>
      <c r="AY269" s="110"/>
      <c r="AZ269" s="568"/>
      <c r="BA269" s="568"/>
      <c r="BB269" s="574"/>
      <c r="BC269" s="568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89"/>
      <c r="BX269" s="89"/>
      <c r="BY269" s="89"/>
      <c r="BZ269" s="89"/>
      <c r="CA269" s="89"/>
    </row>
    <row r="270" spans="2:87" x14ac:dyDescent="0.3"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10"/>
      <c r="AE270" s="10"/>
      <c r="AF270" s="551"/>
      <c r="AG270" s="570">
        <v>44038</v>
      </c>
      <c r="AH270" s="551"/>
      <c r="AI270" s="551"/>
      <c r="AJ270" s="568"/>
      <c r="AK270" s="568"/>
      <c r="AL270" s="90"/>
      <c r="AM270" s="90"/>
      <c r="AN270" s="151"/>
      <c r="AO270" s="151"/>
      <c r="AP270" s="151"/>
      <c r="AQ270" s="151"/>
      <c r="AR270" s="151"/>
      <c r="AS270" s="90"/>
      <c r="AT270" s="90"/>
      <c r="AU270" s="90"/>
      <c r="AV270" s="110"/>
      <c r="AW270" s="110"/>
      <c r="AX270" s="110"/>
      <c r="AY270" s="110"/>
      <c r="AZ270" s="568"/>
      <c r="BA270" s="568"/>
      <c r="BB270" s="574"/>
      <c r="BC270" s="568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89"/>
      <c r="BX270" s="89"/>
      <c r="BY270" s="89"/>
      <c r="BZ270" s="89"/>
      <c r="CA270" s="89"/>
    </row>
    <row r="271" spans="2:87" x14ac:dyDescent="0.3">
      <c r="D271" s="277">
        <v>4.2000000000000003E-2</v>
      </c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10"/>
      <c r="AE271" s="10"/>
      <c r="AF271" s="551"/>
      <c r="AG271" s="570">
        <v>44045</v>
      </c>
      <c r="AH271" s="551"/>
      <c r="AI271" s="551"/>
      <c r="AJ271" s="568"/>
      <c r="AK271" s="568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10"/>
      <c r="AW271" s="110"/>
      <c r="AX271" s="110"/>
      <c r="AY271" s="110"/>
      <c r="AZ271" s="568"/>
      <c r="BA271" s="568"/>
      <c r="BB271" s="574"/>
      <c r="BC271" s="568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2:87" x14ac:dyDescent="0.3">
      <c r="D272" s="575">
        <f>+D267*D269*D271</f>
        <v>1000944.0000000001</v>
      </c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10"/>
      <c r="AE272" s="10"/>
      <c r="AF272" s="551"/>
      <c r="AG272" s="570">
        <v>44052</v>
      </c>
      <c r="AH272" s="551"/>
      <c r="AI272" s="551"/>
      <c r="AJ272" s="568"/>
      <c r="AK272" s="568"/>
      <c r="AL272" s="90"/>
      <c r="AM272" s="90"/>
      <c r="AN272" s="151"/>
      <c r="AO272" s="151"/>
      <c r="AP272" s="151"/>
      <c r="AQ272" s="151"/>
      <c r="AR272" s="151"/>
      <c r="AS272" s="151"/>
      <c r="AT272" s="151"/>
      <c r="AU272" s="90"/>
      <c r="AV272" s="110"/>
      <c r="AW272" s="110"/>
      <c r="AX272" s="110"/>
      <c r="AY272" s="110"/>
      <c r="AZ272" s="568"/>
      <c r="BA272" s="568"/>
      <c r="BB272" s="574"/>
      <c r="BC272" s="568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2:79" x14ac:dyDescent="0.3"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10"/>
      <c r="AE273" s="10"/>
      <c r="AF273" s="551"/>
      <c r="AG273" s="570"/>
      <c r="AH273" s="551"/>
      <c r="AI273" s="551"/>
      <c r="AJ273" s="568"/>
      <c r="AK273" s="568"/>
      <c r="AL273" s="90"/>
      <c r="AM273" s="90"/>
      <c r="AN273" s="151"/>
      <c r="AO273" s="151"/>
      <c r="AP273" s="151"/>
      <c r="AQ273" s="151"/>
      <c r="AR273" s="151"/>
      <c r="AS273" s="151"/>
      <c r="AT273" s="151"/>
      <c r="AU273" s="90"/>
      <c r="AV273" s="110"/>
      <c r="AW273" s="110"/>
      <c r="AX273" s="110"/>
      <c r="AY273" s="110"/>
      <c r="AZ273" s="568"/>
      <c r="BA273" s="568"/>
      <c r="BB273" s="574"/>
      <c r="BC273" s="568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2:79" x14ac:dyDescent="0.3"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10"/>
      <c r="AE274" s="10"/>
      <c r="AF274" s="551"/>
      <c r="AG274" s="570"/>
      <c r="AH274" s="551"/>
      <c r="AI274" s="551"/>
      <c r="AJ274" s="568"/>
      <c r="AK274" s="568"/>
      <c r="AL274" s="90"/>
      <c r="AM274" s="90"/>
      <c r="AN274" s="151"/>
      <c r="AO274" s="151"/>
      <c r="AP274" s="151"/>
      <c r="AQ274" s="151"/>
      <c r="AR274" s="151"/>
      <c r="AS274" s="151"/>
      <c r="AT274" s="151"/>
      <c r="AU274" s="90"/>
      <c r="AV274" s="110"/>
      <c r="AW274" s="110"/>
      <c r="AX274" s="110"/>
      <c r="AY274" s="110"/>
      <c r="AZ274" s="568"/>
      <c r="BA274" s="568"/>
      <c r="BB274" s="574"/>
      <c r="BC274" s="568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2:79" x14ac:dyDescent="0.3"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10"/>
      <c r="AE275" s="10"/>
      <c r="AF275" s="551"/>
      <c r="AG275" s="572"/>
      <c r="AH275" s="551"/>
      <c r="AI275" s="551"/>
      <c r="AJ275" s="568"/>
      <c r="AK275" s="568"/>
      <c r="AL275" s="90"/>
      <c r="AM275" s="90"/>
      <c r="AN275" s="151"/>
      <c r="AO275" s="151"/>
      <c r="AP275" s="151"/>
      <c r="AQ275" s="151"/>
      <c r="AR275" s="151"/>
      <c r="AS275" s="151"/>
      <c r="AT275" s="151"/>
      <c r="AU275" s="90"/>
      <c r="AV275" s="110"/>
      <c r="AW275" s="110"/>
      <c r="AX275" s="110"/>
      <c r="AY275" s="110"/>
      <c r="AZ275" s="568"/>
      <c r="BA275" s="568"/>
      <c r="BB275" s="574"/>
      <c r="BC275" s="568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2:79" x14ac:dyDescent="0.3"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10"/>
      <c r="AE276" s="10"/>
      <c r="AF276" s="551"/>
      <c r="AG276" s="551"/>
      <c r="AH276" s="551"/>
      <c r="AI276" s="551"/>
      <c r="AJ276" s="568"/>
      <c r="AK276" s="568"/>
      <c r="AL276" s="90"/>
      <c r="AM276" s="90"/>
      <c r="AN276" s="151"/>
      <c r="AO276" s="151"/>
      <c r="AP276" s="151"/>
      <c r="AQ276" s="151"/>
      <c r="AR276" s="151"/>
      <c r="AS276" s="151"/>
      <c r="AT276" s="151"/>
      <c r="AU276" s="90"/>
      <c r="AV276" s="110"/>
      <c r="AW276" s="110"/>
      <c r="AX276" s="110"/>
      <c r="AY276" s="110"/>
      <c r="AZ276" s="568"/>
      <c r="BA276" s="568"/>
      <c r="BB276" s="574"/>
      <c r="BC276" s="568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2:79" x14ac:dyDescent="0.3"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10"/>
      <c r="AE277" s="10"/>
      <c r="AF277" s="551"/>
      <c r="AG277" s="551"/>
      <c r="AH277" s="551"/>
      <c r="AI277" s="551"/>
      <c r="AJ277" s="568"/>
      <c r="AK277" s="568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90"/>
      <c r="AW277" s="90"/>
      <c r="AX277" s="90"/>
      <c r="AY277" s="90"/>
      <c r="AZ277" s="568"/>
      <c r="BA277" s="574"/>
      <c r="BB277" s="574"/>
      <c r="BC277" s="568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2:79" x14ac:dyDescent="0.3">
      <c r="AD278" s="10"/>
      <c r="AE278" s="10"/>
      <c r="AF278" s="551"/>
      <c r="AG278" s="551"/>
      <c r="AH278" s="551"/>
      <c r="AI278" s="551"/>
      <c r="AJ278" s="568"/>
      <c r="AK278" s="568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90"/>
      <c r="AW278" s="90"/>
      <c r="AX278" s="90"/>
      <c r="AY278" s="90"/>
      <c r="AZ278" s="568"/>
      <c r="BA278" s="574"/>
      <c r="BB278" s="574"/>
      <c r="BC278" s="568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2:79" ht="15" thickBot="1" x14ac:dyDescent="0.35">
      <c r="B279" s="544"/>
      <c r="C279" s="544"/>
      <c r="D279" s="544"/>
      <c r="E279" s="544"/>
      <c r="F279" s="544"/>
      <c r="G279" s="544"/>
      <c r="H279" s="544"/>
      <c r="I279" s="544"/>
      <c r="J279" s="544"/>
      <c r="K279" s="544"/>
      <c r="L279" s="544"/>
      <c r="M279" s="544"/>
      <c r="N279" s="544"/>
      <c r="O279" s="544"/>
      <c r="P279" s="544"/>
      <c r="Q279" s="544"/>
      <c r="R279" s="544"/>
      <c r="S279" s="544"/>
      <c r="T279" s="544"/>
      <c r="U279" s="544"/>
      <c r="V279" s="544"/>
      <c r="AD279" s="10"/>
      <c r="AE279" s="10"/>
      <c r="AF279" s="551"/>
      <c r="AG279" s="551"/>
      <c r="AH279" s="551"/>
      <c r="AI279" s="551"/>
      <c r="AJ279" s="568"/>
      <c r="AK279" s="568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90"/>
      <c r="AW279" s="90"/>
      <c r="AX279" s="90"/>
      <c r="AY279" s="90"/>
      <c r="AZ279" s="568"/>
      <c r="BA279" s="574"/>
      <c r="BB279" s="574"/>
      <c r="BC279" s="568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2:79" x14ac:dyDescent="0.3">
      <c r="B280" s="544"/>
      <c r="C280" s="554"/>
      <c r="D280" s="400"/>
      <c r="E280" s="400"/>
      <c r="F280" s="400"/>
      <c r="G280" s="400"/>
      <c r="H280" s="400"/>
      <c r="I280" s="400"/>
      <c r="J280" s="400"/>
      <c r="K280" s="400"/>
      <c r="L280" s="400"/>
      <c r="M280" s="400"/>
      <c r="N280" s="400"/>
      <c r="O280" s="400"/>
      <c r="P280" s="555"/>
      <c r="V280" s="544"/>
      <c r="AD280" s="10"/>
      <c r="AE280" s="10"/>
      <c r="AF280" s="551"/>
      <c r="AG280" s="551"/>
      <c r="AH280" s="551"/>
      <c r="AI280" s="551"/>
      <c r="AJ280" s="568"/>
      <c r="AK280" s="568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90"/>
      <c r="AW280" s="90"/>
      <c r="AX280" s="90"/>
      <c r="AY280" s="90"/>
      <c r="AZ280" s="568"/>
      <c r="BA280" s="574"/>
      <c r="BB280" s="574"/>
      <c r="BC280" s="568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2:79" x14ac:dyDescent="0.3">
      <c r="B281" s="544"/>
      <c r="C281" s="556"/>
      <c r="D281" s="546" t="s">
        <v>164</v>
      </c>
      <c r="E281" s="430"/>
      <c r="F281" s="430"/>
      <c r="G281" s="430"/>
      <c r="H281" s="605" t="s">
        <v>20</v>
      </c>
      <c r="I281" s="605"/>
      <c r="J281" s="605"/>
      <c r="K281" s="430"/>
      <c r="L281" s="430"/>
      <c r="M281" s="430"/>
      <c r="N281" s="430"/>
      <c r="O281" s="430"/>
      <c r="P281" s="557"/>
      <c r="V281" s="544"/>
      <c r="AD281" s="10"/>
      <c r="AE281" s="10"/>
      <c r="AF281" s="551"/>
      <c r="AG281" s="551"/>
      <c r="AH281" s="551"/>
      <c r="AI281" s="551"/>
      <c r="AJ281" s="568"/>
      <c r="AK281" s="568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90"/>
      <c r="AW281" s="90"/>
      <c r="AX281" s="90"/>
      <c r="AY281" s="90"/>
      <c r="AZ281" s="568"/>
      <c r="BA281" s="574"/>
      <c r="BB281" s="574"/>
      <c r="BC281" s="568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2:79" x14ac:dyDescent="0.3">
      <c r="B282" s="544"/>
      <c r="C282" s="556"/>
      <c r="D282" s="558" t="s">
        <v>165</v>
      </c>
      <c r="E282" s="430"/>
      <c r="F282" s="430"/>
      <c r="G282" s="430"/>
      <c r="H282" s="559" t="s">
        <v>162</v>
      </c>
      <c r="I282" s="546"/>
      <c r="J282" s="560" t="s">
        <v>163</v>
      </c>
      <c r="K282" s="546"/>
      <c r="L282" s="546"/>
      <c r="M282" s="546"/>
      <c r="N282" s="546"/>
      <c r="O282" s="561" t="s">
        <v>3</v>
      </c>
      <c r="P282" s="557"/>
      <c r="V282" s="544"/>
      <c r="AD282" s="10"/>
      <c r="AE282" s="10"/>
      <c r="AF282" s="551"/>
      <c r="AG282" s="551"/>
      <c r="AH282" s="551"/>
      <c r="AI282" s="551"/>
      <c r="AJ282" s="568"/>
      <c r="AK282" s="568"/>
      <c r="AL282" s="573"/>
      <c r="AM282" s="573"/>
      <c r="AN282" s="573"/>
      <c r="AO282" s="573"/>
      <c r="AP282" s="573"/>
      <c r="AQ282" s="573"/>
      <c r="AR282" s="573"/>
      <c r="AS282" s="573"/>
      <c r="AT282" s="573"/>
      <c r="AU282" s="573"/>
      <c r="AV282" s="568"/>
      <c r="AW282" s="568"/>
      <c r="AX282" s="568"/>
      <c r="AY282" s="568"/>
      <c r="AZ282" s="568"/>
      <c r="BA282" s="574"/>
      <c r="BB282" s="574"/>
      <c r="BC282" s="568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2:79" x14ac:dyDescent="0.3">
      <c r="B283" s="544"/>
      <c r="C283" s="556"/>
      <c r="D283" s="547" t="s">
        <v>161</v>
      </c>
      <c r="E283" s="15"/>
      <c r="F283" s="15"/>
      <c r="G283" s="15"/>
      <c r="H283" s="562">
        <f>SUM(D133:D139)</f>
        <v>471981</v>
      </c>
      <c r="I283" s="15"/>
      <c r="J283" s="16">
        <f>+H283/7</f>
        <v>67425.857142857145</v>
      </c>
      <c r="K283" s="15"/>
      <c r="L283" s="15"/>
      <c r="M283" s="15"/>
      <c r="N283" s="15"/>
      <c r="O283" s="15"/>
      <c r="P283" s="557"/>
      <c r="V283" s="544"/>
      <c r="AD283" s="10"/>
      <c r="AE283" s="10"/>
      <c r="AF283" s="551"/>
      <c r="AG283" s="551"/>
      <c r="AH283" s="551"/>
      <c r="AI283" s="551"/>
      <c r="AJ283" s="568"/>
      <c r="AK283" s="568"/>
      <c r="AL283" s="573"/>
      <c r="AM283" s="573"/>
      <c r="AN283" s="573"/>
      <c r="AO283" s="573"/>
      <c r="AP283" s="573"/>
      <c r="AQ283" s="573"/>
      <c r="AR283" s="573"/>
      <c r="AS283" s="573"/>
      <c r="AT283" s="573"/>
      <c r="AU283" s="573"/>
      <c r="AV283" s="573"/>
      <c r="AW283" s="573"/>
      <c r="AX283" s="573"/>
      <c r="AY283" s="573"/>
      <c r="AZ283" s="568"/>
      <c r="BA283" s="568"/>
      <c r="BB283" s="574"/>
      <c r="BC283" s="568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2:79" x14ac:dyDescent="0.3">
      <c r="B284" s="544"/>
      <c r="C284" s="556"/>
      <c r="D284" s="547" t="s">
        <v>160</v>
      </c>
      <c r="E284" s="15"/>
      <c r="F284" s="15"/>
      <c r="G284" s="15"/>
      <c r="H284" s="16">
        <f>SUM(D140:D146)</f>
        <v>427527</v>
      </c>
      <c r="I284" s="15"/>
      <c r="J284" s="16">
        <f>+H284/7</f>
        <v>61075.285714285717</v>
      </c>
      <c r="K284" s="15"/>
      <c r="L284" s="15"/>
      <c r="M284" s="15"/>
      <c r="N284" s="15"/>
      <c r="O284" s="15"/>
      <c r="P284" s="557"/>
      <c r="V284" s="544"/>
      <c r="AJ284" s="110"/>
      <c r="AK284" s="110"/>
      <c r="AL284" s="110"/>
      <c r="AM284" s="110"/>
      <c r="AN284" s="110"/>
      <c r="AO284" s="110"/>
      <c r="AP284" s="110"/>
      <c r="AQ284" s="110"/>
      <c r="AR284" s="110"/>
      <c r="AS284" s="110"/>
      <c r="AT284" s="90"/>
      <c r="AU284" s="110"/>
      <c r="AV284" s="152"/>
      <c r="AW284" s="152"/>
      <c r="AX284" s="152"/>
      <c r="AY284" s="152"/>
      <c r="AZ284" s="110"/>
      <c r="BA284" s="110"/>
      <c r="BB284" s="110"/>
      <c r="BC284" s="110"/>
    </row>
    <row r="285" spans="2:79" x14ac:dyDescent="0.3">
      <c r="B285" s="550"/>
      <c r="C285" s="556"/>
      <c r="D285" s="547" t="s">
        <v>159</v>
      </c>
      <c r="E285" s="15"/>
      <c r="F285" s="15"/>
      <c r="G285" s="15"/>
      <c r="H285" s="16">
        <f>SUM(D147:D153)</f>
        <v>383516</v>
      </c>
      <c r="I285" s="15"/>
      <c r="J285" s="16">
        <f>+H285/7</f>
        <v>54788</v>
      </c>
      <c r="K285" s="15"/>
      <c r="L285" s="15"/>
      <c r="M285" s="15"/>
      <c r="N285" s="15"/>
      <c r="O285" s="562">
        <f>+H283-H285</f>
        <v>88465</v>
      </c>
      <c r="P285" s="557"/>
      <c r="V285" s="544"/>
      <c r="AA285">
        <f>+O285/7</f>
        <v>12637.857142857143</v>
      </c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0"/>
      <c r="AU285" s="110"/>
      <c r="AV285" s="90"/>
      <c r="AW285" s="90"/>
      <c r="AX285" s="90"/>
      <c r="AY285" s="90"/>
      <c r="AZ285" s="110"/>
      <c r="BA285" s="153"/>
      <c r="BB285" s="110"/>
      <c r="BC285" s="110"/>
    </row>
    <row r="286" spans="2:79" x14ac:dyDescent="0.3">
      <c r="B286" s="551"/>
      <c r="C286" s="556"/>
      <c r="D286" s="563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60">
        <f>+O285/H283</f>
        <v>0.18743339244588236</v>
      </c>
      <c r="P286" s="557"/>
      <c r="V286" s="544"/>
      <c r="X286" s="61"/>
      <c r="Y286" s="61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90">
        <v>480454</v>
      </c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</row>
    <row r="287" spans="2:79" ht="15" thickBot="1" x14ac:dyDescent="0.35">
      <c r="B287" s="551"/>
      <c r="C287" s="564"/>
      <c r="D287" s="565"/>
      <c r="E287" s="565"/>
      <c r="F287" s="565"/>
      <c r="G287" s="565"/>
      <c r="H287" s="565"/>
      <c r="I287" s="565"/>
      <c r="J287" s="566"/>
      <c r="K287" s="565"/>
      <c r="L287" s="565"/>
      <c r="M287" s="565"/>
      <c r="N287" s="565"/>
      <c r="O287" s="565"/>
      <c r="P287" s="567"/>
      <c r="V287" s="544"/>
      <c r="X287" s="61"/>
      <c r="Y287" s="61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52">
        <f>+N201</f>
        <v>290088</v>
      </c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</row>
    <row r="288" spans="2:79" x14ac:dyDescent="0.3">
      <c r="B288" s="551"/>
      <c r="C288" s="544"/>
      <c r="D288" s="552"/>
      <c r="E288" s="544"/>
      <c r="F288" s="544"/>
      <c r="G288" s="544"/>
      <c r="H288" s="553"/>
      <c r="I288" s="544"/>
      <c r="J288" s="544"/>
      <c r="K288" s="544"/>
      <c r="L288" s="544"/>
      <c r="M288" s="544"/>
      <c r="N288" s="544"/>
      <c r="O288" s="544"/>
      <c r="P288" s="544"/>
      <c r="Q288" s="544"/>
      <c r="R288" s="544"/>
      <c r="S288" s="544"/>
      <c r="T288" s="544"/>
      <c r="U288" s="544"/>
      <c r="V288" s="544"/>
      <c r="X288" s="61"/>
      <c r="Y288" s="61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52">
        <f>+AP286-AP287</f>
        <v>190366</v>
      </c>
      <c r="AQ288" s="110"/>
      <c r="AR288" s="110"/>
    </row>
    <row r="289" spans="2:61" x14ac:dyDescent="0.3">
      <c r="B289" s="1"/>
      <c r="D289" s="55"/>
      <c r="X289" s="61"/>
      <c r="Y289" s="61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96">
        <f>+AP288/AP286</f>
        <v>0.3962210742339537</v>
      </c>
      <c r="AQ289" s="110"/>
      <c r="AR289" s="110"/>
    </row>
    <row r="290" spans="2:61" x14ac:dyDescent="0.3">
      <c r="B290" s="55"/>
      <c r="D290" s="55"/>
      <c r="J290" s="56">
        <f>+J283-J285</f>
        <v>12637.857142857145</v>
      </c>
      <c r="X290" s="61"/>
      <c r="Y290" s="61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</row>
    <row r="291" spans="2:61" x14ac:dyDescent="0.3">
      <c r="B291" s="57"/>
      <c r="D291" s="55"/>
      <c r="X291" s="61"/>
      <c r="Y291" s="61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</row>
    <row r="292" spans="2:61" x14ac:dyDescent="0.3">
      <c r="B292" s="1"/>
      <c r="D292" s="55"/>
      <c r="X292" s="61"/>
      <c r="Y292" s="61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</row>
    <row r="293" spans="2:61" x14ac:dyDescent="0.3">
      <c r="B293" s="1"/>
      <c r="D293" s="55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</row>
    <row r="294" spans="2:61" x14ac:dyDescent="0.3">
      <c r="B294" s="1"/>
      <c r="D294" s="55"/>
      <c r="AT294" s="544"/>
      <c r="AU294" s="544"/>
      <c r="AV294" s="544"/>
      <c r="AW294" s="544"/>
      <c r="AX294" s="544"/>
      <c r="AY294" s="544"/>
      <c r="AZ294" s="544"/>
      <c r="BA294" s="544"/>
      <c r="BB294" s="544"/>
      <c r="BC294" s="544"/>
      <c r="BD294" s="544"/>
      <c r="BE294" s="544"/>
      <c r="BF294" s="544"/>
      <c r="BG294" s="544"/>
      <c r="BH294" s="544"/>
      <c r="BI294" s="544"/>
    </row>
    <row r="295" spans="2:61" ht="15.6" x14ac:dyDescent="0.3">
      <c r="B295" s="1"/>
      <c r="D295" s="55"/>
      <c r="AT295" s="544"/>
      <c r="AU295" s="578"/>
      <c r="AV295" s="579"/>
      <c r="AW295" s="579"/>
      <c r="AX295" s="579"/>
      <c r="AY295" s="579"/>
      <c r="AZ295" s="579"/>
      <c r="BA295" s="579"/>
      <c r="BB295" s="579"/>
      <c r="BC295" s="579"/>
      <c r="BD295" s="579"/>
      <c r="BE295" s="579" t="s">
        <v>174</v>
      </c>
      <c r="BF295" s="579"/>
      <c r="BG295" s="579" t="s">
        <v>2</v>
      </c>
      <c r="BH295" s="578"/>
      <c r="BI295" s="544"/>
    </row>
    <row r="296" spans="2:61" ht="16.2" thickBot="1" x14ac:dyDescent="0.35">
      <c r="B296" s="57" t="e">
        <f>+B295/B294</f>
        <v>#DIV/0!</v>
      </c>
      <c r="D296" s="55"/>
      <c r="AT296" s="544"/>
      <c r="AU296" s="578"/>
      <c r="AV296" s="588" t="s">
        <v>173</v>
      </c>
      <c r="AW296" s="588"/>
      <c r="AX296" s="588"/>
      <c r="AY296" s="579"/>
      <c r="AZ296" s="579"/>
      <c r="BA296" s="580" t="s">
        <v>20</v>
      </c>
      <c r="BB296" s="579"/>
      <c r="BC296" s="580" t="s">
        <v>3</v>
      </c>
      <c r="BD296" s="579"/>
      <c r="BE296" s="580" t="s">
        <v>73</v>
      </c>
      <c r="BF296" s="579"/>
      <c r="BG296" s="580" t="s">
        <v>73</v>
      </c>
      <c r="BH296" s="578"/>
      <c r="BI296" s="544"/>
    </row>
    <row r="297" spans="2:61" ht="21" x14ac:dyDescent="0.4">
      <c r="B297" s="1"/>
      <c r="D297" s="55"/>
      <c r="AT297" s="544"/>
      <c r="AU297" s="578"/>
      <c r="AV297" s="581" t="s">
        <v>158</v>
      </c>
      <c r="AW297" s="578"/>
      <c r="AX297" s="582"/>
      <c r="AY297" s="578"/>
      <c r="AZ297" s="578"/>
      <c r="BA297" s="583">
        <f>+N143</f>
        <v>1970617</v>
      </c>
      <c r="BB297" s="582"/>
      <c r="BC297" s="582"/>
      <c r="BD297" s="582"/>
      <c r="BE297" s="582"/>
      <c r="BF297" s="582"/>
      <c r="BG297" s="582"/>
      <c r="BH297" s="578"/>
      <c r="BI297" s="544"/>
    </row>
    <row r="298" spans="2:61" ht="21" x14ac:dyDescent="0.4">
      <c r="B298" s="1"/>
      <c r="D298" s="55"/>
      <c r="AT298" s="544"/>
      <c r="AU298" s="578"/>
      <c r="AV298" s="581" t="s">
        <v>169</v>
      </c>
      <c r="AW298" s="578"/>
      <c r="AX298" s="582"/>
      <c r="AY298" s="578"/>
      <c r="AZ298" s="578"/>
      <c r="BA298" s="583">
        <f>+N174</f>
        <v>1493931</v>
      </c>
      <c r="BB298" s="582"/>
      <c r="BC298" s="583">
        <f>+BA298-BA297</f>
        <v>-476686</v>
      </c>
      <c r="BD298" s="582"/>
      <c r="BE298" s="584">
        <f>+BC298/BA297</f>
        <v>-0.24189682723735764</v>
      </c>
      <c r="BF298" s="582"/>
      <c r="BG298" s="582"/>
      <c r="BH298" s="578"/>
      <c r="BI298" s="544"/>
    </row>
    <row r="299" spans="2:61" ht="21" x14ac:dyDescent="0.4">
      <c r="B299" s="1">
        <f>+B295*50</f>
        <v>0</v>
      </c>
      <c r="D299" s="55"/>
      <c r="AT299" s="544"/>
      <c r="AU299" s="578"/>
      <c r="AV299" s="581" t="s">
        <v>170</v>
      </c>
      <c r="AW299" s="578"/>
      <c r="AX299" s="582"/>
      <c r="AY299" s="578"/>
      <c r="AZ299" s="578"/>
      <c r="BA299" s="583">
        <f>+N204</f>
        <v>1202331</v>
      </c>
      <c r="BB299" s="582"/>
      <c r="BC299" s="583">
        <f>+BA299-BA298</f>
        <v>-291600</v>
      </c>
      <c r="BD299" s="582"/>
      <c r="BE299" s="584">
        <f>+BC299/BA298</f>
        <v>-0.19518973767864781</v>
      </c>
      <c r="BF299" s="582"/>
      <c r="BG299" s="582"/>
      <c r="BH299" s="578"/>
      <c r="BI299" s="544"/>
    </row>
    <row r="300" spans="2:61" ht="21" x14ac:dyDescent="0.4">
      <c r="B300" s="1"/>
      <c r="D300" s="55"/>
      <c r="AT300" s="544"/>
      <c r="AU300" s="578"/>
      <c r="AV300" s="581" t="s">
        <v>171</v>
      </c>
      <c r="AW300" s="578"/>
      <c r="AX300" s="582"/>
      <c r="AY300" s="578"/>
      <c r="AZ300" s="585" t="s">
        <v>28</v>
      </c>
      <c r="BA300" s="583">
        <f>+N218</f>
        <v>371489</v>
      </c>
      <c r="BB300" s="582"/>
      <c r="BC300" s="583">
        <f>+BA300-BA299</f>
        <v>-830842</v>
      </c>
      <c r="BD300" s="582"/>
      <c r="BE300" s="584">
        <f>+BC300/BA299</f>
        <v>-0.69102601529861574</v>
      </c>
      <c r="BF300" s="582"/>
      <c r="BG300" s="584">
        <f>+(BA300-BA297)/BA297</f>
        <v>-0.81148594577231392</v>
      </c>
      <c r="BH300" s="578"/>
      <c r="BI300" s="544"/>
    </row>
    <row r="301" spans="2:61" x14ac:dyDescent="0.3">
      <c r="B301" s="1"/>
      <c r="D301" s="55"/>
      <c r="AT301" s="544"/>
      <c r="AU301" s="578"/>
      <c r="AV301" s="578"/>
      <c r="AW301" s="578"/>
      <c r="AX301" s="578"/>
      <c r="AY301" s="578"/>
      <c r="AZ301" s="578"/>
      <c r="BA301" s="578"/>
      <c r="BB301" s="578"/>
      <c r="BC301" s="578"/>
      <c r="BD301" s="578"/>
      <c r="BE301" s="578"/>
      <c r="BF301" s="578"/>
      <c r="BG301" s="578"/>
      <c r="BH301" s="578"/>
      <c r="BI301" s="544"/>
    </row>
    <row r="302" spans="2:61" ht="16.2" x14ac:dyDescent="0.3">
      <c r="B302" s="1"/>
      <c r="D302" s="55"/>
      <c r="AT302" s="544"/>
      <c r="AU302" s="578"/>
      <c r="AV302" s="578"/>
      <c r="AW302" s="578"/>
      <c r="AX302" s="586" t="s">
        <v>28</v>
      </c>
      <c r="AY302" s="578"/>
      <c r="AZ302" s="587" t="s">
        <v>172</v>
      </c>
      <c r="BA302" s="578"/>
      <c r="BB302" s="578"/>
      <c r="BC302" s="578"/>
      <c r="BD302" s="578"/>
      <c r="BE302" s="578"/>
      <c r="BF302" s="578"/>
      <c r="BG302" s="578"/>
      <c r="BH302" s="578"/>
      <c r="BI302" s="544"/>
    </row>
    <row r="303" spans="2:61" x14ac:dyDescent="0.3">
      <c r="B303" s="1"/>
      <c r="D303" s="55"/>
      <c r="AT303" s="544"/>
      <c r="AU303" s="578"/>
      <c r="AV303" s="578"/>
      <c r="AW303" s="578"/>
      <c r="AX303" s="578"/>
      <c r="AY303" s="578"/>
      <c r="AZ303" s="578"/>
      <c r="BA303" s="578"/>
      <c r="BB303" s="578"/>
      <c r="BC303" s="578"/>
      <c r="BD303" s="578"/>
      <c r="BE303" s="578"/>
      <c r="BF303" s="578"/>
      <c r="BG303" s="578"/>
      <c r="BH303" s="578"/>
      <c r="BI303" s="544"/>
    </row>
    <row r="304" spans="2:61" x14ac:dyDescent="0.3">
      <c r="B304" s="1"/>
      <c r="D304" s="55"/>
      <c r="AT304" s="577"/>
      <c r="AU304" s="577"/>
      <c r="AV304" s="577"/>
      <c r="AW304" s="577"/>
      <c r="AX304" s="577"/>
      <c r="AY304" s="577"/>
      <c r="AZ304" s="577"/>
      <c r="BA304" s="577"/>
      <c r="BB304" s="577"/>
      <c r="BC304" s="577"/>
      <c r="BD304" s="577"/>
      <c r="BE304" s="577"/>
      <c r="BF304" s="577"/>
      <c r="BG304" s="577"/>
      <c r="BH304" s="577"/>
      <c r="BI304" s="577"/>
    </row>
    <row r="305" spans="2:4" x14ac:dyDescent="0.3">
      <c r="B305" s="1"/>
      <c r="D305" s="55"/>
    </row>
    <row r="306" spans="2:4" x14ac:dyDescent="0.3">
      <c r="B306" s="1"/>
      <c r="D306" s="55"/>
    </row>
    <row r="307" spans="2:4" x14ac:dyDescent="0.3">
      <c r="B307" s="1"/>
      <c r="D307" s="55"/>
    </row>
    <row r="308" spans="2:4" x14ac:dyDescent="0.3">
      <c r="B308" s="1"/>
      <c r="D308" s="55"/>
    </row>
    <row r="309" spans="2:4" x14ac:dyDescent="0.3">
      <c r="B309" s="1"/>
    </row>
    <row r="310" spans="2:4" x14ac:dyDescent="0.3">
      <c r="B310" s="1"/>
    </row>
    <row r="311" spans="2:4" x14ac:dyDescent="0.3">
      <c r="B311" s="1"/>
    </row>
    <row r="312" spans="2:4" x14ac:dyDescent="0.3">
      <c r="B312" s="1"/>
    </row>
    <row r="313" spans="2:4" x14ac:dyDescent="0.3">
      <c r="B313" s="1"/>
    </row>
    <row r="314" spans="2:4" x14ac:dyDescent="0.3">
      <c r="B314" s="1"/>
    </row>
    <row r="315" spans="2:4" x14ac:dyDescent="0.3">
      <c r="B315" s="1"/>
    </row>
    <row r="316" spans="2:4" x14ac:dyDescent="0.3">
      <c r="B316" s="1"/>
    </row>
  </sheetData>
  <mergeCells count="29">
    <mergeCell ref="AK252:AN252"/>
    <mergeCell ref="AK251:AV251"/>
    <mergeCell ref="AK253:AN25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V296:AX296"/>
    <mergeCell ref="AK254:AN254"/>
    <mergeCell ref="AK255:AN255"/>
    <mergeCell ref="AK256:AN256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81:J281"/>
    <mergeCell ref="AK258:AN258"/>
    <mergeCell ref="AK259:AM259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52"/>
  <sheetViews>
    <sheetView topLeftCell="A215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25" t="s">
        <v>7</v>
      </c>
      <c r="F7" s="626"/>
      <c r="G7" s="630">
        <v>0.7</v>
      </c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1"/>
    </row>
    <row r="8" spans="3:40" x14ac:dyDescent="0.3">
      <c r="E8" s="627" t="s">
        <v>123</v>
      </c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9"/>
    </row>
    <row r="9" spans="3:40" x14ac:dyDescent="0.3">
      <c r="E9" s="645" t="s">
        <v>37</v>
      </c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7"/>
      <c r="Q9" s="643" t="s">
        <v>116</v>
      </c>
      <c r="R9" s="5"/>
      <c r="S9" s="640" t="s">
        <v>4</v>
      </c>
      <c r="T9" s="641"/>
      <c r="U9" s="642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44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37" t="s">
        <v>48</v>
      </c>
      <c r="AE14" s="638"/>
      <c r="AF14" s="639"/>
      <c r="AG14" s="206"/>
      <c r="AH14" s="635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36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+K240</f>
        <v>789984</v>
      </c>
      <c r="AG16" s="200"/>
      <c r="AH16" s="214">
        <f>+AJ31</f>
        <v>2446.2253641224429</v>
      </c>
      <c r="AI16" s="214"/>
      <c r="AJ16" s="215">
        <f>+S240</f>
        <v>54284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150565</v>
      </c>
      <c r="AG17" s="201"/>
      <c r="AH17" s="162">
        <v>2184</v>
      </c>
      <c r="AI17" s="214"/>
      <c r="AJ17" s="161">
        <v>9864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198713</v>
      </c>
      <c r="AG18" s="201"/>
      <c r="AH18" s="162">
        <v>1552</v>
      </c>
      <c r="AI18" s="214"/>
      <c r="AJ18" s="161">
        <v>8647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1139262</v>
      </c>
      <c r="AG19" s="201"/>
      <c r="AH19" s="201"/>
      <c r="AI19" s="201"/>
      <c r="AJ19" s="219">
        <f>SUM(AJ16:AJ18)</f>
        <v>72795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Table'!H238</f>
        <v>0.12851061237749742</v>
      </c>
      <c r="AG21" s="201"/>
      <c r="AH21" s="201"/>
      <c r="AI21" s="201"/>
      <c r="AJ21" s="221">
        <f>+AJ19/'Main Table'!AA238</f>
        <v>0.31590527398419499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37" t="s">
        <v>133</v>
      </c>
      <c r="AB25" s="638"/>
      <c r="AC25" s="638"/>
      <c r="AD25" s="638"/>
      <c r="AE25" s="638"/>
      <c r="AF25" s="638"/>
      <c r="AG25" s="638"/>
      <c r="AH25" s="638"/>
      <c r="AI25" s="638"/>
      <c r="AJ25" s="638"/>
      <c r="AK25" s="639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+E240</f>
        <v>495464</v>
      </c>
      <c r="AE27" s="168"/>
      <c r="AF27" s="199">
        <v>2547</v>
      </c>
      <c r="AG27" s="168"/>
      <c r="AH27" s="190">
        <f>+AD27/AD$31</f>
        <v>0.52678169877380121</v>
      </c>
      <c r="AI27" s="190"/>
      <c r="AJ27" s="168">
        <f>+AF27*AH27</f>
        <v>1341.7129867768717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+G240</f>
        <v>228468</v>
      </c>
      <c r="AE28" s="168"/>
      <c r="AF28" s="199">
        <v>2572</v>
      </c>
      <c r="AG28" s="168"/>
      <c r="AH28" s="190">
        <f>+AD28/AD$31</f>
        <v>0.24290919452362397</v>
      </c>
      <c r="AI28" s="190"/>
      <c r="AJ28" s="168">
        <f>+AF28*AH28</f>
        <v>624.76244831476083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+I240</f>
        <v>66052</v>
      </c>
      <c r="AE29" s="168"/>
      <c r="AF29" s="199">
        <v>1853</v>
      </c>
      <c r="AG29" s="168"/>
      <c r="AH29" s="190">
        <f>+AD29/AD$31</f>
        <v>7.022706950940355E-2</v>
      </c>
      <c r="AI29" s="190"/>
      <c r="AJ29" s="168">
        <f>+AF29*AH29</f>
        <v>130.13075980092478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150565</v>
      </c>
      <c r="AE30" s="280"/>
      <c r="AF30" s="168">
        <f>+AH17</f>
        <v>2184</v>
      </c>
      <c r="AG30" s="280"/>
      <c r="AH30" s="190">
        <f>+AD30/AD$31</f>
        <v>0.16008203719317121</v>
      </c>
      <c r="AI30" s="280"/>
      <c r="AJ30" s="168">
        <f>+AF30*AH30</f>
        <v>349.61916922988593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940549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2446.2253641224429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32" t="s">
        <v>31</v>
      </c>
      <c r="AB36" s="633"/>
      <c r="AC36" s="633"/>
      <c r="AD36" s="633"/>
      <c r="AE36" s="633"/>
      <c r="AF36" s="633"/>
      <c r="AG36" s="633"/>
      <c r="AH36" s="633"/>
      <c r="AI36" s="634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Table'!AA238</f>
        <v>230433</v>
      </c>
      <c r="AJ49" s="56">
        <f>+AJ19</f>
        <v>72795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72795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157638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66207.959999999992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91430.040000000008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0.39677494108916694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hidden="1" outlineLevel="1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hidden="1" outlineLevel="1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hidden="1" outlineLevel="1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hidden="1" outlineLevel="1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hidden="1" outlineLevel="1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hidden="1" outlineLevel="1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hidden="1" outlineLevel="1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hidden="1" outlineLevel="1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hidden="1" outlineLevel="1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hidden="1" outlineLevel="1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hidden="1" outlineLevel="1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hidden="1" outlineLevel="1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hidden="1" outlineLevel="1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hidden="1" outlineLevel="1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hidden="1" outlineLevel="1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hidden="1" outlineLevel="1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hidden="1" outlineLevel="1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hidden="1" outlineLevel="1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hidden="1" outlineLevel="1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hidden="1" outlineLevel="1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hidden="1" outlineLevel="1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hidden="1" outlineLevel="1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hidden="1" outlineLevel="1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hidden="1" outlineLevel="1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hidden="1" outlineLevel="1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hidden="1" outlineLevel="1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hidden="1" outlineLevel="1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hidden="1" outlineLevel="1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hidden="1" outlineLevel="1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hidden="1" outlineLevel="1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hidden="1" outlineLevel="1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hidden="1" outlineLevel="1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hidden="1" outlineLevel="1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hidden="1" outlineLevel="1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hidden="1" outlineLevel="1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70">
        <f t="shared" ref="C98:C238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38" si="20">+W97+1</f>
        <v>88</v>
      </c>
      <c r="Y98" s="56"/>
    </row>
    <row r="99" spans="3:25" hidden="1" outlineLevel="1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hidden="1" outlineLevel="1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>SUM(E224:I224)</f>
        <v>770505</v>
      </c>
      <c r="L224" s="6"/>
      <c r="M224" s="481">
        <f>+(K224-K223)/K223</f>
        <v>4.8868091366506775E-3</v>
      </c>
      <c r="N224" s="29"/>
      <c r="O224" s="29"/>
      <c r="P224" s="29"/>
      <c r="Q224" s="375">
        <f>+K224-K223</f>
        <v>3747</v>
      </c>
      <c r="R224" s="6"/>
      <c r="S224" s="7">
        <f>33357+16211+4542</f>
        <v>54110</v>
      </c>
      <c r="T224" s="6"/>
      <c r="U224" s="286">
        <f>+S224/K224</f>
        <v>7.0226669521936916E-2</v>
      </c>
      <c r="W224">
        <f t="shared" si="20"/>
        <v>214</v>
      </c>
      <c r="Y224" s="56"/>
    </row>
    <row r="225" spans="3:25" x14ac:dyDescent="0.3">
      <c r="C225" s="170">
        <f t="shared" si="15"/>
        <v>44124</v>
      </c>
      <c r="E225" s="284">
        <v>486480</v>
      </c>
      <c r="F225" s="7"/>
      <c r="G225" s="7">
        <v>222193</v>
      </c>
      <c r="H225" s="7"/>
      <c r="I225" s="7">
        <v>64455</v>
      </c>
      <c r="J225" s="287"/>
      <c r="K225" s="7">
        <f>SUM(E225:I225)</f>
        <v>773128</v>
      </c>
      <c r="L225" s="6"/>
      <c r="M225" s="481">
        <f>+(K225-K224)/K224</f>
        <v>3.4042608419153674E-3</v>
      </c>
      <c r="N225" s="29"/>
      <c r="O225" s="29"/>
      <c r="P225" s="29"/>
      <c r="Q225" s="375">
        <f>+K225-K224</f>
        <v>2623</v>
      </c>
      <c r="R225" s="6"/>
      <c r="S225" s="7">
        <f>33366+16227+4559</f>
        <v>54152</v>
      </c>
      <c r="T225" s="6"/>
      <c r="U225" s="286">
        <f>+S225/K225</f>
        <v>7.0042735484939098E-2</v>
      </c>
      <c r="W225">
        <f t="shared" si="20"/>
        <v>215</v>
      </c>
      <c r="Y225" s="56"/>
    </row>
    <row r="226" spans="3:25" x14ac:dyDescent="0.3">
      <c r="C226" s="170">
        <f t="shared" si="15"/>
        <v>44125</v>
      </c>
      <c r="E226" s="284">
        <v>488506</v>
      </c>
      <c r="F226" s="7"/>
      <c r="G226" s="7">
        <v>223223</v>
      </c>
      <c r="H226" s="7"/>
      <c r="I226" s="7">
        <v>64871</v>
      </c>
      <c r="J226" s="287"/>
      <c r="K226" s="7">
        <f>SUM(E226:I226)</f>
        <v>776600</v>
      </c>
      <c r="L226" s="6"/>
      <c r="M226" s="481">
        <f>+(K226-K225)/K225</f>
        <v>4.4908475698720004E-3</v>
      </c>
      <c r="N226" s="29"/>
      <c r="O226" s="29"/>
      <c r="P226" s="29"/>
      <c r="Q226" s="375">
        <f>+K226-K225</f>
        <v>3472</v>
      </c>
      <c r="R226" s="6"/>
      <c r="S226" s="7">
        <f>33371+16245+4567</f>
        <v>54183</v>
      </c>
      <c r="T226" s="6"/>
      <c r="U226" s="286">
        <f>+S226/K226</f>
        <v>6.9769508112284315E-2</v>
      </c>
      <c r="W226">
        <f t="shared" si="20"/>
        <v>216</v>
      </c>
      <c r="Y226" s="56"/>
    </row>
    <row r="227" spans="3:25" x14ac:dyDescent="0.3">
      <c r="C227" s="170">
        <f t="shared" si="15"/>
        <v>44126</v>
      </c>
      <c r="E227" s="284">
        <v>490134</v>
      </c>
      <c r="F227" s="7"/>
      <c r="G227" s="7">
        <v>224385</v>
      </c>
      <c r="H227" s="7"/>
      <c r="I227" s="7">
        <v>65373</v>
      </c>
      <c r="J227" s="287"/>
      <c r="K227" s="7">
        <f>SUM(E227:I227)</f>
        <v>779892</v>
      </c>
      <c r="L227" s="6"/>
      <c r="M227" s="481">
        <f>+(K227-K226)/K226</f>
        <v>4.2389904712850889E-3</v>
      </c>
      <c r="N227" s="29"/>
      <c r="O227" s="29"/>
      <c r="P227" s="29"/>
      <c r="Q227" s="375">
        <f>+K227-K226</f>
        <v>3292</v>
      </c>
      <c r="R227" s="6"/>
      <c r="S227" s="7">
        <f>33371+16245+4567</f>
        <v>54183</v>
      </c>
      <c r="T227" s="6"/>
      <c r="U227" s="286">
        <f>+S227/K227</f>
        <v>6.9475004231355109E-2</v>
      </c>
      <c r="W227">
        <f t="shared" si="20"/>
        <v>217</v>
      </c>
      <c r="Y227" s="56"/>
    </row>
    <row r="228" spans="3:25" x14ac:dyDescent="0.3">
      <c r="C228" s="170">
        <f t="shared" si="15"/>
        <v>44127</v>
      </c>
      <c r="E228" s="284">
        <v>491771</v>
      </c>
      <c r="F228" s="7"/>
      <c r="G228" s="7">
        <v>225430</v>
      </c>
      <c r="H228" s="7"/>
      <c r="I228" s="7">
        <v>66052</v>
      </c>
      <c r="J228" s="287"/>
      <c r="K228" s="7">
        <f>SUM(E228:I228)</f>
        <v>783253</v>
      </c>
      <c r="L228" s="6"/>
      <c r="M228" s="481">
        <f>+(K228-K227)/K227</f>
        <v>4.3095710688146561E-3</v>
      </c>
      <c r="N228" s="29"/>
      <c r="O228" s="29"/>
      <c r="P228" s="29"/>
      <c r="Q228" s="375">
        <f>+K228-K227</f>
        <v>3361</v>
      </c>
      <c r="R228" s="6"/>
      <c r="S228" s="7">
        <f>33371+16245+4567</f>
        <v>54183</v>
      </c>
      <c r="T228" s="6"/>
      <c r="U228" s="286">
        <f>+S228/K228</f>
        <v>6.917688154402217E-2</v>
      </c>
      <c r="W228">
        <f t="shared" si="20"/>
        <v>218</v>
      </c>
      <c r="Y228" s="56"/>
    </row>
    <row r="229" spans="3:25" x14ac:dyDescent="0.3">
      <c r="C229" s="170">
        <f t="shared" si="15"/>
        <v>44128</v>
      </c>
      <c r="E229" s="284">
        <v>493832</v>
      </c>
      <c r="F229" s="7"/>
      <c r="G229" s="7">
        <v>227339</v>
      </c>
      <c r="H229" s="7"/>
      <c r="I229" s="7">
        <v>66052</v>
      </c>
      <c r="J229" s="287"/>
      <c r="K229" s="7">
        <f>SUM(E229:I229)</f>
        <v>787223</v>
      </c>
      <c r="L229" s="6"/>
      <c r="M229" s="481">
        <f>+(K229-K228)/K228</f>
        <v>5.0686049079926923E-3</v>
      </c>
      <c r="N229" s="29"/>
      <c r="O229" s="29"/>
      <c r="P229" s="29"/>
      <c r="Q229" s="375">
        <f>+K229-K228</f>
        <v>3970</v>
      </c>
      <c r="R229" s="6"/>
      <c r="S229" s="7">
        <f>33418+16281+4577</f>
        <v>54276</v>
      </c>
      <c r="T229" s="6"/>
      <c r="U229" s="286">
        <f>+S229/K229</f>
        <v>6.8946156298787004E-2</v>
      </c>
      <c r="W229">
        <f t="shared" si="20"/>
        <v>219</v>
      </c>
      <c r="Y229" s="56"/>
    </row>
    <row r="230" spans="3:25" x14ac:dyDescent="0.3">
      <c r="C230" s="170">
        <f t="shared" si="15"/>
        <v>44129</v>
      </c>
      <c r="E230" s="284">
        <v>495464</v>
      </c>
      <c r="F230" s="7"/>
      <c r="G230" s="7">
        <v>228468</v>
      </c>
      <c r="H230" s="7"/>
      <c r="I230" s="7">
        <v>66052</v>
      </c>
      <c r="J230" s="287"/>
      <c r="K230" s="7">
        <f>SUM(E230:I230)</f>
        <v>789984</v>
      </c>
      <c r="L230" s="6"/>
      <c r="M230" s="481">
        <f>+(K230-K229)/K229</f>
        <v>3.5072654127229516E-3</v>
      </c>
      <c r="N230" s="29"/>
      <c r="O230" s="29"/>
      <c r="P230" s="29"/>
      <c r="Q230" s="375">
        <f>+K230-K229</f>
        <v>2761</v>
      </c>
      <c r="R230" s="6"/>
      <c r="S230" s="7">
        <f>33422+16285+4577</f>
        <v>54284</v>
      </c>
      <c r="T230" s="6"/>
      <c r="U230" s="286">
        <f>+S230/K230</f>
        <v>6.8715315753230449E-2</v>
      </c>
      <c r="W230">
        <f t="shared" si="20"/>
        <v>220</v>
      </c>
      <c r="Y230" s="56"/>
    </row>
    <row r="231" spans="3:25" x14ac:dyDescent="0.3">
      <c r="C231" s="170">
        <f t="shared" si="15"/>
        <v>44130</v>
      </c>
      <c r="E231" s="284"/>
      <c r="F231" s="7"/>
      <c r="G231" s="7"/>
      <c r="H231" s="7"/>
      <c r="I231" s="7"/>
      <c r="J231" s="287"/>
      <c r="K231" s="7"/>
      <c r="L231" s="6"/>
      <c r="M231" s="481"/>
      <c r="N231" s="29"/>
      <c r="O231" s="29"/>
      <c r="P231" s="29"/>
      <c r="Q231" s="375"/>
      <c r="R231" s="6"/>
      <c r="S231" s="7"/>
      <c r="T231" s="6"/>
      <c r="U231" s="286"/>
      <c r="W231">
        <f t="shared" si="20"/>
        <v>221</v>
      </c>
      <c r="Y231" s="56"/>
    </row>
    <row r="232" spans="3:25" x14ac:dyDescent="0.3">
      <c r="C232" s="170">
        <f t="shared" si="15"/>
        <v>44131</v>
      </c>
      <c r="E232" s="284"/>
      <c r="F232" s="7"/>
      <c r="G232" s="7"/>
      <c r="H232" s="7"/>
      <c r="I232" s="7"/>
      <c r="J232" s="287"/>
      <c r="K232" s="7"/>
      <c r="L232" s="6"/>
      <c r="M232" s="481"/>
      <c r="N232" s="29"/>
      <c r="O232" s="29"/>
      <c r="P232" s="29"/>
      <c r="Q232" s="375"/>
      <c r="R232" s="6"/>
      <c r="S232" s="7"/>
      <c r="T232" s="6"/>
      <c r="U232" s="286"/>
      <c r="W232">
        <f t="shared" si="20"/>
        <v>222</v>
      </c>
      <c r="Y232" s="56"/>
    </row>
    <row r="233" spans="3:25" x14ac:dyDescent="0.3">
      <c r="C233" s="170">
        <f t="shared" si="15"/>
        <v>44132</v>
      </c>
      <c r="E233" s="284"/>
      <c r="F233" s="7"/>
      <c r="G233" s="7"/>
      <c r="H233" s="7"/>
      <c r="I233" s="7"/>
      <c r="J233" s="287"/>
      <c r="K233" s="7"/>
      <c r="L233" s="6"/>
      <c r="M233" s="481"/>
      <c r="N233" s="29"/>
      <c r="O233" s="29"/>
      <c r="P233" s="29"/>
      <c r="Q233" s="375"/>
      <c r="R233" s="6"/>
      <c r="S233" s="7"/>
      <c r="T233" s="6"/>
      <c r="U233" s="286"/>
      <c r="W233">
        <f t="shared" si="20"/>
        <v>223</v>
      </c>
      <c r="Y233" s="56"/>
    </row>
    <row r="234" spans="3:25" x14ac:dyDescent="0.3">
      <c r="C234" s="170">
        <f t="shared" si="15"/>
        <v>44133</v>
      </c>
      <c r="E234" s="284"/>
      <c r="F234" s="7"/>
      <c r="G234" s="7"/>
      <c r="H234" s="7"/>
      <c r="I234" s="7"/>
      <c r="J234" s="287"/>
      <c r="K234" s="7"/>
      <c r="L234" s="6"/>
      <c r="M234" s="481"/>
      <c r="N234" s="29"/>
      <c r="O234" s="29"/>
      <c r="P234" s="29"/>
      <c r="Q234" s="375"/>
      <c r="R234" s="6"/>
      <c r="S234" s="7"/>
      <c r="T234" s="6"/>
      <c r="U234" s="286"/>
      <c r="W234">
        <f t="shared" si="20"/>
        <v>224</v>
      </c>
      <c r="Y234" s="56"/>
    </row>
    <row r="235" spans="3:25" x14ac:dyDescent="0.3">
      <c r="C235" s="170">
        <f t="shared" si="15"/>
        <v>44134</v>
      </c>
      <c r="E235" s="284"/>
      <c r="F235" s="7"/>
      <c r="G235" s="7"/>
      <c r="H235" s="7"/>
      <c r="I235" s="7"/>
      <c r="J235" s="287"/>
      <c r="K235" s="7"/>
      <c r="L235" s="6"/>
      <c r="M235" s="481"/>
      <c r="N235" s="29"/>
      <c r="O235" s="29"/>
      <c r="P235" s="29"/>
      <c r="Q235" s="375"/>
      <c r="R235" s="6"/>
      <c r="S235" s="7"/>
      <c r="T235" s="6"/>
      <c r="U235" s="286"/>
      <c r="W235">
        <f t="shared" si="20"/>
        <v>225</v>
      </c>
      <c r="Y235" s="56"/>
    </row>
    <row r="236" spans="3:25" x14ac:dyDescent="0.3">
      <c r="C236" s="170">
        <f t="shared" si="15"/>
        <v>44135</v>
      </c>
      <c r="E236" s="284"/>
      <c r="F236" s="7"/>
      <c r="G236" s="7"/>
      <c r="H236" s="7"/>
      <c r="I236" s="7"/>
      <c r="J236" s="287"/>
      <c r="K236" s="7"/>
      <c r="L236" s="6"/>
      <c r="M236" s="481"/>
      <c r="N236" s="29"/>
      <c r="O236" s="29"/>
      <c r="P236" s="29"/>
      <c r="Q236" s="375"/>
      <c r="R236" s="6"/>
      <c r="S236" s="7"/>
      <c r="T236" s="6"/>
      <c r="U236" s="286"/>
      <c r="W236">
        <f t="shared" si="20"/>
        <v>226</v>
      </c>
      <c r="Y236" s="56"/>
    </row>
    <row r="237" spans="3:25" x14ac:dyDescent="0.3">
      <c r="C237" s="170">
        <f t="shared" si="15"/>
        <v>44136</v>
      </c>
      <c r="E237" s="284"/>
      <c r="F237" s="7"/>
      <c r="G237" s="7"/>
      <c r="H237" s="7"/>
      <c r="I237" s="7"/>
      <c r="J237" s="287"/>
      <c r="K237" s="7"/>
      <c r="L237" s="6"/>
      <c r="M237" s="474"/>
      <c r="N237" s="29"/>
      <c r="O237" s="29"/>
      <c r="P237" s="29"/>
      <c r="Q237" s="375"/>
      <c r="R237" s="6"/>
      <c r="S237" s="7"/>
      <c r="T237" s="6"/>
      <c r="U237" s="286"/>
      <c r="W237">
        <f t="shared" si="20"/>
        <v>227</v>
      </c>
      <c r="Y237" s="56"/>
    </row>
    <row r="238" spans="3:25" ht="15" thickBot="1" x14ac:dyDescent="0.35">
      <c r="C238" s="170">
        <f t="shared" si="15"/>
        <v>44137</v>
      </c>
      <c r="E238" s="288"/>
      <c r="F238" s="289"/>
      <c r="G238" s="289"/>
      <c r="H238" s="289"/>
      <c r="I238" s="289"/>
      <c r="J238" s="289"/>
      <c r="K238" s="289"/>
      <c r="L238" s="290"/>
      <c r="M238" s="291"/>
      <c r="N238" s="291"/>
      <c r="O238" s="291"/>
      <c r="P238" s="291"/>
      <c r="Q238" s="374"/>
      <c r="R238" s="290"/>
      <c r="S238" s="290"/>
      <c r="T238" s="290"/>
      <c r="U238" s="292"/>
      <c r="W238">
        <f t="shared" si="20"/>
        <v>228</v>
      </c>
      <c r="Y238" s="59"/>
    </row>
    <row r="239" spans="3:25" x14ac:dyDescent="0.3">
      <c r="E239" s="56"/>
      <c r="F239" s="1"/>
      <c r="G239" s="56"/>
      <c r="H239" s="56"/>
      <c r="I239" s="56"/>
      <c r="J239" s="1"/>
      <c r="K239" s="56"/>
      <c r="S239" s="56"/>
    </row>
    <row r="240" spans="3:25" x14ac:dyDescent="0.3">
      <c r="C240" s="179" t="s">
        <v>81</v>
      </c>
      <c r="E240" s="56">
        <f>+E230</f>
        <v>495464</v>
      </c>
      <c r="F240" s="56"/>
      <c r="G240" s="56">
        <f t="shared" ref="G240:U240" si="45">+G230</f>
        <v>228468</v>
      </c>
      <c r="H240" s="56">
        <f t="shared" si="45"/>
        <v>0</v>
      </c>
      <c r="I240" s="56">
        <f t="shared" si="45"/>
        <v>66052</v>
      </c>
      <c r="J240" s="56">
        <f t="shared" si="45"/>
        <v>0</v>
      </c>
      <c r="K240" s="56">
        <f t="shared" si="45"/>
        <v>789984</v>
      </c>
      <c r="L240" s="56">
        <f t="shared" si="45"/>
        <v>0</v>
      </c>
      <c r="M240" s="56">
        <f t="shared" si="45"/>
        <v>3.5072654127229516E-3</v>
      </c>
      <c r="N240" s="56">
        <f t="shared" si="45"/>
        <v>0</v>
      </c>
      <c r="O240" s="56">
        <f t="shared" si="45"/>
        <v>0</v>
      </c>
      <c r="P240" s="56">
        <f t="shared" si="45"/>
        <v>0</v>
      </c>
      <c r="Q240" s="56">
        <f t="shared" si="45"/>
        <v>2761</v>
      </c>
      <c r="R240" s="56">
        <f t="shared" si="45"/>
        <v>0</v>
      </c>
      <c r="S240" s="56">
        <f t="shared" si="45"/>
        <v>54284</v>
      </c>
      <c r="T240" s="56">
        <f t="shared" si="45"/>
        <v>0</v>
      </c>
      <c r="U240" s="56">
        <f t="shared" si="45"/>
        <v>6.8715315753230449E-2</v>
      </c>
      <c r="V240" s="56">
        <f>+V199</f>
        <v>0</v>
      </c>
    </row>
    <row r="241" spans="3:41" x14ac:dyDescent="0.3">
      <c r="E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</row>
    <row r="242" spans="3:41" x14ac:dyDescent="0.3">
      <c r="E242" s="59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</row>
    <row r="243" spans="3:41" x14ac:dyDescent="0.3">
      <c r="C243" s="123"/>
      <c r="D243" s="124"/>
      <c r="E243" s="392"/>
      <c r="F243" s="10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</row>
    <row r="244" spans="3:41" x14ac:dyDescent="0.3">
      <c r="E244" s="56"/>
      <c r="K244" s="56"/>
      <c r="Q244" s="56"/>
    </row>
    <row r="245" spans="3:41" x14ac:dyDescent="0.3">
      <c r="Q245" s="56"/>
      <c r="S245" s="59"/>
    </row>
    <row r="248" spans="3:41" x14ac:dyDescent="0.3">
      <c r="AO248" s="1">
        <v>3797000</v>
      </c>
    </row>
    <row r="249" spans="3:41" x14ac:dyDescent="0.3">
      <c r="C249" s="1"/>
    </row>
    <row r="250" spans="3:41" x14ac:dyDescent="0.3">
      <c r="C250" s="1"/>
      <c r="AO250" s="1">
        <v>30000</v>
      </c>
    </row>
    <row r="251" spans="3:41" x14ac:dyDescent="0.3">
      <c r="C251" s="59"/>
    </row>
    <row r="252" spans="3:41" x14ac:dyDescent="0.3">
      <c r="AO252" s="277">
        <f>+AO250/AO248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24"/>
  <sheetViews>
    <sheetView topLeftCell="A22" workbookViewId="0">
      <selection activeCell="AH177" sqref="AH177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53" t="s">
        <v>114</v>
      </c>
      <c r="U3" s="654"/>
      <c r="V3" s="654"/>
      <c r="W3" s="654"/>
      <c r="X3" s="654"/>
      <c r="Y3" s="654"/>
      <c r="Z3" s="654"/>
      <c r="AA3" s="654"/>
      <c r="AB3" s="654"/>
      <c r="AC3" s="654"/>
      <c r="AD3" s="655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7.5165592795134184E-2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56" t="s">
        <v>104</v>
      </c>
      <c r="F15" s="656"/>
      <c r="G15" s="656"/>
      <c r="H15" s="656"/>
      <c r="I15" s="656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62" t="s">
        <v>46</v>
      </c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O18" s="664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65" t="s">
        <v>75</v>
      </c>
      <c r="F19" s="665"/>
      <c r="G19" s="665"/>
      <c r="H19" s="665"/>
      <c r="I19" s="146" t="s">
        <v>74</v>
      </c>
      <c r="J19" s="147"/>
      <c r="K19" s="670" t="s">
        <v>72</v>
      </c>
      <c r="L19" s="670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Table'!H219</f>
        <v>8215145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Table'!AA238</f>
        <v>230433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16377</v>
      </c>
      <c r="J22" s="128"/>
      <c r="K22" s="139"/>
      <c r="L22" s="281">
        <v>16369</v>
      </c>
      <c r="M22" s="139"/>
      <c r="N22" s="159">
        <f>+(I22-L22)/I22</f>
        <v>4.8848995542529155E-4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7968335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Table'!AP238</f>
        <v>5772498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66" t="s">
        <v>49</v>
      </c>
      <c r="E25" s="667"/>
      <c r="F25" s="667"/>
      <c r="G25" s="667"/>
      <c r="H25" s="667"/>
      <c r="I25" s="131">
        <f>+I23-I24</f>
        <v>2195837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5772498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66" t="s">
        <v>46</v>
      </c>
      <c r="E27" s="667"/>
      <c r="F27" s="667"/>
      <c r="G27" s="667"/>
      <c r="H27" s="667"/>
      <c r="I27" s="148">
        <f>+I25+I26</f>
        <v>7968335</v>
      </c>
      <c r="J27" s="128"/>
      <c r="K27" s="671">
        <v>7902656</v>
      </c>
      <c r="L27" s="671"/>
      <c r="M27" s="139"/>
      <c r="N27" s="149">
        <f>+I27-K27</f>
        <v>65679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68" t="s">
        <v>69</v>
      </c>
      <c r="F28" s="668"/>
      <c r="G28" s="668"/>
      <c r="H28" s="136"/>
      <c r="I28" s="274">
        <f>+I27/I32</f>
        <v>0.89884118883895536</v>
      </c>
      <c r="J28" s="139"/>
      <c r="K28" s="139"/>
      <c r="L28" s="139"/>
      <c r="M28" s="110"/>
      <c r="N28" s="506">
        <f>+N27/K27</f>
        <v>8.3110032880084877E-3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77" t="s">
        <v>114</v>
      </c>
      <c r="F31" s="678"/>
      <c r="G31" s="678"/>
      <c r="H31" s="678"/>
      <c r="I31" s="678"/>
      <c r="J31" s="679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2">
        <f>+'Main Table'!H238</f>
        <v>8865120</v>
      </c>
      <c r="J32" s="672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3">
        <f>+I27</f>
        <v>7968335</v>
      </c>
      <c r="J34" s="674"/>
      <c r="K34" s="22"/>
      <c r="L34" s="25">
        <f>+I34/$I$32</f>
        <v>0.89884118883895536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0">
        <f>+I21</f>
        <v>230433</v>
      </c>
      <c r="J35" s="681"/>
      <c r="K35" s="22"/>
      <c r="L35" s="25">
        <f>+I35/$I$32</f>
        <v>2.5993218365910443E-2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69" t="s">
        <v>114</v>
      </c>
      <c r="F36" s="669"/>
      <c r="G36" s="669"/>
      <c r="H36" s="275"/>
      <c r="I36" s="675">
        <f>+I32-I34-I35</f>
        <v>666352</v>
      </c>
      <c r="J36" s="676"/>
      <c r="K36" s="302"/>
      <c r="L36" s="276">
        <f>+I36/$I$32</f>
        <v>7.5165592795134184E-2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57" t="s">
        <v>127</v>
      </c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9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60" t="s">
        <v>75</v>
      </c>
      <c r="F42" s="660"/>
      <c r="G42" s="660"/>
      <c r="H42" s="660"/>
      <c r="I42" s="303" t="s">
        <v>74</v>
      </c>
      <c r="J42" s="304"/>
      <c r="K42" s="661" t="s">
        <v>37</v>
      </c>
      <c r="L42" s="661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Table'!AP256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83" t="s">
        <v>49</v>
      </c>
      <c r="E48" s="684"/>
      <c r="F48" s="684"/>
      <c r="G48" s="684"/>
      <c r="H48" s="684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83" t="s">
        <v>46</v>
      </c>
      <c r="E50" s="684"/>
      <c r="F50" s="684"/>
      <c r="G50" s="684"/>
      <c r="H50" s="684"/>
      <c r="I50" s="383">
        <f>+I48+I49</f>
        <v>22172</v>
      </c>
      <c r="J50" s="379"/>
      <c r="K50" s="685">
        <v>30167</v>
      </c>
      <c r="L50" s="685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86" t="s">
        <v>69</v>
      </c>
      <c r="F51" s="686"/>
      <c r="G51" s="686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88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49" t="s">
        <v>128</v>
      </c>
      <c r="F54" s="650"/>
      <c r="G54" s="650"/>
      <c r="H54" s="650"/>
      <c r="I54" s="650"/>
      <c r="J54" s="651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87">
        <f>+K50</f>
        <v>30167</v>
      </c>
      <c r="J55" s="687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88">
        <f>+I50</f>
        <v>22172</v>
      </c>
      <c r="J57" s="689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90">
        <f>+I44</f>
        <v>1836</v>
      </c>
      <c r="J58" s="691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92" t="s">
        <v>114</v>
      </c>
      <c r="F59" s="692"/>
      <c r="G59" s="692"/>
      <c r="H59" s="310"/>
      <c r="I59" s="652">
        <f>+I55-I57-I58</f>
        <v>6159</v>
      </c>
      <c r="J59" s="693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94">
        <f>+I45</f>
        <v>1397</v>
      </c>
      <c r="J60" s="694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52">
        <f>+I59-I60</f>
        <v>4762</v>
      </c>
      <c r="J61" s="652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49" t="s">
        <v>117</v>
      </c>
      <c r="F64" s="650"/>
      <c r="G64" s="650"/>
      <c r="H64" s="650"/>
      <c r="I64" s="650"/>
      <c r="J64" s="650"/>
      <c r="K64" s="650"/>
      <c r="L64" s="650"/>
      <c r="M64" s="651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82">
        <v>11690000</v>
      </c>
      <c r="J65" s="682"/>
      <c r="K65" s="682"/>
      <c r="L65" s="682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48" t="s">
        <v>108</v>
      </c>
      <c r="G67" s="648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11" t="s">
        <v>131</v>
      </c>
      <c r="E72" s="712"/>
      <c r="F72" s="712"/>
      <c r="G72" s="712"/>
      <c r="H72" s="712"/>
      <c r="I72" s="712"/>
      <c r="J72" s="712"/>
      <c r="K72" s="712"/>
      <c r="L72" s="712"/>
      <c r="M72" s="712"/>
      <c r="N72" s="712"/>
      <c r="O72" s="713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14" t="s">
        <v>75</v>
      </c>
      <c r="F73" s="714"/>
      <c r="G73" s="714"/>
      <c r="H73" s="714"/>
      <c r="I73" s="398" t="s">
        <v>74</v>
      </c>
      <c r="J73" s="399"/>
      <c r="K73" s="715" t="s">
        <v>37</v>
      </c>
      <c r="L73" s="715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Table'!AP294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16" t="s">
        <v>49</v>
      </c>
      <c r="E79" s="717"/>
      <c r="F79" s="717"/>
      <c r="G79" s="717"/>
      <c r="H79" s="717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16" t="s">
        <v>46</v>
      </c>
      <c r="E81" s="717"/>
      <c r="F81" s="717"/>
      <c r="G81" s="717"/>
      <c r="H81" s="717"/>
      <c r="I81" s="413">
        <f>+I79+I80</f>
        <v>36684</v>
      </c>
      <c r="J81" s="406"/>
      <c r="K81" s="719">
        <v>48675</v>
      </c>
      <c r="L81" s="719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18" t="s">
        <v>69</v>
      </c>
      <c r="F82" s="718"/>
      <c r="G82" s="718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hidden="1" outlineLevel="1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hidden="1" outlineLevel="1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hidden="1" outlineLevel="1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hidden="1" outlineLevel="1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hidden="1" outlineLevel="1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hidden="1" outlineLevel="1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hidden="1" outlineLevel="1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hidden="1" outlineLevel="1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hidden="1" outlineLevel="1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hidden="1" outlineLevel="1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hidden="1" outlineLevel="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hidden="1" outlineLevel="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hidden="1" outlineLevel="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hidden="1" outlineLevel="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hidden="1" outlineLevel="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hidden="1" outlineLevel="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hidden="1" outlineLevel="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hidden="1" outlineLevel="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hidden="1" outlineLevel="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hidden="1" outlineLevel="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hidden="1" outlineLevel="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hidden="1" outlineLevel="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hidden="1" outlineLevel="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hidden="1" outlineLevel="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hidden="1" outlineLevel="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hidden="1" outlineLevel="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hidden="1" outlineLevel="1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hidden="1" outlineLevel="1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hidden="1" outlineLevel="1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hidden="1" outlineLevel="1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hidden="1" outlineLevel="1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hidden="1" outlineLevel="1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hidden="1" outlineLevel="1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hidden="1" outlineLevel="1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hidden="1" outlineLevel="1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7.5165592795134184E-2</v>
      </c>
      <c r="Z121" s="6"/>
      <c r="AA121" s="297">
        <f t="shared" si="7"/>
        <v>22668</v>
      </c>
      <c r="AB121" s="6"/>
      <c r="AC121" s="301"/>
      <c r="AD121" s="294"/>
    </row>
    <row r="122" spans="15:30" hidden="1" outlineLevel="1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hidden="1" outlineLevel="1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hidden="1" outlineLevel="1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hidden="1" outlineLevel="1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hidden="1" outlineLevel="1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hidden="1" outlineLevel="1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hidden="1" outlineLevel="1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hidden="1" outlineLevel="1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hidden="1" outlineLevel="1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hidden="1" outlineLevel="1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hidden="1" outlineLevel="1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hidden="1" outlineLevel="1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hidden="1" outlineLevel="1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hidden="1" outlineLevel="1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hidden="1" outlineLevel="1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hidden="1" outlineLevel="1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hidden="1" outlineLevel="1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hidden="1" outlineLevel="1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hidden="1" outlineLevel="1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hidden="1" outlineLevel="1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hidden="1" outlineLevel="1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hidden="1" outlineLevel="1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hidden="1" outlineLevel="1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hidden="1" outlineLevel="1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hidden="1" outlineLevel="1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hidden="1" outlineLevel="1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hidden="1" outlineLevel="1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hidden="1" outlineLevel="1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hidden="1" outlineLevel="1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hidden="1" outlineLevel="1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hidden="1" outlineLevel="1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hidden="1" outlineLevel="1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hidden="1" outlineLevel="1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hidden="1" outlineLevel="1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hidden="1" outlineLevel="1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hidden="1" outlineLevel="1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hidden="1" outlineLevel="1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hidden="1" outlineLevel="1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hidden="1" outlineLevel="1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hidden="1" outlineLevel="1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hidden="1" outlineLevel="1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hidden="1" outlineLevel="1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hidden="1" outlineLevel="1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hidden="1" outlineLevel="1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hidden="1" outlineLevel="1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hidden="1" outlineLevel="1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hidden="1" outlineLevel="1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hidden="1" outlineLevel="1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hidden="1" outlineLevel="1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hidden="1" outlineLevel="1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hidden="1" outlineLevel="1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hidden="1" outlineLevel="1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hidden="1" outlineLevel="1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collapsed="1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15:30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15:30" x14ac:dyDescent="0.3">
      <c r="O178" s="110"/>
      <c r="T178" s="293"/>
      <c r="U178" s="295">
        <f t="shared" si="3"/>
        <v>44123</v>
      </c>
      <c r="V178" s="6"/>
      <c r="W178" s="296">
        <v>563005</v>
      </c>
      <c r="X178" s="6"/>
      <c r="Y178" s="44">
        <v>6.7000000000000004E-2</v>
      </c>
      <c r="Z178" s="6"/>
      <c r="AA178" s="297">
        <f>+W177-W178</f>
        <v>3570</v>
      </c>
      <c r="AB178" s="6"/>
      <c r="AC178" s="301"/>
      <c r="AD178" s="294"/>
    </row>
    <row r="179" spans="15:30" x14ac:dyDescent="0.3">
      <c r="O179" s="110"/>
      <c r="T179" s="293"/>
      <c r="U179" s="295">
        <f t="shared" si="3"/>
        <v>44124</v>
      </c>
      <c r="V179" s="6"/>
      <c r="W179" s="296">
        <v>571055</v>
      </c>
      <c r="X179" s="6"/>
      <c r="Y179" s="44">
        <v>6.7000000000000004E-2</v>
      </c>
      <c r="Z179" s="6"/>
      <c r="AA179" s="297">
        <f>+W178-W179</f>
        <v>-8050</v>
      </c>
      <c r="AB179" s="6"/>
      <c r="AC179" s="301"/>
      <c r="AD179" s="294"/>
    </row>
    <row r="180" spans="15:30" x14ac:dyDescent="0.3">
      <c r="O180" s="110"/>
      <c r="T180" s="293"/>
      <c r="U180" s="295">
        <f t="shared" si="3"/>
        <v>44125</v>
      </c>
      <c r="V180" s="6"/>
      <c r="W180" s="296">
        <v>592755</v>
      </c>
      <c r="X180" s="6"/>
      <c r="Y180" s="44">
        <v>6.9000000000000006E-2</v>
      </c>
      <c r="Z180" s="6"/>
      <c r="AA180" s="297">
        <f>+W179-W180</f>
        <v>-21700</v>
      </c>
      <c r="AB180" s="6"/>
      <c r="AC180" s="301"/>
      <c r="AD180" s="294"/>
    </row>
    <row r="181" spans="15:30" x14ac:dyDescent="0.3">
      <c r="O181" s="110"/>
      <c r="T181" s="293"/>
      <c r="U181" s="295">
        <f t="shared" si="3"/>
        <v>44126</v>
      </c>
      <c r="V181" s="6"/>
      <c r="W181" s="296">
        <v>621488</v>
      </c>
      <c r="X181" s="6"/>
      <c r="Y181" s="44">
        <v>7.1999999999999995E-2</v>
      </c>
      <c r="Z181" s="6"/>
      <c r="AA181" s="297">
        <f>+W180-W181</f>
        <v>-28733</v>
      </c>
      <c r="AB181" s="6"/>
      <c r="AC181" s="301"/>
      <c r="AD181" s="294"/>
    </row>
    <row r="182" spans="15:30" x14ac:dyDescent="0.3">
      <c r="O182" s="110"/>
      <c r="T182" s="293"/>
      <c r="U182" s="295">
        <f t="shared" si="3"/>
        <v>44127</v>
      </c>
      <c r="V182" s="6"/>
      <c r="W182" s="296">
        <v>651368</v>
      </c>
      <c r="X182" s="6"/>
      <c r="Y182" s="44">
        <v>7.4999999999999997E-2</v>
      </c>
      <c r="Z182" s="6"/>
      <c r="AA182" s="297">
        <f>+W181-W182</f>
        <v>-29880</v>
      </c>
      <c r="AB182" s="6"/>
      <c r="AC182" s="301"/>
      <c r="AD182" s="294"/>
    </row>
    <row r="183" spans="15:30" x14ac:dyDescent="0.3">
      <c r="O183" s="110"/>
      <c r="T183" s="293"/>
      <c r="U183" s="295">
        <f t="shared" si="3"/>
        <v>44128</v>
      </c>
      <c r="V183" s="6"/>
      <c r="W183" s="296">
        <v>671584</v>
      </c>
      <c r="X183" s="6"/>
      <c r="Y183" s="44">
        <v>7.5999999999999998E-2</v>
      </c>
      <c r="Z183" s="6"/>
      <c r="AA183" s="297">
        <f>+W182-W183</f>
        <v>-20216</v>
      </c>
      <c r="AB183" s="6"/>
      <c r="AC183" s="301"/>
      <c r="AD183" s="294"/>
    </row>
    <row r="184" spans="15:30" x14ac:dyDescent="0.3">
      <c r="O184" s="110"/>
      <c r="T184" s="293"/>
      <c r="U184" s="295">
        <f t="shared" si="3"/>
        <v>44129</v>
      </c>
      <c r="V184" s="6"/>
      <c r="W184" s="296">
        <f>+I$36</f>
        <v>666352</v>
      </c>
      <c r="X184" s="6"/>
      <c r="Y184" s="44">
        <f>+L$36</f>
        <v>7.5165592795134184E-2</v>
      </c>
      <c r="Z184" s="6"/>
      <c r="AA184" s="297">
        <f>+W183-W184</f>
        <v>5232</v>
      </c>
      <c r="AB184" s="6"/>
      <c r="AC184" s="301"/>
      <c r="AD184" s="294"/>
    </row>
    <row r="185" spans="15:30" x14ac:dyDescent="0.3">
      <c r="O185" s="110"/>
      <c r="T185" s="293"/>
      <c r="U185" s="295">
        <f t="shared" si="3"/>
        <v>44130</v>
      </c>
      <c r="V185" s="6"/>
      <c r="W185" s="296"/>
      <c r="X185" s="6"/>
      <c r="Y185" s="44"/>
      <c r="Z185" s="6"/>
      <c r="AA185" s="297"/>
      <c r="AB185" s="6"/>
      <c r="AC185" s="301"/>
      <c r="AD185" s="294"/>
    </row>
    <row r="186" spans="15:30" x14ac:dyDescent="0.3">
      <c r="O186" s="110"/>
      <c r="T186" s="293"/>
      <c r="U186" s="295">
        <f>+U178+1</f>
        <v>44124</v>
      </c>
      <c r="V186" s="6"/>
      <c r="W186" s="296"/>
      <c r="X186" s="6"/>
      <c r="Y186" s="44"/>
      <c r="Z186" s="6"/>
      <c r="AA186" s="297"/>
      <c r="AB186" s="6"/>
      <c r="AC186" s="301"/>
      <c r="AD186" s="294"/>
    </row>
    <row r="187" spans="15:30" x14ac:dyDescent="0.3">
      <c r="O187" s="110"/>
      <c r="T187" s="293"/>
      <c r="U187" s="295">
        <f t="shared" si="3"/>
        <v>44125</v>
      </c>
      <c r="V187" s="6"/>
      <c r="W187" s="296"/>
      <c r="X187" s="6"/>
      <c r="Y187" s="44"/>
      <c r="Z187" s="6"/>
      <c r="AA187" s="297"/>
      <c r="AB187" s="6"/>
      <c r="AC187" s="301"/>
      <c r="AD187" s="294"/>
    </row>
    <row r="188" spans="15:30" ht="15" thickBot="1" x14ac:dyDescent="0.35">
      <c r="O188" s="110"/>
      <c r="T188" s="298"/>
      <c r="U188" s="393">
        <f t="shared" si="3"/>
        <v>44126</v>
      </c>
      <c r="V188" s="290"/>
      <c r="W188" s="394"/>
      <c r="X188" s="290"/>
      <c r="Y188" s="299"/>
      <c r="Z188" s="290"/>
      <c r="AA188" s="395"/>
      <c r="AB188" s="290"/>
      <c r="AC188" s="396"/>
      <c r="AD188" s="300"/>
    </row>
    <row r="189" spans="15:30" x14ac:dyDescent="0.3">
      <c r="O189" s="110"/>
    </row>
    <row r="190" spans="15:30" x14ac:dyDescent="0.3">
      <c r="O190" s="110"/>
      <c r="P190" s="57"/>
      <c r="Q190" s="57"/>
      <c r="R190" s="57"/>
    </row>
    <row r="191" spans="15:30" x14ac:dyDescent="0.3">
      <c r="O191" s="110"/>
    </row>
    <row r="192" spans="15:30" ht="15" thickBot="1" x14ac:dyDescent="0.35">
      <c r="O192" s="110"/>
    </row>
    <row r="193" spans="4:36" ht="15.6" thickTop="1" thickBot="1" x14ac:dyDescent="0.35">
      <c r="Q193" s="484"/>
      <c r="R193" s="485"/>
      <c r="S193" s="485"/>
      <c r="T193" s="485"/>
      <c r="U193" s="485"/>
      <c r="V193" s="485"/>
      <c r="W193" s="485"/>
      <c r="X193" s="485"/>
      <c r="Y193" s="485"/>
      <c r="Z193" s="485"/>
      <c r="AA193" s="485"/>
      <c r="AB193" s="486"/>
    </row>
    <row r="194" spans="4:36" ht="15" thickBot="1" x14ac:dyDescent="0.35">
      <c r="E194" s="698" t="s">
        <v>119</v>
      </c>
      <c r="F194" s="699"/>
      <c r="G194" s="699"/>
      <c r="H194" s="699"/>
      <c r="I194" s="699"/>
      <c r="J194" s="699"/>
      <c r="K194" s="699"/>
      <c r="L194" s="699"/>
      <c r="M194" s="700"/>
      <c r="Q194" s="487"/>
      <c r="R194" s="6"/>
      <c r="S194" s="6"/>
      <c r="T194" s="6"/>
      <c r="U194" s="5" t="s">
        <v>146</v>
      </c>
      <c r="V194" s="5"/>
      <c r="W194" s="5"/>
      <c r="X194" s="5"/>
      <c r="Y194" s="5"/>
      <c r="Z194" s="5"/>
      <c r="AA194" s="5" t="s">
        <v>30</v>
      </c>
      <c r="AB194" s="488"/>
    </row>
    <row r="195" spans="4:36" x14ac:dyDescent="0.3">
      <c r="E195" s="438"/>
      <c r="F195" s="439" t="s">
        <v>120</v>
      </c>
      <c r="G195" s="439"/>
      <c r="H195" s="439"/>
      <c r="I195" s="701">
        <v>21477737</v>
      </c>
      <c r="J195" s="701"/>
      <c r="K195" s="701"/>
      <c r="L195" s="701"/>
      <c r="M195" s="440"/>
      <c r="Q195" s="487"/>
      <c r="R195" s="480" t="s">
        <v>148</v>
      </c>
      <c r="S195" s="6"/>
      <c r="T195" s="6"/>
      <c r="U195" s="480" t="s">
        <v>147</v>
      </c>
      <c r="V195" s="5"/>
      <c r="W195" s="480" t="s">
        <v>20</v>
      </c>
      <c r="X195" s="5"/>
      <c r="Y195" s="480" t="s">
        <v>4</v>
      </c>
      <c r="Z195" s="5"/>
      <c r="AA195" s="489" t="s">
        <v>145</v>
      </c>
      <c r="AB195" s="488"/>
    </row>
    <row r="196" spans="4:36" x14ac:dyDescent="0.3">
      <c r="E196" s="438"/>
      <c r="F196" s="439" t="s">
        <v>110</v>
      </c>
      <c r="G196" s="439"/>
      <c r="H196" s="439"/>
      <c r="I196" s="439"/>
      <c r="J196" s="439"/>
      <c r="K196" s="439"/>
      <c r="L196" s="441">
        <f>+I208/I195</f>
        <v>4.5847474526762295E-4</v>
      </c>
      <c r="M196" s="440"/>
      <c r="Q196" s="487"/>
      <c r="R196" s="6" t="s">
        <v>135</v>
      </c>
      <c r="S196" s="6"/>
      <c r="T196" s="6"/>
      <c r="U196" s="7">
        <v>2003</v>
      </c>
      <c r="V196" s="6"/>
      <c r="W196" s="7">
        <v>389666</v>
      </c>
      <c r="X196" s="6"/>
      <c r="Y196" s="7">
        <v>31257</v>
      </c>
      <c r="Z196" s="6"/>
      <c r="AA196" s="296">
        <f>+AJ196</f>
        <v>19500</v>
      </c>
      <c r="AB196" s="488"/>
      <c r="AJ196" s="1">
        <v>19500</v>
      </c>
    </row>
    <row r="197" spans="4:36" x14ac:dyDescent="0.3">
      <c r="E197" s="438"/>
      <c r="F197" s="702" t="s">
        <v>108</v>
      </c>
      <c r="G197" s="702"/>
      <c r="H197" s="439"/>
      <c r="I197" s="439"/>
      <c r="J197" s="439"/>
      <c r="K197" s="439"/>
      <c r="L197" s="442">
        <f>+I208/(I195/100000)</f>
        <v>45.847474526762298</v>
      </c>
      <c r="M197" s="440"/>
      <c r="Q197" s="487"/>
      <c r="R197" s="6" t="s">
        <v>136</v>
      </c>
      <c r="S197" s="6"/>
      <c r="T197" s="6"/>
      <c r="U197" s="7">
        <v>1913</v>
      </c>
      <c r="V197" s="6"/>
      <c r="W197" s="7">
        <v>169892</v>
      </c>
      <c r="X197" s="6"/>
      <c r="Y197" s="7">
        <v>13076</v>
      </c>
      <c r="Z197" s="6"/>
      <c r="AA197" s="296">
        <f t="shared" ref="AA197:AA205" si="10">+AJ197</f>
        <v>8900</v>
      </c>
      <c r="AB197" s="488"/>
      <c r="AJ197" s="1">
        <v>8900</v>
      </c>
    </row>
    <row r="198" spans="4:36" x14ac:dyDescent="0.3">
      <c r="E198" s="438"/>
      <c r="F198" s="443"/>
      <c r="G198" s="443"/>
      <c r="H198" s="439"/>
      <c r="I198" s="439"/>
      <c r="J198" s="439"/>
      <c r="K198" s="439"/>
      <c r="L198" s="442"/>
      <c r="M198" s="440"/>
      <c r="Q198" s="487"/>
      <c r="R198" s="6" t="s">
        <v>137</v>
      </c>
      <c r="S198" s="6"/>
      <c r="T198" s="6"/>
      <c r="U198" s="7">
        <v>1568</v>
      </c>
      <c r="V198" s="6"/>
      <c r="W198" s="7">
        <v>16606</v>
      </c>
      <c r="X198" s="6"/>
      <c r="Y198" s="7">
        <v>912</v>
      </c>
      <c r="Z198" s="6"/>
      <c r="AA198" s="296">
        <f t="shared" si="10"/>
        <v>1100</v>
      </c>
      <c r="AB198" s="488"/>
      <c r="AJ198" s="1">
        <v>1100</v>
      </c>
    </row>
    <row r="199" spans="4:36" x14ac:dyDescent="0.3">
      <c r="E199" s="438"/>
      <c r="F199" s="443" t="s">
        <v>121</v>
      </c>
      <c r="G199" s="443"/>
      <c r="H199" s="702" t="s">
        <v>122</v>
      </c>
      <c r="I199" s="702"/>
      <c r="J199" s="439"/>
      <c r="K199" s="439"/>
      <c r="L199" s="442"/>
      <c r="M199" s="440"/>
      <c r="Q199" s="487"/>
      <c r="R199" s="6" t="s">
        <v>58</v>
      </c>
      <c r="S199" s="6"/>
      <c r="T199" s="6"/>
      <c r="U199" s="7">
        <v>1561</v>
      </c>
      <c r="V199" s="6"/>
      <c r="W199" s="7">
        <v>107611</v>
      </c>
      <c r="X199" s="6"/>
      <c r="Y199" s="7">
        <v>7937</v>
      </c>
      <c r="Z199" s="6"/>
      <c r="AA199" s="296">
        <f t="shared" si="10"/>
        <v>7000</v>
      </c>
      <c r="AB199" s="488"/>
      <c r="AJ199" s="1">
        <v>7000</v>
      </c>
    </row>
    <row r="200" spans="4:36" ht="15" thickBot="1" x14ac:dyDescent="0.35">
      <c r="E200" s="444"/>
      <c r="F200" s="445"/>
      <c r="G200" s="445"/>
      <c r="H200" s="445"/>
      <c r="I200" s="445"/>
      <c r="J200" s="445"/>
      <c r="K200" s="445"/>
      <c r="L200" s="445"/>
      <c r="M200" s="446"/>
      <c r="Q200" s="487"/>
      <c r="R200" s="6" t="s">
        <v>142</v>
      </c>
      <c r="S200" s="6"/>
      <c r="T200" s="6"/>
      <c r="U200" s="7">
        <v>1435</v>
      </c>
      <c r="V200" s="6"/>
      <c r="W200" s="7">
        <v>10128</v>
      </c>
      <c r="X200" s="6"/>
      <c r="Y200" s="7">
        <v>541</v>
      </c>
      <c r="Z200" s="6"/>
      <c r="AA200" s="296">
        <f t="shared" si="10"/>
        <v>700</v>
      </c>
      <c r="AB200" s="488"/>
      <c r="AJ200" s="1">
        <v>700</v>
      </c>
    </row>
    <row r="201" spans="4:36" x14ac:dyDescent="0.3">
      <c r="Q201" s="487"/>
      <c r="R201" s="6" t="s">
        <v>138</v>
      </c>
      <c r="S201" s="6"/>
      <c r="T201" s="6"/>
      <c r="U201" s="7">
        <v>1288</v>
      </c>
      <c r="V201" s="6"/>
      <c r="W201" s="7">
        <v>45913</v>
      </c>
      <c r="X201" s="6"/>
      <c r="Y201" s="7">
        <v>4287</v>
      </c>
      <c r="Z201" s="6"/>
      <c r="AA201" s="296">
        <f t="shared" si="10"/>
        <v>3600</v>
      </c>
      <c r="AB201" s="488"/>
      <c r="AJ201" s="1">
        <v>3600</v>
      </c>
    </row>
    <row r="202" spans="4:36" ht="15" thickBot="1" x14ac:dyDescent="0.35">
      <c r="D202" s="90"/>
      <c r="E202" s="151"/>
      <c r="F202" s="151"/>
      <c r="G202" s="151"/>
      <c r="H202" s="151"/>
      <c r="I202" s="353"/>
      <c r="J202" s="90"/>
      <c r="K202" s="110"/>
      <c r="L202" s="110"/>
      <c r="M202" s="110"/>
      <c r="N202" s="110"/>
      <c r="Q202" s="487"/>
      <c r="R202" s="6" t="s">
        <v>143</v>
      </c>
      <c r="S202" s="6"/>
      <c r="T202" s="6"/>
      <c r="U202" s="7">
        <v>1129</v>
      </c>
      <c r="V202" s="6"/>
      <c r="W202" s="7">
        <v>52477</v>
      </c>
      <c r="X202" s="6"/>
      <c r="Y202" s="7">
        <v>3152</v>
      </c>
      <c r="Z202" s="6"/>
      <c r="AA202" s="296">
        <f t="shared" si="10"/>
        <v>4600</v>
      </c>
      <c r="AB202" s="488"/>
      <c r="AJ202" s="1">
        <v>4600</v>
      </c>
    </row>
    <row r="203" spans="4:36" ht="16.2" thickBot="1" x14ac:dyDescent="0.35">
      <c r="D203" s="424"/>
      <c r="E203" s="703" t="s">
        <v>132</v>
      </c>
      <c r="F203" s="704"/>
      <c r="G203" s="704"/>
      <c r="H203" s="704"/>
      <c r="I203" s="704"/>
      <c r="J203" s="705"/>
      <c r="K203" s="425"/>
      <c r="L203" s="437" t="s">
        <v>10</v>
      </c>
      <c r="M203" s="426"/>
      <c r="N203" s="110"/>
      <c r="Q203" s="487"/>
      <c r="R203" s="6" t="s">
        <v>139</v>
      </c>
      <c r="S203" s="6"/>
      <c r="T203" s="6"/>
      <c r="U203" s="7">
        <v>1118</v>
      </c>
      <c r="V203" s="6"/>
      <c r="W203" s="7">
        <v>10889</v>
      </c>
      <c r="X203" s="6"/>
      <c r="Y203" s="7">
        <v>505</v>
      </c>
      <c r="Z203" s="6"/>
      <c r="AA203" s="296">
        <f t="shared" si="10"/>
        <v>980</v>
      </c>
      <c r="AB203" s="488"/>
      <c r="AJ203" s="1">
        <v>980</v>
      </c>
    </row>
    <row r="204" spans="4:36" x14ac:dyDescent="0.3">
      <c r="D204" s="403"/>
      <c r="E204" s="427" t="s">
        <v>88</v>
      </c>
      <c r="F204" s="16"/>
      <c r="G204" s="16"/>
      <c r="H204" s="16"/>
      <c r="I204" s="706">
        <f>+K81</f>
        <v>48675</v>
      </c>
      <c r="J204" s="706"/>
      <c r="K204" s="16"/>
      <c r="L204" s="60">
        <f>+I204/$I$204</f>
        <v>1</v>
      </c>
      <c r="M204" s="428"/>
      <c r="N204" s="110"/>
      <c r="Q204" s="487"/>
      <c r="R204" s="6" t="s">
        <v>140</v>
      </c>
      <c r="S204" s="6"/>
      <c r="T204" s="6"/>
      <c r="U204" s="7">
        <v>1093</v>
      </c>
      <c r="V204" s="6"/>
      <c r="W204" s="7">
        <v>138546</v>
      </c>
      <c r="X204" s="6"/>
      <c r="Y204" s="7">
        <v>6770</v>
      </c>
      <c r="Z204" s="6"/>
      <c r="AA204" s="296">
        <f t="shared" si="10"/>
        <v>12700</v>
      </c>
      <c r="AB204" s="488"/>
      <c r="AJ204" s="1">
        <v>12700</v>
      </c>
    </row>
    <row r="205" spans="4:36" x14ac:dyDescent="0.3">
      <c r="D205" s="403"/>
      <c r="E205" s="427"/>
      <c r="F205" s="16"/>
      <c r="G205" s="16"/>
      <c r="H205" s="16"/>
      <c r="I205" s="16"/>
      <c r="J205" s="16"/>
      <c r="K205" s="16"/>
      <c r="L205" s="16"/>
      <c r="M205" s="428"/>
      <c r="N205" s="110"/>
      <c r="Q205" s="487"/>
      <c r="R205" s="6" t="s">
        <v>141</v>
      </c>
      <c r="S205" s="6"/>
      <c r="T205" s="6"/>
      <c r="U205" s="490">
        <v>1081</v>
      </c>
      <c r="V205" s="6"/>
      <c r="W205" s="490">
        <v>65337</v>
      </c>
      <c r="X205" s="6"/>
      <c r="Y205" s="490">
        <v>3108</v>
      </c>
      <c r="Z205" s="6"/>
      <c r="AA205" s="491">
        <f t="shared" si="10"/>
        <v>6100</v>
      </c>
      <c r="AB205" s="488"/>
      <c r="AJ205" s="482">
        <v>6100</v>
      </c>
    </row>
    <row r="206" spans="4:36" x14ac:dyDescent="0.3">
      <c r="D206" s="415"/>
      <c r="E206" s="15"/>
      <c r="F206" s="429" t="s">
        <v>113</v>
      </c>
      <c r="G206" s="429"/>
      <c r="H206" s="15"/>
      <c r="I206" s="707">
        <f>+I81</f>
        <v>36684</v>
      </c>
      <c r="J206" s="708"/>
      <c r="K206" s="15"/>
      <c r="L206" s="60">
        <f>+I206/$I$204</f>
        <v>0.75365177195685673</v>
      </c>
      <c r="M206" s="408"/>
      <c r="N206" s="110"/>
      <c r="Q206" s="487"/>
      <c r="R206" s="5" t="s">
        <v>33</v>
      </c>
      <c r="S206" s="6"/>
      <c r="T206" s="6"/>
      <c r="U206" s="296">
        <f>+W206/(AA206/100)</f>
        <v>1545.0521632402579</v>
      </c>
      <c r="V206" s="6"/>
      <c r="W206" s="296">
        <f>SUM(W196:W205)</f>
        <v>1007065</v>
      </c>
      <c r="X206" s="6"/>
      <c r="Y206" s="296">
        <f>SUM(Y196:Y205)</f>
        <v>71545</v>
      </c>
      <c r="Z206" s="6"/>
      <c r="AA206" s="296">
        <f>SUM(AA196:AA205)</f>
        <v>65180</v>
      </c>
      <c r="AB206" s="488"/>
      <c r="AJ206" s="56">
        <f>SUM(AJ196:AJ205)</f>
        <v>65180</v>
      </c>
    </row>
    <row r="207" spans="4:36" x14ac:dyDescent="0.3">
      <c r="D207" s="415"/>
      <c r="E207" s="15"/>
      <c r="F207" s="15" t="s">
        <v>89</v>
      </c>
      <c r="G207" s="15"/>
      <c r="H207" s="15"/>
      <c r="I207" s="709">
        <f>+I75</f>
        <v>2144</v>
      </c>
      <c r="J207" s="710"/>
      <c r="K207" s="15"/>
      <c r="L207" s="60">
        <f>+I207/$I$204</f>
        <v>4.4047252182845401E-2</v>
      </c>
      <c r="M207" s="408"/>
      <c r="N207" s="110"/>
      <c r="Q207" s="487"/>
      <c r="R207" s="5"/>
      <c r="S207" s="6"/>
      <c r="T207" s="6"/>
      <c r="U207" s="6"/>
      <c r="V207" s="6"/>
      <c r="W207" s="296"/>
      <c r="X207" s="6"/>
      <c r="Y207" s="296"/>
      <c r="Z207" s="6"/>
      <c r="AA207" s="6"/>
      <c r="AB207" s="488"/>
      <c r="AJ207" s="56"/>
    </row>
    <row r="208" spans="4:36" ht="15" thickBot="1" x14ac:dyDescent="0.35">
      <c r="D208" s="415"/>
      <c r="E208" s="695" t="s">
        <v>114</v>
      </c>
      <c r="F208" s="695"/>
      <c r="G208" s="695"/>
      <c r="H208" s="15"/>
      <c r="I208" s="696">
        <f>+I204-I206-I207</f>
        <v>9847</v>
      </c>
      <c r="J208" s="697"/>
      <c r="K208" s="430"/>
      <c r="L208" s="431">
        <f>+I208/$I$204</f>
        <v>0.20230097586029788</v>
      </c>
      <c r="M208" s="408"/>
      <c r="N208" s="110"/>
      <c r="Q208" s="487"/>
      <c r="R208" s="5" t="s">
        <v>59</v>
      </c>
      <c r="S208" s="6"/>
      <c r="T208" s="6"/>
      <c r="U208" s="7">
        <v>7441</v>
      </c>
      <c r="V208" s="6"/>
      <c r="W208" s="7">
        <f>+'Main Table'!H106</f>
        <v>2465403</v>
      </c>
      <c r="X208" s="6"/>
      <c r="Y208" s="7">
        <f>+'Main Table'!AA106</f>
        <v>126977</v>
      </c>
      <c r="Z208" s="6"/>
      <c r="AA208" s="296">
        <v>331000</v>
      </c>
      <c r="AB208" s="488"/>
      <c r="AJ208" s="56">
        <v>333000</v>
      </c>
    </row>
    <row r="209" spans="4:36" ht="15.6" thickTop="1" thickBot="1" x14ac:dyDescent="0.35">
      <c r="D209" s="415"/>
      <c r="E209" s="432"/>
      <c r="F209" s="432"/>
      <c r="G209" s="432"/>
      <c r="H209" s="15"/>
      <c r="I209" s="433"/>
      <c r="J209" s="432"/>
      <c r="K209" s="430"/>
      <c r="L209" s="434"/>
      <c r="M209" s="408"/>
      <c r="N209" s="110"/>
      <c r="Q209" s="487"/>
      <c r="R209" s="5" t="s">
        <v>144</v>
      </c>
      <c r="S209" s="6"/>
      <c r="T209" s="6"/>
      <c r="U209" s="492"/>
      <c r="V209" s="6"/>
      <c r="W209" s="493">
        <f>+W206/W208</f>
        <v>0.40847885720914595</v>
      </c>
      <c r="X209" s="6"/>
      <c r="Y209" s="493">
        <f>+Y206/Y208</f>
        <v>0.56344849854698098</v>
      </c>
      <c r="Z209" s="6"/>
      <c r="AA209" s="493">
        <f>+AA206/AA208</f>
        <v>0.19691842900302114</v>
      </c>
      <c r="AB209" s="488"/>
      <c r="AJ209" s="483">
        <f>+AJ206/AJ208</f>
        <v>0.19573573573573574</v>
      </c>
    </row>
    <row r="210" spans="4:36" ht="15.6" thickTop="1" thickBot="1" x14ac:dyDescent="0.35">
      <c r="D210" s="435"/>
      <c r="E210" s="436"/>
      <c r="F210" s="436"/>
      <c r="G210" s="436"/>
      <c r="H210" s="436"/>
      <c r="I210" s="436"/>
      <c r="J210" s="436"/>
      <c r="K210" s="436"/>
      <c r="L210" s="436"/>
      <c r="M210" s="423"/>
      <c r="N210" s="110"/>
      <c r="Q210" s="494"/>
      <c r="R210" s="495"/>
      <c r="S210" s="495"/>
      <c r="T210" s="495"/>
      <c r="U210" s="495"/>
      <c r="V210" s="495"/>
      <c r="W210" s="495"/>
      <c r="X210" s="495"/>
      <c r="Y210" s="495"/>
      <c r="Z210" s="495"/>
      <c r="AA210" s="495"/>
      <c r="AB210" s="496"/>
    </row>
    <row r="214" spans="4:36" x14ac:dyDescent="0.3">
      <c r="F214" s="1">
        <v>1248371</v>
      </c>
    </row>
    <row r="215" spans="4:36" x14ac:dyDescent="0.3">
      <c r="W215" s="1"/>
    </row>
    <row r="216" spans="4:36" x14ac:dyDescent="0.3">
      <c r="F216">
        <v>700</v>
      </c>
    </row>
    <row r="217" spans="4:36" x14ac:dyDescent="0.3">
      <c r="F217" s="87">
        <f>+F216/F214</f>
        <v>5.6073074430597954E-4</v>
      </c>
    </row>
    <row r="219" spans="4:36" x14ac:dyDescent="0.3">
      <c r="F219" s="1">
        <v>60000</v>
      </c>
    </row>
    <row r="220" spans="4:36" x14ac:dyDescent="0.3">
      <c r="F220">
        <f>+F217*F219</f>
        <v>33.643844658358773</v>
      </c>
    </row>
    <row r="222" spans="4:36" x14ac:dyDescent="0.3">
      <c r="F222" s="1">
        <v>331000000</v>
      </c>
    </row>
    <row r="223" spans="4:36" x14ac:dyDescent="0.3">
      <c r="F223" s="56">
        <f>+W86</f>
        <v>811067</v>
      </c>
    </row>
    <row r="224" spans="4:36" x14ac:dyDescent="0.3">
      <c r="F224" s="57">
        <f>+F223/F222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08:G208"/>
    <mergeCell ref="I208:J208"/>
    <mergeCell ref="E194:M194"/>
    <mergeCell ref="I195:L195"/>
    <mergeCell ref="F197:G197"/>
    <mergeCell ref="E203:J203"/>
    <mergeCell ref="I204:J204"/>
    <mergeCell ref="I206:J206"/>
    <mergeCell ref="I207:J207"/>
    <mergeCell ref="H199:I199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1" t="s">
        <v>5</v>
      </c>
      <c r="C1" s="591"/>
      <c r="D1" s="591"/>
    </row>
    <row r="2" spans="2:31" ht="15.6" x14ac:dyDescent="0.3">
      <c r="B2" s="591" t="s">
        <v>6</v>
      </c>
      <c r="C2" s="591"/>
      <c r="D2" s="591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21" t="s">
        <v>23</v>
      </c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3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20" t="s">
        <v>62</v>
      </c>
      <c r="Z14" s="720"/>
      <c r="AA14" s="720"/>
      <c r="AB14" s="720"/>
      <c r="AC14" s="720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2020-10-26T09:48:46Z</dcterms:modified>
</cp:coreProperties>
</file>