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7E785C0C-69D8-4C65-BA02-D2B510A22953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Table'!$A$1:$CJ$248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241" i="1" l="1"/>
  <c r="BK240" i="1"/>
  <c r="BF247" i="1"/>
  <c r="BC247" i="1"/>
  <c r="AW247" i="1"/>
  <c r="AU247" i="1"/>
  <c r="AO247" i="1"/>
  <c r="AM247" i="1"/>
  <c r="Z247" i="1"/>
  <c r="Y247" i="1"/>
  <c r="R247" i="1"/>
  <c r="Q247" i="1"/>
  <c r="I247" i="1"/>
  <c r="BQ246" i="1"/>
  <c r="BQ247" i="1" s="1"/>
  <c r="BP246" i="1"/>
  <c r="BP247" i="1" s="1"/>
  <c r="BO246" i="1"/>
  <c r="BO247" i="1" s="1"/>
  <c r="BN246" i="1"/>
  <c r="BN247" i="1" s="1"/>
  <c r="BL246" i="1"/>
  <c r="BL247" i="1" s="1"/>
  <c r="BJ246" i="1"/>
  <c r="BJ247" i="1" s="1"/>
  <c r="BI246" i="1"/>
  <c r="BI247" i="1" s="1"/>
  <c r="BH246" i="1"/>
  <c r="BH247" i="1" s="1"/>
  <c r="BF246" i="1"/>
  <c r="BE246" i="1"/>
  <c r="BE247" i="1" s="1"/>
  <c r="BD246" i="1"/>
  <c r="BD247" i="1" s="1"/>
  <c r="BC246" i="1"/>
  <c r="BB246" i="1"/>
  <c r="BB247" i="1" s="1"/>
  <c r="AZ246" i="1"/>
  <c r="AZ247" i="1" s="1"/>
  <c r="AY246" i="1"/>
  <c r="AY247" i="1" s="1"/>
  <c r="AX246" i="1"/>
  <c r="AX247" i="1" s="1"/>
  <c r="AW246" i="1"/>
  <c r="AU246" i="1"/>
  <c r="AT246" i="1"/>
  <c r="AT247" i="1" s="1"/>
  <c r="AS246" i="1"/>
  <c r="AS247" i="1" s="1"/>
  <c r="AR246" i="1"/>
  <c r="AR247" i="1" s="1"/>
  <c r="AQ246" i="1"/>
  <c r="AQ247" i="1" s="1"/>
  <c r="AP246" i="1"/>
  <c r="AP247" i="1" s="1"/>
  <c r="AO246" i="1"/>
  <c r="AN246" i="1"/>
  <c r="AN247" i="1" s="1"/>
  <c r="AM246" i="1"/>
  <c r="AL246" i="1"/>
  <c r="AL247" i="1" s="1"/>
  <c r="AK246" i="1"/>
  <c r="AK247" i="1" s="1"/>
  <c r="AJ246" i="1"/>
  <c r="AJ247" i="1" s="1"/>
  <c r="AI246" i="1"/>
  <c r="AI247" i="1" s="1"/>
  <c r="AG246" i="1"/>
  <c r="AG247" i="1" s="1"/>
  <c r="AF246" i="1"/>
  <c r="AF247" i="1" s="1"/>
  <c r="AD246" i="1"/>
  <c r="AD247" i="1" s="1"/>
  <c r="AB246" i="1"/>
  <c r="AB247" i="1" s="1"/>
  <c r="Z246" i="1"/>
  <c r="Y246" i="1"/>
  <c r="X246" i="1"/>
  <c r="X247" i="1" s="1"/>
  <c r="W246" i="1"/>
  <c r="W247" i="1" s="1"/>
  <c r="V246" i="1"/>
  <c r="V247" i="1" s="1"/>
  <c r="U246" i="1"/>
  <c r="U247" i="1" s="1"/>
  <c r="T246" i="1"/>
  <c r="T247" i="1" s="1"/>
  <c r="S246" i="1"/>
  <c r="S247" i="1" s="1"/>
  <c r="R246" i="1"/>
  <c r="Q246" i="1"/>
  <c r="P246" i="1"/>
  <c r="P247" i="1" s="1"/>
  <c r="M246" i="1"/>
  <c r="M247" i="1" s="1"/>
  <c r="L246" i="1"/>
  <c r="L247" i="1" s="1"/>
  <c r="K246" i="1"/>
  <c r="K247" i="1" s="1"/>
  <c r="I246" i="1"/>
  <c r="D247" i="1"/>
  <c r="D246" i="1"/>
  <c r="BW236" i="1"/>
  <c r="AX236" i="1" s="1"/>
  <c r="BN236" i="1"/>
  <c r="BK236" i="1"/>
  <c r="BM236" i="1" s="1"/>
  <c r="BM246" i="1" s="1"/>
  <c r="BM247" i="1" s="1"/>
  <c r="BE236" i="1"/>
  <c r="BP236" i="1" s="1"/>
  <c r="BR236" i="1" s="1"/>
  <c r="BR246" i="1" s="1"/>
  <c r="BR247" i="1" s="1"/>
  <c r="BA236" i="1"/>
  <c r="BA246" i="1" s="1"/>
  <c r="BA247" i="1" s="1"/>
  <c r="AL236" i="1"/>
  <c r="AR236" i="1" s="1"/>
  <c r="AG236" i="1"/>
  <c r="AI236" i="1" s="1"/>
  <c r="AA236" i="1"/>
  <c r="AE236" i="1" s="1"/>
  <c r="AE246" i="1" s="1"/>
  <c r="AE247" i="1" s="1"/>
  <c r="V236" i="1"/>
  <c r="N236" i="1"/>
  <c r="N246" i="1" s="1"/>
  <c r="N247" i="1" s="1"/>
  <c r="J236" i="1"/>
  <c r="J246" i="1" s="1"/>
  <c r="J247" i="1" s="1"/>
  <c r="H236" i="1"/>
  <c r="AV236" i="1" s="1"/>
  <c r="AV246" i="1" s="1"/>
  <c r="AV247" i="1" s="1"/>
  <c r="I20" i="3"/>
  <c r="S23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E247" i="2"/>
  <c r="W237" i="2"/>
  <c r="K237" i="2"/>
  <c r="Q237" i="2" s="1"/>
  <c r="BK246" i="1" l="1"/>
  <c r="BK247" i="1" s="1"/>
  <c r="AA246" i="1"/>
  <c r="AA247" i="1" s="1"/>
  <c r="H246" i="1"/>
  <c r="H247" i="1" s="1"/>
  <c r="AH236" i="1"/>
  <c r="AH246" i="1" s="1"/>
  <c r="O236" i="1"/>
  <c r="O246" i="1" s="1"/>
  <c r="O247" i="1" s="1"/>
  <c r="BG236" i="1"/>
  <c r="BG246" i="1" s="1"/>
  <c r="BG247" i="1" s="1"/>
  <c r="AC236" i="1"/>
  <c r="AC246" i="1" s="1"/>
  <c r="AC247" i="1" s="1"/>
  <c r="U237" i="2"/>
  <c r="U247" i="2" s="1"/>
  <c r="M237" i="2"/>
  <c r="BW235" i="1"/>
  <c r="BW237" i="1" s="1"/>
  <c r="BW238" i="1" s="1"/>
  <c r="BW239" i="1" s="1"/>
  <c r="BW240" i="1" s="1"/>
  <c r="BW241" i="1" s="1"/>
  <c r="BW242" i="1" s="1"/>
  <c r="BW243" i="1" s="1"/>
  <c r="BE235" i="1"/>
  <c r="BP235" i="1" s="1"/>
  <c r="BR235" i="1" s="1"/>
  <c r="BA235" i="1"/>
  <c r="BK235" i="1" s="1"/>
  <c r="BM235" i="1" s="1"/>
  <c r="AX235" i="1"/>
  <c r="AL235" i="1"/>
  <c r="AR235" i="1" s="1"/>
  <c r="AH235" i="1"/>
  <c r="AH247" i="1" s="1"/>
  <c r="AG235" i="1"/>
  <c r="AI235" i="1" s="1"/>
  <c r="AA235" i="1"/>
  <c r="V235" i="1"/>
  <c r="N235" i="1"/>
  <c r="J235" i="1"/>
  <c r="H235" i="1"/>
  <c r="AV235" i="1" s="1"/>
  <c r="S236" i="2"/>
  <c r="W236" i="2"/>
  <c r="W238" i="2" s="1"/>
  <c r="W239" i="2" s="1"/>
  <c r="W240" i="2" s="1"/>
  <c r="W241" i="2" s="1"/>
  <c r="W242" i="2" s="1"/>
  <c r="W243" i="2" s="1"/>
  <c r="W244" i="2" s="1"/>
  <c r="U236" i="2"/>
  <c r="K236" i="2"/>
  <c r="Q236" i="2" s="1"/>
  <c r="BC258" i="1"/>
  <c r="BA262" i="1"/>
  <c r="BA261" i="1"/>
  <c r="BW234" i="1"/>
  <c r="AX234" i="1" s="1"/>
  <c r="BN234" i="1"/>
  <c r="BE234" i="1"/>
  <c r="BA234" i="1"/>
  <c r="AL234" i="1"/>
  <c r="AR234" i="1" s="1"/>
  <c r="AG234" i="1"/>
  <c r="AI234" i="1" s="1"/>
  <c r="AA234" i="1"/>
  <c r="AE234" i="1" s="1"/>
  <c r="V234" i="1"/>
  <c r="N234" i="1"/>
  <c r="J234" i="1"/>
  <c r="H234" i="1"/>
  <c r="AV234" i="1" s="1"/>
  <c r="S235" i="2"/>
  <c r="W235" i="2"/>
  <c r="K235" i="2"/>
  <c r="M235" i="2" s="1"/>
  <c r="C235" i="2"/>
  <c r="C236" i="2" s="1"/>
  <c r="C237" i="2" s="1"/>
  <c r="C238" i="2" s="1"/>
  <c r="C239" i="2" s="1"/>
  <c r="C240" i="2" s="1"/>
  <c r="C241" i="2" s="1"/>
  <c r="C242" i="2" s="1"/>
  <c r="C243" i="2" s="1"/>
  <c r="C244" i="2" s="1"/>
  <c r="B234" i="1"/>
  <c r="B235" i="1" s="1"/>
  <c r="B236" i="1" s="1"/>
  <c r="B237" i="1" s="1"/>
  <c r="B238" i="1" s="1"/>
  <c r="B239" i="1" s="1"/>
  <c r="B240" i="1" s="1"/>
  <c r="B241" i="1" s="1"/>
  <c r="B242" i="1" s="1"/>
  <c r="B243" i="1" s="1"/>
  <c r="AC235" i="1" l="1"/>
  <c r="BG235" i="1"/>
  <c r="BN235" i="1"/>
  <c r="AE235" i="1"/>
  <c r="O235" i="1"/>
  <c r="M236" i="2"/>
  <c r="BG234" i="1"/>
  <c r="BK234" i="1"/>
  <c r="O234" i="1"/>
  <c r="BP234" i="1"/>
  <c r="AC234" i="1"/>
  <c r="U235" i="2"/>
  <c r="Q235" i="2"/>
  <c r="BM234" i="1" l="1"/>
  <c r="BR234" i="1"/>
  <c r="AH234" i="1" l="1"/>
  <c r="BE233" i="1"/>
  <c r="BA233" i="1"/>
  <c r="AL233" i="1"/>
  <c r="AR233" i="1" s="1"/>
  <c r="AG233" i="1"/>
  <c r="N233" i="1"/>
  <c r="S234" i="2"/>
  <c r="K234" i="2"/>
  <c r="M234" i="2" s="1"/>
  <c r="BG233" i="1" l="1"/>
  <c r="Q234" i="2"/>
  <c r="U234" i="2"/>
  <c r="AH233" i="1"/>
  <c r="BE232" i="1"/>
  <c r="BG232" i="1" s="1"/>
  <c r="BA232" i="1"/>
  <c r="AL232" i="1"/>
  <c r="AR232" i="1" s="1"/>
  <c r="AG232" i="1"/>
  <c r="N232" i="1"/>
  <c r="S233" i="2"/>
  <c r="K233" i="2"/>
  <c r="Q233" i="2" s="1"/>
  <c r="U233" i="2" l="1"/>
  <c r="M233" i="2"/>
  <c r="AH232" i="1"/>
  <c r="BE231" i="1"/>
  <c r="BG231" i="1" s="1"/>
  <c r="BA231" i="1"/>
  <c r="AL231" i="1"/>
  <c r="AR231" i="1" s="1"/>
  <c r="AG231" i="1"/>
  <c r="N231" i="1"/>
  <c r="S232" i="2"/>
  <c r="K232" i="2"/>
  <c r="Q232" i="2" s="1"/>
  <c r="U187" i="3"/>
  <c r="U188" i="3" s="1"/>
  <c r="U189" i="3" s="1"/>
  <c r="U190" i="3" s="1"/>
  <c r="U191" i="3" s="1"/>
  <c r="U192" i="3" s="1"/>
  <c r="U193" i="3" s="1"/>
  <c r="U194" i="3" s="1"/>
  <c r="U195" i="3" s="1"/>
  <c r="U196" i="3" s="1"/>
  <c r="U232" i="2" l="1"/>
  <c r="M232" i="2"/>
  <c r="BA268" i="1" l="1"/>
  <c r="BA267" i="1"/>
  <c r="AR267" i="1"/>
  <c r="AR270" i="1" s="1"/>
  <c r="AP267" i="1"/>
  <c r="AR266" i="1"/>
  <c r="AV266" i="1" s="1"/>
  <c r="AP266" i="1"/>
  <c r="AR265" i="1"/>
  <c r="AV265" i="1" s="1"/>
  <c r="AP265" i="1"/>
  <c r="AV267" i="1" l="1"/>
  <c r="AH231" i="1"/>
  <c r="BE230" i="1"/>
  <c r="BA230" i="1"/>
  <c r="AL230" i="1"/>
  <c r="AR230" i="1" s="1"/>
  <c r="AG230" i="1"/>
  <c r="N230" i="1"/>
  <c r="S231" i="2"/>
  <c r="K231" i="2"/>
  <c r="Q231" i="2" s="1"/>
  <c r="BG230" i="1" l="1"/>
  <c r="U231" i="2"/>
  <c r="M231" i="2"/>
  <c r="S230" i="2"/>
  <c r="BE229" i="1" l="1"/>
  <c r="BA229" i="1"/>
  <c r="AL229" i="1"/>
  <c r="AG229" i="1"/>
  <c r="N229" i="1"/>
  <c r="K230" i="2"/>
  <c r="Q230" i="2" s="1"/>
  <c r="AR229" i="1" l="1"/>
  <c r="BG229" i="1"/>
  <c r="U230" i="2"/>
  <c r="M230" i="2"/>
  <c r="BE228" i="1"/>
  <c r="BA228" i="1"/>
  <c r="AL228" i="1"/>
  <c r="AR228" i="1" s="1"/>
  <c r="AG228" i="1"/>
  <c r="N228" i="1"/>
  <c r="S229" i="2"/>
  <c r="K229" i="2"/>
  <c r="M229" i="2" s="1"/>
  <c r="BE227" i="1"/>
  <c r="BA227" i="1"/>
  <c r="BK233" i="1" s="1"/>
  <c r="AL227" i="1"/>
  <c r="AR227" i="1" s="1"/>
  <c r="AG227" i="1"/>
  <c r="N227" i="1"/>
  <c r="S228" i="2"/>
  <c r="K228" i="2"/>
  <c r="Q228" i="2" s="1"/>
  <c r="BE226" i="1"/>
  <c r="BA226" i="1"/>
  <c r="AL226" i="1"/>
  <c r="AR226" i="1" s="1"/>
  <c r="AG226" i="1"/>
  <c r="AI233" i="1" s="1"/>
  <c r="N226" i="1"/>
  <c r="S227" i="2"/>
  <c r="K227" i="2"/>
  <c r="Q227" i="2" s="1"/>
  <c r="BM233" i="1" l="1"/>
  <c r="BK232" i="1"/>
  <c r="BM232" i="1" s="1"/>
  <c r="BG228" i="1"/>
  <c r="U229" i="2"/>
  <c r="Q229" i="2"/>
  <c r="BG227" i="1"/>
  <c r="U228" i="2"/>
  <c r="M228" i="2"/>
  <c r="BG226" i="1"/>
  <c r="U227" i="2"/>
  <c r="M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6" i="2" s="1"/>
  <c r="BG225" i="1" l="1"/>
  <c r="Q226" i="2"/>
  <c r="U226" i="2"/>
  <c r="BE224" i="1"/>
  <c r="BA224" i="1"/>
  <c r="BK230" i="1" s="1"/>
  <c r="AL224" i="1"/>
  <c r="AR224" i="1" s="1"/>
  <c r="AG224" i="1"/>
  <c r="AI231" i="1" s="1"/>
  <c r="N224" i="1"/>
  <c r="S225" i="2"/>
  <c r="K225" i="2"/>
  <c r="M225" i="2" s="1"/>
  <c r="BM230" i="1" l="1"/>
  <c r="BG224" i="1"/>
  <c r="U225" i="2"/>
  <c r="Q225" i="2"/>
  <c r="S224" i="2"/>
  <c r="K224" i="2"/>
  <c r="Q224" i="2" s="1"/>
  <c r="BE223" i="1"/>
  <c r="BA223" i="1"/>
  <c r="BK229" i="1" s="1"/>
  <c r="BM229" i="1" s="1"/>
  <c r="AL223" i="1"/>
  <c r="AR223" i="1" s="1"/>
  <c r="AG223" i="1"/>
  <c r="AI230" i="1" s="1"/>
  <c r="N223" i="1"/>
  <c r="U224" i="2" l="1"/>
  <c r="M224" i="2"/>
  <c r="BG223" i="1"/>
  <c r="BE222" i="1" l="1"/>
  <c r="BA222" i="1"/>
  <c r="AL222" i="1"/>
  <c r="AR222" i="1" s="1"/>
  <c r="AG222" i="1"/>
  <c r="N222" i="1"/>
  <c r="S223" i="2"/>
  <c r="K223" i="2"/>
  <c r="Q223" i="2" s="1"/>
  <c r="BK228" i="1" l="1"/>
  <c r="BM228" i="1" s="1"/>
  <c r="AI229" i="1"/>
  <c r="BG222" i="1"/>
  <c r="U223" i="2"/>
  <c r="M223" i="2"/>
  <c r="BE221" i="1" l="1"/>
  <c r="BA221" i="1"/>
  <c r="BK227" i="1" s="1"/>
  <c r="BM227" i="1" s="1"/>
  <c r="AL221" i="1"/>
  <c r="AR221" i="1" s="1"/>
  <c r="AG221" i="1"/>
  <c r="N221" i="1"/>
  <c r="S222" i="2"/>
  <c r="K222" i="2"/>
  <c r="M222" i="2" s="1"/>
  <c r="AI228" i="1" l="1"/>
  <c r="BG221" i="1"/>
  <c r="U222" i="2"/>
  <c r="Q222" i="2"/>
  <c r="BE220" i="1" l="1"/>
  <c r="BA220" i="1"/>
  <c r="AL220" i="1"/>
  <c r="AR220" i="1" s="1"/>
  <c r="AG220" i="1"/>
  <c r="N220" i="1"/>
  <c r="S221" i="2"/>
  <c r="U221" i="2"/>
  <c r="K221" i="2"/>
  <c r="M221" i="2" s="1"/>
  <c r="BK226" i="1" l="1"/>
  <c r="BM226" i="1" s="1"/>
  <c r="AI227" i="1"/>
  <c r="BG220" i="1"/>
  <c r="Q221" i="2"/>
  <c r="BE219" i="1"/>
  <c r="BA219" i="1"/>
  <c r="AL219" i="1"/>
  <c r="AR219" i="1" s="1"/>
  <c r="AG219" i="1"/>
  <c r="AI226" i="1" s="1"/>
  <c r="N219" i="1"/>
  <c r="S220" i="2"/>
  <c r="K220" i="2"/>
  <c r="Q220" i="2" s="1"/>
  <c r="BK225" i="1" l="1"/>
  <c r="BM225" i="1" s="1"/>
  <c r="BG219" i="1"/>
  <c r="U220" i="2"/>
  <c r="M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19" i="2" s="1"/>
  <c r="BG218" i="1" l="1"/>
  <c r="U219" i="2"/>
  <c r="M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8" i="2" s="1"/>
  <c r="BG217" i="1" l="1"/>
  <c r="U218" i="2"/>
  <c r="M218" i="2"/>
  <c r="BE216" i="1"/>
  <c r="S217" i="2"/>
  <c r="BA311" i="1"/>
  <c r="N214" i="1"/>
  <c r="N204" i="1"/>
  <c r="BA310" i="1" s="1"/>
  <c r="BC310" i="1" s="1"/>
  <c r="BE310" i="1" s="1"/>
  <c r="N174" i="1"/>
  <c r="BA309" i="1" s="1"/>
  <c r="N112" i="1"/>
  <c r="BA216" i="1"/>
  <c r="BK222" i="1" s="1"/>
  <c r="BM222" i="1" s="1"/>
  <c r="AL216" i="1"/>
  <c r="AR216" i="1" s="1"/>
  <c r="AG216" i="1"/>
  <c r="AI223" i="1" s="1"/>
  <c r="N216" i="1"/>
  <c r="K217" i="2"/>
  <c r="M217" i="2" s="1"/>
  <c r="BC311" i="1" l="1"/>
  <c r="BE311" i="1" s="1"/>
  <c r="BG216" i="1"/>
  <c r="U217" i="2"/>
  <c r="Q217" i="2"/>
  <c r="BS246" i="1" l="1"/>
  <c r="BS247" i="1" s="1"/>
  <c r="BE215" i="1"/>
  <c r="BA215" i="1"/>
  <c r="BK221" i="1" s="1"/>
  <c r="BM221" i="1" s="1"/>
  <c r="AL215" i="1"/>
  <c r="AR215" i="1" s="1"/>
  <c r="AG215" i="1"/>
  <c r="AI222" i="1" s="1"/>
  <c r="N215" i="1"/>
  <c r="S216" i="2"/>
  <c r="K216" i="2"/>
  <c r="M216" i="2" s="1"/>
  <c r="BG215" i="1" l="1"/>
  <c r="U216" i="2"/>
  <c r="Q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BK219" i="1" l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B256" i="1"/>
  <c r="D250" i="1"/>
  <c r="D249" i="1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AG250" i="1" l="1"/>
  <c r="S209" i="2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M209" i="2"/>
  <c r="K208" i="2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279" i="1"/>
  <c r="H279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O249" i="1" l="1"/>
  <c r="AA249" i="1"/>
  <c r="AA250" i="1" s="1"/>
  <c r="W249" i="1"/>
  <c r="W250" i="1" s="1"/>
  <c r="S204" i="2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298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V247" i="2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Q198" i="2"/>
  <c r="S197" i="2"/>
  <c r="K197" i="2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Q195" i="2" s="1"/>
  <c r="G246" i="1"/>
  <c r="G247" i="1" s="1"/>
  <c r="F246" i="1"/>
  <c r="F247" i="1" s="1"/>
  <c r="E246" i="1"/>
  <c r="E247" i="1" s="1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M194" i="2" s="1"/>
  <c r="BE192" i="1"/>
  <c r="BA192" i="1"/>
  <c r="AL192" i="1"/>
  <c r="AR192" i="1" s="1"/>
  <c r="AG192" i="1"/>
  <c r="AI199" i="1" s="1"/>
  <c r="N192" i="1"/>
  <c r="S193" i="2"/>
  <c r="K193" i="2"/>
  <c r="Q196" i="2" l="1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251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N186" i="1"/>
  <c r="S187" i="2"/>
  <c r="K187" i="2"/>
  <c r="BE185" i="1"/>
  <c r="BA185" i="1"/>
  <c r="AL185" i="1"/>
  <c r="AR185" i="1" s="1"/>
  <c r="AG185" i="1"/>
  <c r="AI192" i="1" s="1"/>
  <c r="Q185" i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N182" i="1"/>
  <c r="K183" i="2"/>
  <c r="BE181" i="1"/>
  <c r="BA181" i="1"/>
  <c r="AL181" i="1"/>
  <c r="AR181" i="1" s="1"/>
  <c r="AG181" i="1"/>
  <c r="AI188" i="1" s="1"/>
  <c r="Q181" i="1"/>
  <c r="N181" i="1"/>
  <c r="S182" i="2"/>
  <c r="K182" i="2"/>
  <c r="M182" i="2" s="1"/>
  <c r="BE180" i="1"/>
  <c r="BA180" i="1"/>
  <c r="AL180" i="1"/>
  <c r="AR180" i="1" s="1"/>
  <c r="AG180" i="1"/>
  <c r="Q180" i="1"/>
  <c r="N180" i="1"/>
  <c r="S181" i="2"/>
  <c r="K181" i="2"/>
  <c r="M181" i="2" s="1"/>
  <c r="S180" i="2"/>
  <c r="U180" i="2" s="1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Q179" i="2" l="1"/>
  <c r="M183" i="2"/>
  <c r="Q184" i="2"/>
  <c r="M184" i="2"/>
  <c r="U182" i="2"/>
  <c r="BC251" i="1"/>
  <c r="BE251" i="1" s="1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249" i="1"/>
  <c r="BK252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Q174" i="2" s="1"/>
  <c r="S173" i="2"/>
  <c r="BA256" i="1"/>
  <c r="BE172" i="1"/>
  <c r="BA172" i="1"/>
  <c r="AL172" i="1"/>
  <c r="AG172" i="1"/>
  <c r="Q172" i="1"/>
  <c r="S179" i="1" s="1"/>
  <c r="N172" i="1"/>
  <c r="K173" i="2"/>
  <c r="M175" i="2" l="1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M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Q173" i="2" l="1"/>
  <c r="BG171" i="1"/>
  <c r="BK177" i="1"/>
  <c r="BM177" i="1" s="1"/>
  <c r="U172" i="2"/>
  <c r="S170" i="2" l="1"/>
  <c r="K170" i="2"/>
  <c r="S171" i="2"/>
  <c r="U171" i="2" s="1"/>
  <c r="K171" i="2"/>
  <c r="Q172" i="2" l="1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Q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M160" i="2" s="1"/>
  <c r="S159" i="2"/>
  <c r="BE158" i="1"/>
  <c r="BA158" i="1"/>
  <c r="AL158" i="1"/>
  <c r="AR158" i="1" s="1"/>
  <c r="AG158" i="1"/>
  <c r="Q158" i="1"/>
  <c r="K159" i="2"/>
  <c r="Q161" i="2" l="1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299" i="1"/>
  <c r="AP300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294" i="1"/>
  <c r="H295" i="1"/>
  <c r="J295" i="1" s="1"/>
  <c r="H296" i="1"/>
  <c r="J296" i="1" s="1"/>
  <c r="S154" i="2"/>
  <c r="M156" i="2" l="1"/>
  <c r="Q156" i="2"/>
  <c r="O296" i="1"/>
  <c r="AI154" i="1"/>
  <c r="AI161" i="1"/>
  <c r="BK160" i="1"/>
  <c r="BM160" i="1" s="1"/>
  <c r="AR154" i="1"/>
  <c r="BG154" i="1"/>
  <c r="U155" i="2"/>
  <c r="M155" i="2"/>
  <c r="J294" i="1"/>
  <c r="J301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Q155" i="2" l="1"/>
  <c r="O297" i="1"/>
  <c r="AA296" i="1"/>
  <c r="BG153" i="1"/>
  <c r="AI153" i="1"/>
  <c r="U154" i="2"/>
  <c r="S153" i="2"/>
  <c r="AG112" i="1" l="1"/>
  <c r="N131" i="1"/>
  <c r="K153" i="2"/>
  <c r="K152" i="2"/>
  <c r="S152" i="2"/>
  <c r="U152" i="2"/>
  <c r="M153" i="2" l="1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233" i="3"/>
  <c r="F232" i="3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M147" i="2" l="1"/>
  <c r="Q147" i="2"/>
  <c r="BC250" i="1"/>
  <c r="BE250" i="1" s="1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272" i="1" l="1"/>
  <c r="AR264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271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276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M134" i="2"/>
  <c r="Q134" i="2"/>
  <c r="BM138" i="1"/>
  <c r="BG132" i="1"/>
  <c r="U133" i="2"/>
  <c r="S132" i="2" l="1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S137" i="1" l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9" i="2" l="1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Q128" i="2" l="1"/>
  <c r="BG126" i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263" i="1" s="1"/>
  <c r="AH113" i="1"/>
  <c r="AP263" i="1" s="1"/>
  <c r="BE124" i="1"/>
  <c r="BA124" i="1"/>
  <c r="AL124" i="1"/>
  <c r="AG124" i="1"/>
  <c r="AI131" i="1" s="1"/>
  <c r="K125" i="2"/>
  <c r="S124" i="2"/>
  <c r="AV263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S122" i="2"/>
  <c r="D283" i="1"/>
  <c r="BE121" i="1"/>
  <c r="BA121" i="1"/>
  <c r="AL121" i="1"/>
  <c r="AR121" i="1" s="1"/>
  <c r="K122" i="2"/>
  <c r="M123" i="2" s="1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H250" i="1" l="1"/>
  <c r="N143" i="1"/>
  <c r="BA308" i="1" s="1"/>
  <c r="AG270" i="1"/>
  <c r="AP264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BG311" i="1" l="1"/>
  <c r="BC309" i="1"/>
  <c r="BE309" i="1" s="1"/>
  <c r="AV264" i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C252" i="1" s="1"/>
  <c r="BE252" i="1" s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214" i="3"/>
  <c r="AA213" i="3"/>
  <c r="AA212" i="3"/>
  <c r="AA211" i="3"/>
  <c r="AA210" i="3"/>
  <c r="AA209" i="3"/>
  <c r="AA208" i="3"/>
  <c r="AA207" i="3"/>
  <c r="AA206" i="3"/>
  <c r="AA205" i="3"/>
  <c r="AJ215" i="3"/>
  <c r="AJ218" i="3" s="1"/>
  <c r="Y215" i="3"/>
  <c r="W215" i="3"/>
  <c r="S107" i="2"/>
  <c r="AA215" i="3" l="1"/>
  <c r="AA218" i="3" s="1"/>
  <c r="U215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226" i="3"/>
  <c r="F229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262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D262" i="1"/>
  <c r="I60" i="3"/>
  <c r="AH230" i="1" l="1"/>
  <c r="AH222" i="1"/>
  <c r="AH219" i="1"/>
  <c r="AH228" i="1"/>
  <c r="AH225" i="1"/>
  <c r="AH217" i="1"/>
  <c r="AH229" i="1"/>
  <c r="AH221" i="1"/>
  <c r="AH226" i="1"/>
  <c r="AH215" i="1"/>
  <c r="AH227" i="1"/>
  <c r="AH218" i="1"/>
  <c r="AH216" i="1"/>
  <c r="AH220" i="1"/>
  <c r="AH223" i="1"/>
  <c r="AH224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262" i="1"/>
  <c r="AV262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216" i="3" l="1"/>
  <c r="I213" i="3"/>
  <c r="L213" i="3" s="1"/>
  <c r="I78" i="3"/>
  <c r="I80" i="3" s="1"/>
  <c r="I77" i="3"/>
  <c r="BE64" i="1"/>
  <c r="BA64" i="1"/>
  <c r="AL64" i="1"/>
  <c r="AR64" i="1" s="1"/>
  <c r="K65" i="2"/>
  <c r="Y19" i="3"/>
  <c r="Q66" i="2" l="1"/>
  <c r="M66" i="2"/>
  <c r="L216" i="3"/>
  <c r="I79" i="3"/>
  <c r="I81" i="3" s="1"/>
  <c r="I82" i="3" s="1"/>
  <c r="BG64" i="1"/>
  <c r="U65" i="2"/>
  <c r="S64" i="2"/>
  <c r="N81" i="3" l="1"/>
  <c r="N82" i="3" s="1"/>
  <c r="I215" i="3"/>
  <c r="L215" i="3" s="1"/>
  <c r="K64" i="2"/>
  <c r="BE63" i="1"/>
  <c r="BA63" i="1"/>
  <c r="AL63" i="1"/>
  <c r="AR63" i="1" s="1"/>
  <c r="Y18" i="3"/>
  <c r="Q65" i="2" l="1"/>
  <c r="M65" i="2"/>
  <c r="I217" i="3"/>
  <c r="U64" i="2"/>
  <c r="BG63" i="1"/>
  <c r="L206" i="3" l="1"/>
  <c r="L217" i="3"/>
  <c r="L205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L51" i="7"/>
  <c r="K54" i="2"/>
  <c r="BE53" i="1"/>
  <c r="BA53" i="1"/>
  <c r="AL53" i="1"/>
  <c r="AR53" i="1" s="1"/>
  <c r="F73" i="7"/>
  <c r="F71" i="7"/>
  <c r="S53" i="2"/>
  <c r="L50" i="7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259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G35" i="2"/>
  <c r="G34" i="2"/>
  <c r="G33" i="2"/>
  <c r="G32" i="2"/>
  <c r="K32" i="2" s="1"/>
  <c r="G31" i="2"/>
  <c r="K31" i="2" s="1"/>
  <c r="K52" i="2"/>
  <c r="K50" i="2"/>
  <c r="K49" i="2"/>
  <c r="K46" i="2"/>
  <c r="K43" i="2"/>
  <c r="K42" i="2"/>
  <c r="K41" i="2"/>
  <c r="K39" i="2"/>
  <c r="K35" i="2"/>
  <c r="K34" i="2"/>
  <c r="K33" i="2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U197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307" i="1"/>
  <c r="B310" i="1"/>
  <c r="C196" i="2" l="1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C202" i="2" l="1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C207" i="2" l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C223" i="2" l="1"/>
  <c r="C224" i="2" s="1"/>
  <c r="C225" i="2" s="1"/>
  <c r="C226" i="2" s="1"/>
  <c r="C227" i="2" s="1"/>
  <c r="W152" i="2"/>
  <c r="W153" i="2" s="1"/>
  <c r="BW22" i="1"/>
  <c r="AX21" i="1"/>
  <c r="BG45" i="1"/>
  <c r="C228" i="2" l="1"/>
  <c r="C229" i="2" s="1"/>
  <c r="C230" i="2" s="1"/>
  <c r="C231" i="2" s="1"/>
  <c r="C232" i="2" s="1"/>
  <c r="C233" i="2" s="1"/>
  <c r="C234" i="2" s="1"/>
  <c r="C245" i="2" s="1"/>
  <c r="W154" i="2"/>
  <c r="W155" i="2" s="1"/>
  <c r="BW23" i="1"/>
  <c r="AX22" i="1"/>
  <c r="BE44" i="1"/>
  <c r="BA44" i="1"/>
  <c r="AL44" i="1"/>
  <c r="AR44" i="1" s="1"/>
  <c r="W156" i="2" l="1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W162" i="2" l="1"/>
  <c r="W163" i="2" s="1"/>
  <c r="W164" i="2" s="1"/>
  <c r="BW25" i="1"/>
  <c r="AX24" i="1"/>
  <c r="BE43" i="1"/>
  <c r="BG43" i="1" s="1"/>
  <c r="W165" i="2" l="1"/>
  <c r="W166" i="2" s="1"/>
  <c r="BW26" i="1"/>
  <c r="AX25" i="1"/>
  <c r="BE42" i="1"/>
  <c r="BA42" i="1"/>
  <c r="AL42" i="1"/>
  <c r="AR42" i="1" s="1"/>
  <c r="W167" i="2" l="1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W183" i="2" l="1"/>
  <c r="BW28" i="1"/>
  <c r="AX27" i="1"/>
  <c r="BE41" i="1"/>
  <c r="BA41" i="1"/>
  <c r="BK47" i="1" s="1"/>
  <c r="BM47" i="1" s="1"/>
  <c r="AL41" i="1"/>
  <c r="AR41" i="1" s="1"/>
  <c r="W184" i="2" l="1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W193" i="2" l="1"/>
  <c r="BW30" i="1"/>
  <c r="AX29" i="1"/>
  <c r="BE40" i="1"/>
  <c r="BA40" i="1"/>
  <c r="AL40" i="1"/>
  <c r="AR40" i="1" s="1"/>
  <c r="BE39" i="1"/>
  <c r="BA39" i="1"/>
  <c r="AL39" i="1"/>
  <c r="AR39" i="1" s="1"/>
  <c r="W194" i="2" l="1"/>
  <c r="W195" i="2" s="1"/>
  <c r="BW31" i="1"/>
  <c r="AX30" i="1"/>
  <c r="BG40" i="1"/>
  <c r="W196" i="2" l="1"/>
  <c r="BW32" i="1"/>
  <c r="AX31" i="1"/>
  <c r="BE38" i="1"/>
  <c r="BA38" i="1"/>
  <c r="AL38" i="1"/>
  <c r="AR38" i="1" s="1"/>
  <c r="W197" i="2" l="1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W207" i="2" l="1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W216" i="2" l="1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W223" i="2" l="1"/>
  <c r="BW36" i="1"/>
  <c r="AX35" i="1"/>
  <c r="BE33" i="1"/>
  <c r="BA33" i="1"/>
  <c r="AL33" i="1"/>
  <c r="AR33" i="1" s="1"/>
  <c r="BE32" i="1"/>
  <c r="BA32" i="1"/>
  <c r="AL32" i="1"/>
  <c r="AR32" i="1" s="1"/>
  <c r="W224" i="2" l="1"/>
  <c r="BW37" i="1"/>
  <c r="AX36" i="1"/>
  <c r="BE31" i="1"/>
  <c r="BA31" i="1"/>
  <c r="AL31" i="1"/>
  <c r="AR31" i="1" s="1"/>
  <c r="W225" i="2" l="1"/>
  <c r="W226" i="2" s="1"/>
  <c r="W227" i="2" s="1"/>
  <c r="BW38" i="1"/>
  <c r="AX37" i="1"/>
  <c r="W29" i="1"/>
  <c r="AG33" i="1" s="1"/>
  <c r="W228" i="2" l="1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W230" i="2" l="1"/>
  <c r="W231" i="2" s="1"/>
  <c r="W232" i="2" s="1"/>
  <c r="W233" i="2" s="1"/>
  <c r="W234" i="2" s="1"/>
  <c r="W245" i="2" s="1"/>
  <c r="BW40" i="1"/>
  <c r="BN40" i="1" s="1"/>
  <c r="AX39" i="1"/>
  <c r="BE28" i="1"/>
  <c r="BA28" i="1"/>
  <c r="AL28" i="1"/>
  <c r="AR28" i="1" s="1"/>
  <c r="BW41" i="1" l="1"/>
  <c r="BN41" i="1" s="1"/>
  <c r="AX40" i="1"/>
  <c r="BE27" i="1"/>
  <c r="AL27" i="1"/>
  <c r="AR27" i="1" s="1"/>
  <c r="BE26" i="1"/>
  <c r="AL26" i="1"/>
  <c r="AR26" i="1" s="1"/>
  <c r="BW42" i="1" l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261" i="1"/>
  <c r="BW43" i="1"/>
  <c r="BN43" i="1" s="1"/>
  <c r="AX42" i="1"/>
  <c r="BE24" i="1"/>
  <c r="BC24" i="1"/>
  <c r="AR269" i="1" l="1"/>
  <c r="AR271" i="1" s="1"/>
  <c r="AV271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BW45" i="1" l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261" i="1" l="1"/>
  <c r="AV261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206" i="1" l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44" i="1" s="1"/>
  <c r="BW60" i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W61" i="1" l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AA23" i="1" l="1"/>
  <c r="AE23" i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J258" i="1" s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217" i="3"/>
  <c r="Y218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217" i="3"/>
  <c r="W218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J259" i="1"/>
  <c r="J260" i="1" s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AX232" i="1"/>
  <c r="BR220" i="1"/>
  <c r="BP221" i="1"/>
  <c r="BP222" i="1" s="1"/>
  <c r="AE201" i="1"/>
  <c r="AA202" i="1"/>
  <c r="O161" i="1"/>
  <c r="H162" i="1"/>
  <c r="J162" i="1"/>
  <c r="AV161" i="1"/>
  <c r="AC161" i="1"/>
  <c r="BN233" i="1" l="1"/>
  <c r="AX233" i="1"/>
  <c r="BW244" i="1"/>
  <c r="BR222" i="1"/>
  <c r="BP223" i="1"/>
  <c r="BR221" i="1"/>
  <c r="AA203" i="1"/>
  <c r="AE202" i="1"/>
  <c r="J163" i="1"/>
  <c r="H163" i="1"/>
  <c r="O162" i="1"/>
  <c r="AV162" i="1"/>
  <c r="AC162" i="1"/>
  <c r="BR223" i="1" l="1"/>
  <c r="BP224" i="1"/>
  <c r="AA204" i="1"/>
  <c r="AE203" i="1"/>
  <c r="O163" i="1"/>
  <c r="J164" i="1"/>
  <c r="H164" i="1"/>
  <c r="AV163" i="1"/>
  <c r="AC163" i="1"/>
  <c r="BR224" i="1" l="1"/>
  <c r="BP225" i="1"/>
  <c r="AA205" i="1"/>
  <c r="AA206" i="1" s="1"/>
  <c r="H280" i="1"/>
  <c r="AE204" i="1"/>
  <c r="O164" i="1"/>
  <c r="H165" i="1"/>
  <c r="AV164" i="1"/>
  <c r="J165" i="1"/>
  <c r="AC164" i="1"/>
  <c r="BR225" i="1" l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R226" i="1" l="1"/>
  <c r="BP227" i="1"/>
  <c r="AE207" i="1"/>
  <c r="AA208" i="1"/>
  <c r="J167" i="1"/>
  <c r="O166" i="1"/>
  <c r="AV166" i="1"/>
  <c r="H167" i="1"/>
  <c r="AC166" i="1"/>
  <c r="BR227" i="1" l="1"/>
  <c r="BP228" i="1"/>
  <c r="AA209" i="1"/>
  <c r="AA210" i="1" s="1"/>
  <c r="AE208" i="1"/>
  <c r="H168" i="1"/>
  <c r="J168" i="1"/>
  <c r="O167" i="1"/>
  <c r="AV167" i="1"/>
  <c r="AC167" i="1"/>
  <c r="BR228" i="1" l="1"/>
  <c r="BP229" i="1"/>
  <c r="AE210" i="1"/>
  <c r="AA211" i="1"/>
  <c r="AE209" i="1"/>
  <c r="J169" i="1"/>
  <c r="H169" i="1"/>
  <c r="AV168" i="1"/>
  <c r="O168" i="1"/>
  <c r="AC168" i="1"/>
  <c r="BP230" i="1" l="1"/>
  <c r="BP231" i="1" s="1"/>
  <c r="BR229" i="1"/>
  <c r="AE211" i="1"/>
  <c r="AA212" i="1"/>
  <c r="O169" i="1"/>
  <c r="J170" i="1"/>
  <c r="H170" i="1"/>
  <c r="AV169" i="1"/>
  <c r="AC169" i="1"/>
  <c r="BR231" i="1" l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R232" i="1" l="1"/>
  <c r="BP233" i="1"/>
  <c r="AE213" i="1"/>
  <c r="AA214" i="1"/>
  <c r="AA215" i="1" s="1"/>
  <c r="O171" i="1"/>
  <c r="J172" i="1"/>
  <c r="H172" i="1"/>
  <c r="AV171" i="1"/>
  <c r="AC171" i="1"/>
  <c r="BR233" i="1" l="1"/>
  <c r="AA216" i="1"/>
  <c r="AA217" i="1" s="1"/>
  <c r="AE215" i="1"/>
  <c r="AE214" i="1"/>
  <c r="O172" i="1"/>
  <c r="J173" i="1"/>
  <c r="H173" i="1"/>
  <c r="AV172" i="1"/>
  <c r="AC172" i="1"/>
  <c r="AA218" i="1" l="1"/>
  <c r="AE217" i="1"/>
  <c r="AE216" i="1"/>
  <c r="J174" i="1"/>
  <c r="H174" i="1"/>
  <c r="O173" i="1"/>
  <c r="AV173" i="1"/>
  <c r="AC173" i="1"/>
  <c r="AA219" i="1" l="1"/>
  <c r="AE218" i="1"/>
  <c r="O174" i="1"/>
  <c r="J175" i="1"/>
  <c r="H175" i="1"/>
  <c r="AV174" i="1"/>
  <c r="AC174" i="1"/>
  <c r="AA220" i="1" l="1"/>
  <c r="AE219" i="1"/>
  <c r="AV175" i="1"/>
  <c r="J176" i="1"/>
  <c r="H176" i="1"/>
  <c r="O175" i="1"/>
  <c r="AC175" i="1"/>
  <c r="AE220" i="1" l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E222" i="1" l="1"/>
  <c r="AA223" i="1"/>
  <c r="AE221" i="1"/>
  <c r="AV177" i="1"/>
  <c r="H178" i="1"/>
  <c r="J178" i="1"/>
  <c r="O177" i="1"/>
  <c r="AC177" i="1"/>
  <c r="AE223" i="1" l="1"/>
  <c r="AA224" i="1"/>
  <c r="AV178" i="1"/>
  <c r="J179" i="1"/>
  <c r="H179" i="1"/>
  <c r="O178" i="1"/>
  <c r="AC178" i="1"/>
  <c r="AE224" i="1" l="1"/>
  <c r="AA225" i="1"/>
  <c r="AV179" i="1"/>
  <c r="J180" i="1"/>
  <c r="H180" i="1"/>
  <c r="O179" i="1"/>
  <c r="AC179" i="1"/>
  <c r="AE225" i="1" l="1"/>
  <c r="AA226" i="1"/>
  <c r="AV180" i="1"/>
  <c r="J181" i="1"/>
  <c r="H181" i="1"/>
  <c r="O180" i="1"/>
  <c r="AC180" i="1"/>
  <c r="AE226" i="1" l="1"/>
  <c r="AA227" i="1"/>
  <c r="J182" i="1"/>
  <c r="H182" i="1"/>
  <c r="O181" i="1"/>
  <c r="AV181" i="1"/>
  <c r="AC181" i="1"/>
  <c r="AA228" i="1" l="1"/>
  <c r="AE227" i="1"/>
  <c r="AV182" i="1"/>
  <c r="J183" i="1"/>
  <c r="O182" i="1"/>
  <c r="H183" i="1"/>
  <c r="AC182" i="1"/>
  <c r="AE228" i="1" l="1"/>
  <c r="AA229" i="1"/>
  <c r="AC183" i="1"/>
  <c r="AV183" i="1"/>
  <c r="H184" i="1"/>
  <c r="J184" i="1"/>
  <c r="O183" i="1"/>
  <c r="AE229" i="1" l="1"/>
  <c r="AA230" i="1"/>
  <c r="AA231" i="1" s="1"/>
  <c r="H185" i="1"/>
  <c r="J185" i="1"/>
  <c r="AV184" i="1"/>
  <c r="O184" i="1"/>
  <c r="AC184" i="1"/>
  <c r="AA138" i="3"/>
  <c r="AA137" i="3"/>
  <c r="AA232" i="1" l="1"/>
  <c r="AE231" i="1"/>
  <c r="AE230" i="1"/>
  <c r="AV185" i="1"/>
  <c r="O185" i="1"/>
  <c r="J186" i="1"/>
  <c r="H186" i="1"/>
  <c r="AC185" i="1"/>
  <c r="AA233" i="1" l="1"/>
  <c r="AE232" i="1"/>
  <c r="O186" i="1"/>
  <c r="H187" i="1"/>
  <c r="J187" i="1"/>
  <c r="AV186" i="1"/>
  <c r="AC186" i="1"/>
  <c r="AE233" i="1" l="1"/>
  <c r="H188" i="1"/>
  <c r="J188" i="1"/>
  <c r="O187" i="1"/>
  <c r="AV187" i="1"/>
  <c r="AC187" i="1"/>
  <c r="AA140" i="3"/>
  <c r="AA141" i="3"/>
  <c r="AA139" i="3"/>
  <c r="AJ21" i="2" l="1"/>
  <c r="I21" i="3"/>
  <c r="I35" i="3" s="1"/>
  <c r="AD49" i="2"/>
  <c r="AD51" i="2" s="1"/>
  <c r="AD53" i="2" s="1"/>
  <c r="AD55" i="2" s="1"/>
  <c r="AD57" i="2" s="1"/>
  <c r="AV188" i="1"/>
  <c r="J189" i="1"/>
  <c r="H189" i="1"/>
  <c r="O188" i="1"/>
  <c r="AC188" i="1"/>
  <c r="O189" i="1" l="1"/>
  <c r="J190" i="1"/>
  <c r="H190" i="1"/>
  <c r="AV189" i="1"/>
  <c r="AC189" i="1"/>
  <c r="O190" i="1" l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AV191" i="1" l="1"/>
  <c r="J192" i="1"/>
  <c r="H192" i="1"/>
  <c r="O191" i="1"/>
  <c r="AC191" i="1"/>
  <c r="J193" i="1" l="1"/>
  <c r="H193" i="1"/>
  <c r="AV192" i="1"/>
  <c r="O192" i="1"/>
  <c r="AC192" i="1"/>
  <c r="J194" i="1" l="1"/>
  <c r="H194" i="1"/>
  <c r="O193" i="1"/>
  <c r="AV193" i="1"/>
  <c r="AC193" i="1"/>
  <c r="AV194" i="1" l="1"/>
  <c r="J195" i="1"/>
  <c r="H195" i="1"/>
  <c r="O194" i="1"/>
  <c r="AC194" i="1"/>
  <c r="H196" i="1" l="1"/>
  <c r="J196" i="1"/>
  <c r="AV195" i="1"/>
  <c r="O195" i="1"/>
  <c r="AC195" i="1"/>
  <c r="AV196" i="1" l="1"/>
  <c r="J197" i="1"/>
  <c r="H197" i="1"/>
  <c r="O196" i="1"/>
  <c r="AC196" i="1"/>
  <c r="H198" i="1" l="1"/>
  <c r="J198" i="1"/>
  <c r="O197" i="1"/>
  <c r="AV197" i="1"/>
  <c r="AC197" i="1"/>
  <c r="J199" i="1" l="1"/>
  <c r="O198" i="1"/>
  <c r="H199" i="1"/>
  <c r="AV198" i="1"/>
  <c r="AC198" i="1"/>
  <c r="AA151" i="3"/>
  <c r="AA150" i="3"/>
  <c r="J200" i="1" l="1"/>
  <c r="H200" i="1"/>
  <c r="AV199" i="1"/>
  <c r="O199" i="1"/>
  <c r="AC199" i="1"/>
  <c r="AA152" i="3"/>
  <c r="AA153" i="3"/>
  <c r="O200" i="1" l="1"/>
  <c r="H201" i="1"/>
  <c r="J201" i="1"/>
  <c r="AV200" i="1"/>
  <c r="AC200" i="1"/>
  <c r="AV201" i="1" l="1"/>
  <c r="J202" i="1"/>
  <c r="H202" i="1"/>
  <c r="O201" i="1"/>
  <c r="AC201" i="1"/>
  <c r="AV202" i="1" l="1"/>
  <c r="H203" i="1"/>
  <c r="J203" i="1"/>
  <c r="O202" i="1"/>
  <c r="AC202" i="1"/>
  <c r="AA159" i="3"/>
  <c r="AA160" i="3"/>
  <c r="AA157" i="3"/>
  <c r="AA158" i="3"/>
  <c r="AA155" i="3"/>
  <c r="AA156" i="3"/>
  <c r="AA154" i="3"/>
  <c r="AV203" i="1" l="1"/>
  <c r="H204" i="1"/>
  <c r="J204" i="1"/>
  <c r="O203" i="1"/>
  <c r="AC203" i="1"/>
  <c r="AV204" i="1" l="1"/>
  <c r="H205" i="1"/>
  <c r="J205" i="1"/>
  <c r="O204" i="1"/>
  <c r="AC204" i="1"/>
  <c r="H206" i="1" l="1"/>
  <c r="J206" i="1"/>
  <c r="AV205" i="1"/>
  <c r="O205" i="1"/>
  <c r="AC205" i="1"/>
  <c r="AV206" i="1" l="1"/>
  <c r="H207" i="1"/>
  <c r="J207" i="1"/>
  <c r="O206" i="1"/>
  <c r="AC206" i="1"/>
  <c r="O207" i="1" l="1"/>
  <c r="J208" i="1"/>
  <c r="H208" i="1"/>
  <c r="AV207" i="1"/>
  <c r="AC207" i="1"/>
  <c r="J209" i="1" l="1"/>
  <c r="H209" i="1"/>
  <c r="AV208" i="1"/>
  <c r="O208" i="1"/>
  <c r="AC208" i="1"/>
  <c r="AA162" i="3"/>
  <c r="AA163" i="3"/>
  <c r="AA161" i="3"/>
  <c r="J210" i="1" l="1"/>
  <c r="H210" i="1"/>
  <c r="AV209" i="1"/>
  <c r="O209" i="1"/>
  <c r="AC209" i="1"/>
  <c r="O210" i="1" l="1"/>
  <c r="H211" i="1"/>
  <c r="J211" i="1"/>
  <c r="AV210" i="1"/>
  <c r="AC210" i="1"/>
  <c r="O211" i="1" l="1"/>
  <c r="J212" i="1"/>
  <c r="H212" i="1"/>
  <c r="AV211" i="1"/>
  <c r="AC211" i="1"/>
  <c r="AV212" i="1" l="1"/>
  <c r="J213" i="1"/>
  <c r="H213" i="1"/>
  <c r="O212" i="1"/>
  <c r="AC212" i="1"/>
  <c r="AA169" i="3"/>
  <c r="AA167" i="3"/>
  <c r="AA168" i="3"/>
  <c r="AA165" i="3"/>
  <c r="AA166" i="3"/>
  <c r="AA164" i="3"/>
  <c r="AV213" i="1" l="1"/>
  <c r="J214" i="1"/>
  <c r="H214" i="1"/>
  <c r="O213" i="1"/>
  <c r="AC213" i="1"/>
  <c r="J215" i="1" l="1"/>
  <c r="H215" i="1"/>
  <c r="O214" i="1"/>
  <c r="AV214" i="1"/>
  <c r="AC214" i="1"/>
  <c r="AV215" i="1" l="1"/>
  <c r="H216" i="1"/>
  <c r="J216" i="1"/>
  <c r="AC215" i="1"/>
  <c r="O215" i="1"/>
  <c r="H217" i="1" l="1"/>
  <c r="J217" i="1"/>
  <c r="O216" i="1"/>
  <c r="AV216" i="1"/>
  <c r="AC216" i="1"/>
  <c r="AV217" i="1" l="1"/>
  <c r="J218" i="1"/>
  <c r="H218" i="1"/>
  <c r="O217" i="1"/>
  <c r="AC217" i="1"/>
  <c r="AA170" i="3"/>
  <c r="O218" i="1" l="1"/>
  <c r="J219" i="1"/>
  <c r="H219" i="1"/>
  <c r="AV218" i="1"/>
  <c r="AC218" i="1"/>
  <c r="AV219" i="1" l="1"/>
  <c r="J220" i="1"/>
  <c r="H220" i="1"/>
  <c r="O219" i="1"/>
  <c r="AC219" i="1"/>
  <c r="AA176" i="3"/>
  <c r="AA174" i="3"/>
  <c r="AA175" i="3"/>
  <c r="AA172" i="3"/>
  <c r="AA173" i="3"/>
  <c r="AA171" i="3"/>
  <c r="AV220" i="1" l="1"/>
  <c r="H221" i="1"/>
  <c r="J221" i="1"/>
  <c r="O220" i="1"/>
  <c r="AC220" i="1"/>
  <c r="J222" i="1" l="1"/>
  <c r="H222" i="1"/>
  <c r="AV221" i="1"/>
  <c r="O221" i="1"/>
  <c r="AC221" i="1"/>
  <c r="AV222" i="1" l="1"/>
  <c r="H223" i="1"/>
  <c r="I23" i="3" s="1"/>
  <c r="I25" i="3" s="1"/>
  <c r="I27" i="3" s="1"/>
  <c r="J223" i="1"/>
  <c r="O222" i="1"/>
  <c r="AC222" i="1"/>
  <c r="I34" i="3" l="1"/>
  <c r="N27" i="3"/>
  <c r="N28" i="3" s="1"/>
  <c r="AV223" i="1"/>
  <c r="H224" i="1"/>
  <c r="J224" i="1"/>
  <c r="O223" i="1"/>
  <c r="AC223" i="1"/>
  <c r="AV224" i="1" l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O225" i="1" l="1"/>
  <c r="H226" i="1"/>
  <c r="J226" i="1"/>
  <c r="AV225" i="1"/>
  <c r="AC225" i="1"/>
  <c r="O226" i="1" l="1"/>
  <c r="J227" i="1"/>
  <c r="H227" i="1"/>
  <c r="AV226" i="1"/>
  <c r="AC226" i="1"/>
  <c r="AV227" i="1" l="1"/>
  <c r="H228" i="1"/>
  <c r="J228" i="1"/>
  <c r="O227" i="1"/>
  <c r="AC227" i="1"/>
  <c r="J229" i="1" l="1"/>
  <c r="H229" i="1"/>
  <c r="O228" i="1"/>
  <c r="AV228" i="1"/>
  <c r="AC228" i="1"/>
  <c r="O229" i="1" l="1"/>
  <c r="H230" i="1"/>
  <c r="J230" i="1"/>
  <c r="AV229" i="1"/>
  <c r="AC229" i="1"/>
  <c r="J231" i="1" l="1"/>
  <c r="H231" i="1"/>
  <c r="AV230" i="1"/>
  <c r="O230" i="1"/>
  <c r="AC230" i="1"/>
  <c r="O231" i="1" l="1"/>
  <c r="H232" i="1"/>
  <c r="J232" i="1"/>
  <c r="AV231" i="1"/>
  <c r="AC231" i="1"/>
  <c r="O232" i="1" l="1"/>
  <c r="H233" i="1"/>
  <c r="J233" i="1"/>
  <c r="AV232" i="1"/>
  <c r="AC232" i="1"/>
  <c r="O233" i="1" l="1"/>
  <c r="AV233" i="1"/>
  <c r="AC233" i="1"/>
  <c r="AA186" i="3"/>
  <c r="AA187" i="3"/>
  <c r="AA185" i="3"/>
  <c r="AF21" i="2" l="1"/>
  <c r="I32" i="3"/>
  <c r="L34" i="3" l="1"/>
  <c r="L35" i="3"/>
  <c r="I36" i="3"/>
  <c r="W191" i="3" s="1"/>
  <c r="AA191" i="3" s="1"/>
  <c r="L32" i="3"/>
  <c r="I28" i="3"/>
  <c r="AA189" i="3" l="1"/>
  <c r="AA190" i="3"/>
  <c r="AA188" i="3"/>
  <c r="L36" i="3"/>
  <c r="Y191" i="3" s="1"/>
  <c r="Y121" i="3" l="1"/>
  <c r="Y12" i="3"/>
</calcChain>
</file>

<file path=xl/sharedStrings.xml><?xml version="1.0" encoding="utf-8"?>
<sst xmlns="http://schemas.openxmlformats.org/spreadsheetml/2006/main" count="311" uniqueCount="176">
  <si>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</si>
  <si>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</si>
  <si>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</si>
  <si>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</si>
  <si>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</si>
  <si>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</si>
  <si>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</si>
  <si>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</si>
  <si>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</si>
  <si>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</si>
  <si>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</si>
  <si>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</si>
  <si>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</si>
  <si>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</si>
  <si>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</si>
  <si>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</si>
  <si>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</si>
  <si>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</si>
  <si>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</si>
  <si>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</si>
  <si>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</si>
  <si>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</si>
  <si>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</si>
  <si>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</si>
  <si>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</si>
  <si>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</si>
  <si>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</si>
  <si>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</si>
  <si>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</si>
  <si>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</si>
  <si>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</si>
  <si>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</si>
  <si>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</si>
  <si>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</si>
  <si>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</si>
  <si>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</si>
  <si>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</si>
  <si>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</si>
  <si>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</si>
  <si>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</si>
  <si>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</si>
  <si>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</si>
  <si>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</si>
  <si>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</si>
  <si>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</si>
  <si>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</si>
  <si>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</si>
  <si>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</si>
  <si>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</si>
  <si>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</si>
  <si>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</si>
  <si>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</si>
  <si>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</si>
  <si>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</si>
  <si>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</si>
  <si>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</si>
  <si>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</si>
  <si>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</si>
  <si>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</si>
  <si>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</si>
  <si>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</si>
  <si>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</si>
  <si>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</si>
  <si>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</si>
  <si>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</si>
  <si>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</si>
  <si>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</si>
  <si>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</si>
  <si>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</si>
  <si>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</si>
  <si>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</si>
  <si>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</si>
  <si>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</si>
  <si>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</si>
  <si>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</si>
  <si>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</si>
  <si>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</si>
  <si>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</si>
  <si>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</si>
  <si>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</si>
  <si>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</si>
  <si>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</si>
  <si>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</si>
  <si>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</si>
  <si>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</si>
  <si>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</si>
  <si>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</si>
  <si>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</si>
  <si>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</si>
  <si>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</si>
  <si>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</si>
  <si>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</si>
  <si>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</si>
  <si>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</si>
  <si>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</si>
  <si>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</si>
  <si>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</si>
  <si>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</si>
  <si>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</si>
  <si>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</si>
  <si>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</si>
  <si>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</si>
  <si>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</si>
  <si>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</si>
  <si>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</si>
  <si>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</si>
  <si>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</si>
  <si>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</si>
  <si>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</si>
  <si>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</si>
  <si>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</si>
  <si>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</si>
  <si>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</si>
  <si>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</si>
  <si>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</si>
  <si>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</si>
  <si>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</si>
  <si>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</si>
  <si>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</si>
  <si>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</si>
  <si>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</si>
  <si>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</si>
  <si>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</si>
  <si>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</si>
  <si>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</si>
  <si>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</si>
  <si>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</si>
  <si>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</si>
  <si>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</si>
  <si>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</si>
  <si>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</si>
  <si>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</si>
  <si>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</si>
  <si>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</si>
  <si>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</si>
  <si>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</si>
  <si>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</si>
  <si>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</si>
  <si>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</si>
  <si>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</si>
  <si>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</si>
  <si>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</si>
  <si>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</si>
  <si>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</si>
  <si>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</si>
  <si>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</si>
  <si>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</si>
  <si>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</si>
  <si>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</si>
  <si>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</si>
  <si>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</si>
  <si>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</si>
  <si>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</si>
  <si>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</si>
  <si>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</si>
  <si>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</si>
  <si>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</si>
  <si>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</si>
  <si>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</si>
  <si>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</si>
  <si>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</si>
  <si>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</si>
  <si>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</si>
  <si>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</si>
  <si>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</si>
  <si>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</si>
  <si>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sep</t>
  </si>
  <si>
    <t>july</t>
  </si>
  <si>
    <t>Aug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</si>
  <si>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</si>
  <si>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</si>
  <si>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</si>
  <si>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</si>
  <si>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</si>
  <si>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</si>
  <si>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October - prorated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</si>
</sst>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8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41" fontId="0" fillId="0" borderId="0" xfId="4" applyFont="1"/>
    <xf numFmtId="164" fontId="0" fillId="0" borderId="0" xfId="2" applyNumberFormat="1" applyFont="1"/>
    <xf numFmtId="0" fontId="0" fillId="24" borderId="0" xfId="0" applyFont="1" applyFill="1"/>
    <xf numFmtId="0" fontId="0" fillId="13" borderId="0" xfId="0" applyFill="1"/>
    <xf numFmtId="0" fontId="3" fillId="13" borderId="0" xfId="0" applyFont="1" applyFill="1" applyAlignment="1">
      <alignment horizontal="center"/>
    </xf>
    <xf numFmtId="0" fontId="3" fillId="13" borderId="17" xfId="0" applyFont="1" applyFill="1" applyBorder="1" applyAlignment="1">
      <alignment horizontal="center"/>
    </xf>
    <xf numFmtId="0" fontId="21" fillId="13" borderId="0" xfId="0" applyFont="1" applyFill="1"/>
    <xf numFmtId="0" fontId="20" fillId="13" borderId="0" xfId="0" applyFont="1" applyFill="1"/>
    <xf numFmtId="164" fontId="20" fillId="13" borderId="0" xfId="0" applyNumberFormat="1" applyFont="1" applyFill="1"/>
    <xf numFmtId="165" fontId="20" fillId="13" borderId="0" xfId="2" applyNumberFormat="1" applyFont="1" applyFill="1"/>
    <xf numFmtId="49" fontId="19" fillId="13" borderId="0" xfId="0" applyNumberFormat="1" applyFont="1" applyFill="1"/>
    <xf numFmtId="49" fontId="19" fillId="13" borderId="0" xfId="0" applyNumberFormat="1" applyFont="1" applyFill="1" applyAlignment="1">
      <alignment horizontal="right"/>
    </xf>
    <xf numFmtId="0" fontId="7" fillId="13" borderId="0" xfId="0" applyFont="1" applyFill="1"/>
    <xf numFmtId="0" fontId="18" fillId="13" borderId="0" xfId="0" applyFont="1" applyFill="1" applyBorder="1" applyAlignment="1">
      <alignment horizontal="center"/>
    </xf>
    <xf numFmtId="164" fontId="0" fillId="13" borderId="0" xfId="0" applyNumberFormat="1" applyFill="1"/>
    <xf numFmtId="16" fontId="18" fillId="13" borderId="0" xfId="0" applyNumberFormat="1" applyFont="1" applyFill="1" applyBorder="1" applyAlignment="1"/>
    <xf numFmtId="0" fontId="18" fillId="13" borderId="0" xfId="0" applyFont="1" applyFill="1" applyBorder="1" applyAlignment="1"/>
    <xf numFmtId="0" fontId="3" fillId="13" borderId="17" xfId="0" applyFont="1" applyFill="1" applyBorder="1" applyAlignment="1">
      <alignment horizontal="center"/>
    </xf>
    <xf numFmtId="17" fontId="18" fillId="13" borderId="0" xfId="0" applyNumberFormat="1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Table'!$AG$26:$AG$229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Lit>
              <c:ptCount val="29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pt idx="11">
                <c:v> 78 </c:v>
              </c:pt>
              <c:pt idx="12">
                <c:v> 85 </c:v>
              </c:pt>
              <c:pt idx="13">
                <c:v> 92 </c:v>
              </c:pt>
              <c:pt idx="14">
                <c:v> 99 </c:v>
              </c:pt>
              <c:pt idx="15">
                <c:v> 106 </c:v>
              </c:pt>
              <c:pt idx="16">
                <c:v> 113 </c:v>
              </c:pt>
              <c:pt idx="17">
                <c:v> 120 </c:v>
              </c:pt>
              <c:pt idx="18">
                <c:v> 127 </c:v>
              </c:pt>
              <c:pt idx="19">
                <c:v> 134 </c:v>
              </c:pt>
              <c:pt idx="20">
                <c:v> 141 </c:v>
              </c:pt>
              <c:pt idx="21">
                <c:v> 148 </c:v>
              </c:pt>
              <c:pt idx="22">
                <c:v> 155 </c:v>
              </c:pt>
              <c:pt idx="23">
                <c:v> 162 </c:v>
              </c:pt>
              <c:pt idx="24">
                <c:v> 169 </c:v>
              </c:pt>
              <c:pt idx="25">
                <c:v> 177 </c:v>
              </c:pt>
              <c:pt idx="26">
                <c:v> 184 </c:v>
              </c:pt>
              <c:pt idx="27">
                <c:v> 191 </c:v>
              </c:pt>
              <c:pt idx="28">
                <c:v> 197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Table'!$BK$40:$BK$236</c15:sqref>
                  </c15:fullRef>
                </c:ext>
              </c:extLst>
              <c:f>('Main Table'!$BK$40,'Main Table'!$BK$47,'Main Table'!$BK$54,'Main Table'!$BK$61,'Main Table'!$BK$68,'Main Table'!$BK$75,'Main Table'!$BK$82,'Main Table'!$BK$89,'Main Table'!$BK$96,'Main Table'!$BK$103,'Main Table'!$BK$110,'Main Table'!$BK$117,'Main Table'!$BK$124,'Main Table'!$BK$131,'Main Table'!$BK$138,'Main Table'!$BK$145,'Main Table'!$BK$152,'Main Table'!$BK$159,'Main Table'!$BK$166,'Main Table'!$BK$173,'Main Table'!$BK$180,'Main Table'!$BK$187,'Main Table'!$BK$194,'Main Table'!$BK$201,'Main Table'!$BK$208,'Main Table'!$BK$216,'Main Table'!$BK$223,'Main Table'!$BK$230,'Main Table'!$BK$236)</c:f>
              <c:numCache>
                <c:formatCode>_(* #,##0_);_(* \(#,##0\);_(* "-"??_);_(@_)</c:formatCode>
                <c:ptCount val="29"/>
                <c:pt idx="0">
                  <c:v>1029291</c:v>
                </c:pt>
                <c:pt idx="1">
                  <c:v>1608915</c:v>
                </c:pt>
                <c:pt idx="2">
                  <c:v>1726276</c:v>
                </c:pt>
                <c:pt idx="3">
                  <c:v>2247785</c:v>
                </c:pt>
                <c:pt idx="4">
                  <c:v>2431055</c:v>
                </c:pt>
                <c:pt idx="5">
                  <c:v>2874176</c:v>
                </c:pt>
                <c:pt idx="6">
                  <c:v>2922811</c:v>
                </c:pt>
                <c:pt idx="7">
                  <c:v>3619110</c:v>
                </c:pt>
                <c:pt idx="8">
                  <c:v>3499254</c:v>
                </c:pt>
                <c:pt idx="9">
                  <c:v>3701059</c:v>
                </c:pt>
                <c:pt idx="10">
                  <c:v>4100378</c:v>
                </c:pt>
                <c:pt idx="11">
                  <c:v>4994441</c:v>
                </c:pt>
                <c:pt idx="12">
                  <c:v>4882798</c:v>
                </c:pt>
                <c:pt idx="13">
                  <c:v>5872128</c:v>
                </c:pt>
                <c:pt idx="14">
                  <c:v>5877840</c:v>
                </c:pt>
                <c:pt idx="15">
                  <c:v>5705709</c:v>
                </c:pt>
                <c:pt idx="16">
                  <c:v>5507967</c:v>
                </c:pt>
                <c:pt idx="17">
                  <c:v>5527379</c:v>
                </c:pt>
                <c:pt idx="18">
                  <c:v>5198748</c:v>
                </c:pt>
                <c:pt idx="19">
                  <c:v>5670701</c:v>
                </c:pt>
                <c:pt idx="20">
                  <c:v>5644840</c:v>
                </c:pt>
                <c:pt idx="21">
                  <c:v>4928581</c:v>
                </c:pt>
                <c:pt idx="22">
                  <c:v>5763109</c:v>
                </c:pt>
                <c:pt idx="23">
                  <c:v>6168553</c:v>
                </c:pt>
                <c:pt idx="24">
                  <c:v>7135104</c:v>
                </c:pt>
                <c:pt idx="25">
                  <c:v>7125450</c:v>
                </c:pt>
                <c:pt idx="26">
                  <c:v>7559483</c:v>
                </c:pt>
                <c:pt idx="27">
                  <c:v>7418985</c:v>
                </c:pt>
                <c:pt idx="28">
                  <c:v>11808097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54</xdr:col>
      <xdr:colOff>0</xdr:colOff>
      <xdr:row>249</xdr:row>
      <xdr:rowOff>0</xdr:rowOff>
    </xdr:from>
    <xdr:to>
      <xdr:col>54</xdr:col>
      <xdr:colOff>160020</xdr:colOff>
      <xdr:row>249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54</xdr:col>
      <xdr:colOff>0</xdr:colOff>
      <xdr:row>250</xdr:row>
      <xdr:rowOff>0</xdr:rowOff>
    </xdr:from>
    <xdr:to>
      <xdr:col>54</xdr:col>
      <xdr:colOff>160020</xdr:colOff>
      <xdr:row>250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259</xdr:row>
      <xdr:rowOff>99060</xdr:rowOff>
    </xdr:from>
    <xdr:to>
      <xdr:col>22</xdr:col>
      <xdr:colOff>312420</xdr:colOff>
      <xdr:row>260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259</xdr:row>
      <xdr:rowOff>129540</xdr:rowOff>
    </xdr:from>
    <xdr:to>
      <xdr:col>23</xdr:col>
      <xdr:colOff>68580</xdr:colOff>
      <xdr:row>260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22</xdr:col>
      <xdr:colOff>480060</xdr:colOff>
      <xdr:row>6</xdr:row>
      <xdr:rowOff>121920</xdr:rowOff>
    </xdr:from>
    <xdr:to>
      <xdr:col>34</xdr:col>
      <xdr:colOff>464820</xdr:colOff>
      <xdr:row>24</xdr:row>
      <xdr:rowOff>83820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259080</xdr:colOff>
      <xdr:row>4</xdr:row>
      <xdr:rowOff>7620</xdr:rowOff>
    </xdr:from>
    <xdr:to>
      <xdr:col>65</xdr:col>
      <xdr:colOff>281940</xdr:colOff>
      <xdr:row>21</xdr:row>
      <xdr:rowOff>129540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277</xdr:row>
      <xdr:rowOff>125730</xdr:rowOff>
    </xdr:from>
    <xdr:to>
      <xdr:col>54</xdr:col>
      <xdr:colOff>213360</xdr:colOff>
      <xdr:row>292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0</xdr:colOff>
      <xdr:row>3</xdr:row>
      <xdr:rowOff>1</xdr:rowOff>
    </xdr:from>
    <xdr:to>
      <xdr:col>80</xdr:col>
      <xdr:colOff>243819</xdr:colOff>
      <xdr:row>5</xdr:row>
      <xdr:rowOff>7634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2623780" y="601981"/>
          <a:ext cx="1005819" cy="39625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0.66277</cdr:x>
      <cdr:y>0.46512</cdr:y>
    </cdr:from>
    <cdr:to>
      <cdr:x>0.91486</cdr:x>
      <cdr:y>0.56744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3025140" y="1524000"/>
          <a:ext cx="1150620" cy="33528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0.26043</cdr:x>
      <cdr:y>0.22093</cdr:y>
    </cdr:from>
    <cdr:to>
      <cdr:x>0.50585</cdr:x>
      <cdr:y>0.63255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1188720" y="723900"/>
          <a:ext cx="1120159" cy="1348725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7620</xdr:rowOff>
    </xdr:from>
    <xdr:to>
      <xdr:col>12</xdr:col>
      <xdr:colOff>152400</xdr:colOff>
      <xdr:row>27</xdr:row>
      <xdr:rowOff>152400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0446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373380</xdr:colOff>
      <xdr:row>27</xdr:row>
      <xdr:rowOff>53340</xdr:rowOff>
    </xdr:from>
    <xdr:to>
      <xdr:col>32</xdr:col>
      <xdr:colOff>480060</xdr:colOff>
      <xdr:row>27</xdr:row>
      <xdr:rowOff>182880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3693140" y="525018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327"/>
  <sheetViews>
    <sheetView tabSelected="1" topLeftCell="A217" zoomScaleNormal="100" workbookViewId="0">
      <selection activeCell="AL241" sqref="AL241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0.4414062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1.77734375" customWidth="1"/>
    <col min="56" max="56" width="1.33203125" customWidth="1"/>
    <col min="57" max="57" width="8.77734375" customWidth="1"/>
    <col min="58" max="58" width="1.109375" customWidth="1"/>
    <col min="59" max="59" width="11.33203125" customWidth="1"/>
    <col min="60" max="60" width="1.109375" customWidth="1"/>
    <col min="61" max="61" width="3.88671875" customWidth="1"/>
    <col min="62" max="62" width="1.44140625" customWidth="1" outlineLevel="1"/>
    <col min="63" max="63" width="15.109375" customWidth="1" outlineLevel="1"/>
    <col min="64" max="64" width="0.88671875" customWidth="1" outlineLevel="1"/>
    <col min="65" max="65" width="6.88671875" customWidth="1" outlineLevel="1"/>
    <col min="66" max="66" width="10.109375" customWidth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95" t="s">
        <v>5</v>
      </c>
      <c r="C1" s="595"/>
      <c r="D1" s="595"/>
    </row>
    <row r="2" spans="2:90" ht="15.6" x14ac:dyDescent="0.3">
      <c r="B2" s="595" t="s">
        <v>6</v>
      </c>
      <c r="C2" s="595"/>
      <c r="D2" s="595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00" t="s">
        <v>13</v>
      </c>
      <c r="C3" s="600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96" t="s">
        <v>11</v>
      </c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7"/>
      <c r="AD4" s="11"/>
      <c r="AE4" s="325"/>
      <c r="AF4" s="447"/>
      <c r="AG4" s="447"/>
      <c r="AH4" s="447"/>
      <c r="AI4" s="447"/>
      <c r="AJ4" s="12"/>
      <c r="AL4" s="614" t="s">
        <v>14</v>
      </c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5"/>
      <c r="AX4" s="615"/>
      <c r="AY4" s="615"/>
      <c r="AZ4" s="615"/>
      <c r="BA4" s="615"/>
      <c r="BB4" s="615"/>
      <c r="BC4" s="615"/>
      <c r="BD4" s="615"/>
      <c r="BE4" s="615"/>
      <c r="BF4" s="615"/>
      <c r="BG4" s="615"/>
      <c r="BH4" s="615"/>
      <c r="BI4" s="615"/>
      <c r="BJ4" s="615"/>
      <c r="BK4" s="615"/>
      <c r="BL4" s="615"/>
      <c r="BM4" s="615"/>
      <c r="BN4" s="615"/>
      <c r="BO4" s="615"/>
      <c r="BP4" s="615"/>
      <c r="BQ4" s="615"/>
      <c r="BR4" s="615"/>
      <c r="BS4" s="615"/>
      <c r="BT4" s="615"/>
      <c r="BU4" s="616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601" t="s">
        <v>12</v>
      </c>
      <c r="G6" s="601"/>
      <c r="H6" s="601"/>
      <c r="I6" s="601"/>
      <c r="J6" s="601"/>
      <c r="K6" s="601"/>
      <c r="L6" s="601"/>
      <c r="M6" s="335"/>
      <c r="N6" s="543"/>
      <c r="O6" s="335"/>
      <c r="P6" s="336"/>
      <c r="Q6" s="607" t="s">
        <v>124</v>
      </c>
      <c r="R6" s="601"/>
      <c r="S6" s="601"/>
      <c r="T6" s="601"/>
      <c r="U6" s="608"/>
      <c r="V6" s="3"/>
      <c r="W6" s="8" t="s">
        <v>7</v>
      </c>
      <c r="X6" s="30"/>
      <c r="Y6" s="602">
        <v>1.2500000000000001E-2</v>
      </c>
      <c r="Z6" s="602"/>
      <c r="AA6" s="602"/>
      <c r="AB6" s="602"/>
      <c r="AC6" s="602"/>
      <c r="AD6" s="602"/>
      <c r="AE6" s="602"/>
      <c r="AF6" s="602"/>
      <c r="AG6" s="602"/>
      <c r="AH6" s="602"/>
      <c r="AI6" s="602"/>
      <c r="AJ6" s="603"/>
      <c r="AK6" s="3"/>
      <c r="AL6" s="621" t="s">
        <v>27</v>
      </c>
      <c r="AM6" s="622"/>
      <c r="AN6" s="622"/>
      <c r="AO6" s="622"/>
      <c r="AP6" s="622"/>
      <c r="AQ6" s="622"/>
      <c r="AR6" s="622"/>
      <c r="AS6" s="622"/>
      <c r="AT6" s="622"/>
      <c r="AU6" s="622"/>
      <c r="AV6" s="622"/>
      <c r="AW6" s="622"/>
      <c r="AX6" s="622"/>
      <c r="AY6" s="623"/>
      <c r="AZ6" s="3"/>
      <c r="BA6" s="624" t="s">
        <v>7</v>
      </c>
      <c r="BB6" s="618"/>
      <c r="BC6" s="618"/>
      <c r="BD6" s="97"/>
      <c r="BE6" s="617" t="s">
        <v>26</v>
      </c>
      <c r="BF6" s="617"/>
      <c r="BG6" s="617"/>
      <c r="BH6" s="617"/>
      <c r="BI6" s="617"/>
      <c r="BJ6" s="617"/>
      <c r="BK6" s="617"/>
      <c r="BL6" s="617"/>
      <c r="BM6" s="617"/>
      <c r="BN6" s="617"/>
      <c r="BO6" s="617"/>
      <c r="BP6" s="617"/>
      <c r="BQ6" s="617"/>
      <c r="BR6" s="618"/>
      <c r="BS6" s="618"/>
      <c r="BT6" s="618"/>
      <c r="BU6" s="619"/>
      <c r="BV6" s="3"/>
    </row>
    <row r="7" spans="2:90" ht="16.2" x14ac:dyDescent="0.3">
      <c r="D7" s="598" t="s">
        <v>20</v>
      </c>
      <c r="E7" s="599"/>
      <c r="F7" s="599"/>
      <c r="G7" s="599"/>
      <c r="H7" s="599"/>
      <c r="I7" s="599"/>
      <c r="J7" s="599"/>
      <c r="K7" s="465"/>
      <c r="L7" s="465"/>
      <c r="M7" s="465"/>
      <c r="N7" s="542"/>
      <c r="O7" s="465"/>
      <c r="P7" s="466"/>
      <c r="Q7" s="448"/>
      <c r="R7" s="449"/>
      <c r="S7" s="449"/>
      <c r="T7" s="449"/>
      <c r="U7" s="337"/>
      <c r="V7" s="3"/>
      <c r="W7" s="604" t="s">
        <v>35</v>
      </c>
      <c r="X7" s="605"/>
      <c r="Y7" s="605"/>
      <c r="Z7" s="605"/>
      <c r="AA7" s="605"/>
      <c r="AB7" s="605"/>
      <c r="AC7" s="605"/>
      <c r="AD7" s="605"/>
      <c r="AE7" s="605"/>
      <c r="AF7" s="605"/>
      <c r="AG7" s="605"/>
      <c r="AH7" s="605"/>
      <c r="AI7" s="605"/>
      <c r="AJ7" s="606"/>
      <c r="AK7" s="3"/>
      <c r="AL7" s="598" t="s">
        <v>76</v>
      </c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620"/>
      <c r="BA7" s="598" t="s">
        <v>25</v>
      </c>
      <c r="BB7" s="599"/>
      <c r="BC7" s="599"/>
      <c r="BD7" s="599"/>
      <c r="BE7" s="599"/>
      <c r="BF7" s="599"/>
      <c r="BG7" s="599"/>
      <c r="BH7" s="599"/>
      <c r="BI7" s="599"/>
      <c r="BJ7" s="599"/>
      <c r="BK7" s="599"/>
      <c r="BL7" s="599"/>
      <c r="BM7" s="599"/>
      <c r="BN7" s="599"/>
      <c r="BO7" s="599"/>
      <c r="BP7" s="599"/>
      <c r="BQ7" s="599"/>
      <c r="BR7" s="599"/>
      <c r="BS7" s="599"/>
      <c r="BT7" s="599"/>
      <c r="BU7" s="620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612" t="s">
        <v>1</v>
      </c>
      <c r="BB8" s="613"/>
      <c r="BC8" s="613"/>
      <c r="BD8" s="64"/>
      <c r="BE8" s="613" t="s">
        <v>24</v>
      </c>
      <c r="BF8" s="613"/>
      <c r="BG8" s="613"/>
      <c r="BH8" s="613"/>
      <c r="BI8" s="625"/>
      <c r="BJ8" s="626" t="s">
        <v>124</v>
      </c>
      <c r="BK8" s="627"/>
      <c r="BL8" s="627"/>
      <c r="BM8" s="628"/>
      <c r="BN8" s="612" t="s">
        <v>24</v>
      </c>
      <c r="BO8" s="613"/>
      <c r="BP8" s="613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89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>
        <f>+BK82+BK75+BK68+BK61</f>
        <v>10475827</v>
      </c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>
        <f>+BK84/4</f>
        <v>2618956.75</v>
      </c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>SUM(D97:D103)</f>
        <v>192967</v>
      </c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>SUM(D104:D110)</f>
        <v>277620</v>
      </c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469">
        <f>SUM(D83:D112)</f>
        <v>869627</v>
      </c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2879836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27427.009523809524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4" t="s">
        <v>150</v>
      </c>
      <c r="AA114" s="33">
        <f>+AA113+W114+670+642-57-19+91</f>
        <v>132756</v>
      </c>
      <c r="AB114" s="33"/>
      <c r="AC114" s="46">
        <f t="shared" si="73"/>
        <v>4.6098458384435784E-2</v>
      </c>
      <c r="AD114" s="33"/>
      <c r="AE114" s="33">
        <f t="shared" si="74"/>
        <v>1264.3428571428572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0.41154392125107125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2937927</v>
      </c>
      <c r="I115" s="505" t="s">
        <v>150</v>
      </c>
      <c r="J115" s="38">
        <f t="shared" si="70"/>
        <v>2.0171634773646831E-2</v>
      </c>
      <c r="K115" s="16"/>
      <c r="L115" s="16"/>
      <c r="M115" s="16"/>
      <c r="N115" s="16"/>
      <c r="O115" s="16">
        <f t="shared" si="71"/>
        <v>27716.292452830188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133372</v>
      </c>
      <c r="AB115" s="33"/>
      <c r="AC115" s="46">
        <f t="shared" si="73"/>
        <v>4.5396635110402678E-2</v>
      </c>
      <c r="AD115" s="33"/>
      <c r="AE115" s="33">
        <f t="shared" si="74"/>
        <v>1258.2264150943397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0.42053053054075201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3012769</v>
      </c>
      <c r="I116" s="505" t="s">
        <v>150</v>
      </c>
      <c r="J116" s="38">
        <f t="shared" si="70"/>
        <v>1.5856078112219944E-2</v>
      </c>
      <c r="K116" s="16"/>
      <c r="L116" s="16"/>
      <c r="M116" s="16"/>
      <c r="N116" s="16"/>
      <c r="O116" s="16">
        <f t="shared" si="71"/>
        <v>28156.719626168226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133626</v>
      </c>
      <c r="AB116" s="33"/>
      <c r="AC116" s="46">
        <f t="shared" si="73"/>
        <v>4.4353217920125969E-2</v>
      </c>
      <c r="AD116" s="33"/>
      <c r="AE116" s="33">
        <f t="shared" si="74"/>
        <v>1248.8411214953271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0.41835434445853631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3057299</v>
      </c>
      <c r="I117" s="16"/>
      <c r="J117" s="38">
        <f t="shared" si="70"/>
        <v>1.4780422926550293E-2</v>
      </c>
      <c r="K117" s="16"/>
      <c r="L117" s="16"/>
      <c r="M117" s="16"/>
      <c r="N117" s="16">
        <f>SUM(D111:D117)</f>
        <v>350953</v>
      </c>
      <c r="O117" s="16">
        <f t="shared" si="71"/>
        <v>28308.324074074073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133877</v>
      </c>
      <c r="AB117" s="33"/>
      <c r="AC117" s="46">
        <f t="shared" si="73"/>
        <v>4.3789305527526093E-2</v>
      </c>
      <c r="AD117" s="33"/>
      <c r="AE117" s="33">
        <f t="shared" si="74"/>
        <v>1239.601851851852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0.42048847692031432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3110911</v>
      </c>
      <c r="I118" s="16"/>
      <c r="J118" s="38">
        <f t="shared" si="70"/>
        <v>1.7535739880201445E-2</v>
      </c>
      <c r="K118" s="16"/>
      <c r="L118" s="16"/>
      <c r="M118" s="16"/>
      <c r="N118" s="16"/>
      <c r="O118" s="16">
        <f t="shared" si="71"/>
        <v>28540.467889908257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134255</v>
      </c>
      <c r="AB118" s="33"/>
      <c r="AC118" s="46">
        <f t="shared" si="73"/>
        <v>4.3156168723566826E-2</v>
      </c>
      <c r="AD118" s="33"/>
      <c r="AE118" s="33">
        <f t="shared" si="74"/>
        <v>1231.6972477064221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0.42590321613186621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3166353</v>
      </c>
      <c r="I119" s="16"/>
      <c r="J119" s="38">
        <f t="shared" si="70"/>
        <v>1.782178918008262E-2</v>
      </c>
      <c r="K119" s="16"/>
      <c r="L119" s="16"/>
      <c r="M119" s="16"/>
      <c r="N119" s="16"/>
      <c r="O119" s="16">
        <f t="shared" si="71"/>
        <v>28785.027272727271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135248</v>
      </c>
      <c r="AB119" s="33"/>
      <c r="AC119" s="46">
        <f t="shared" si="73"/>
        <v>4.2714125683396637E-2</v>
      </c>
      <c r="AD119" s="33"/>
      <c r="AE119" s="33">
        <f t="shared" si="74"/>
        <v>1229.5272727272727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0.42789385769685184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3228201</v>
      </c>
      <c r="I120" s="16"/>
      <c r="J120" s="38">
        <f t="shared" si="70"/>
        <v>1.9532882151800511E-2</v>
      </c>
      <c r="K120" s="16"/>
      <c r="L120" s="16"/>
      <c r="M120" s="16"/>
      <c r="N120" s="16"/>
      <c r="O120" s="16">
        <f t="shared" si="71"/>
        <v>29082.891891891893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136138</v>
      </c>
      <c r="AB120" s="33"/>
      <c r="AC120" s="46">
        <f t="shared" si="73"/>
        <v>4.2171475691879158E-2</v>
      </c>
      <c r="AD120" s="33"/>
      <c r="AE120" s="33">
        <f t="shared" si="74"/>
        <v>1226.4684684684685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0.43141024985742832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3289268</v>
      </c>
      <c r="I121" s="16"/>
      <c r="J121" s="38">
        <f t="shared" si="70"/>
        <v>1.8916727923694962E-2</v>
      </c>
      <c r="K121" s="16"/>
      <c r="L121" s="16"/>
      <c r="M121" s="16"/>
      <c r="N121" s="16"/>
      <c r="O121" s="16">
        <f t="shared" si="71"/>
        <v>29368.464285714286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137098</v>
      </c>
      <c r="AB121" s="33"/>
      <c r="AC121" s="46">
        <f t="shared" si="73"/>
        <v>4.1680398191938146E-2</v>
      </c>
      <c r="AD121" s="33"/>
      <c r="AE121" s="33">
        <f t="shared" si="74"/>
        <v>1224.0892857142858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0.43366122796926249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3361055</v>
      </c>
      <c r="I122" s="16"/>
      <c r="J122" s="38">
        <f t="shared" si="70"/>
        <v>2.1824612649379741E-2</v>
      </c>
      <c r="K122" s="16"/>
      <c r="L122" s="16"/>
      <c r="M122" s="16"/>
      <c r="N122" s="16"/>
      <c r="O122" s="16">
        <f t="shared" si="71"/>
        <v>29743.849557522124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137947</v>
      </c>
      <c r="AB122" s="33"/>
      <c r="AC122" s="46">
        <f t="shared" si="73"/>
        <v>4.1042767821413216E-2</v>
      </c>
      <c r="AD122" s="33"/>
      <c r="AE122" s="33">
        <f t="shared" si="74"/>
        <v>1220.7699115044247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0.43453469223205216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3422774</v>
      </c>
      <c r="I123" s="16"/>
      <c r="J123" s="38">
        <f t="shared" si="70"/>
        <v>1.8362984241555108E-2</v>
      </c>
      <c r="K123" s="16"/>
      <c r="L123" s="16"/>
      <c r="M123" s="16"/>
      <c r="N123" s="16"/>
      <c r="O123" s="16">
        <f t="shared" si="71"/>
        <v>30024.333333333332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138678</v>
      </c>
      <c r="AB123" s="33"/>
      <c r="AC123" s="46">
        <f t="shared" si="73"/>
        <v>4.0516259618660184E-2</v>
      </c>
      <c r="AD123" s="33"/>
      <c r="AE123" s="33">
        <f t="shared" si="74"/>
        <v>1216.4736842105262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0.4354497258656283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48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3481123</v>
      </c>
      <c r="I124" s="16"/>
      <c r="J124" s="38">
        <f t="shared" si="70"/>
        <v>1.7047283869750091E-2</v>
      </c>
      <c r="K124" s="16"/>
      <c r="L124" s="16"/>
      <c r="M124" s="16"/>
      <c r="N124" s="16">
        <f>SUM(D118:D124)</f>
        <v>423824</v>
      </c>
      <c r="O124" s="16">
        <f t="shared" si="71"/>
        <v>30270.634782608697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139058</v>
      </c>
      <c r="AB124" s="33"/>
      <c r="AC124" s="46">
        <f t="shared" si="73"/>
        <v>3.9946304683862073E-2</v>
      </c>
      <c r="AD124" s="33"/>
      <c r="AE124" s="33">
        <f t="shared" si="74"/>
        <v>1209.2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0.43580304401769199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3546611</v>
      </c>
      <c r="I125" s="16"/>
      <c r="J125" s="38">
        <f t="shared" si="70"/>
        <v>1.8812320047295081E-2</v>
      </c>
      <c r="K125" s="16"/>
      <c r="L125" s="16"/>
      <c r="M125" s="16"/>
      <c r="N125" s="16"/>
      <c r="O125" s="16">
        <f t="shared" si="71"/>
        <v>30574.232758620688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6">
        <f t="shared" si="85"/>
        <v>17</v>
      </c>
      <c r="W125" s="34">
        <v>465</v>
      </c>
      <c r="X125" s="33"/>
      <c r="Y125" s="33"/>
      <c r="Z125" s="33"/>
      <c r="AA125" s="33">
        <f t="shared" si="72"/>
        <v>139523</v>
      </c>
      <c r="AB125" s="33"/>
      <c r="AC125" s="46">
        <f t="shared" si="73"/>
        <v>3.9339809186854716E-2</v>
      </c>
      <c r="AD125" s="33"/>
      <c r="AE125" s="33">
        <f t="shared" si="74"/>
        <v>1202.7844827586207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0.43688721430120192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3612659</v>
      </c>
      <c r="I126" s="16"/>
      <c r="J126" s="38">
        <f t="shared" si="70"/>
        <v>1.8622848685688958E-2</v>
      </c>
      <c r="K126" s="16"/>
      <c r="L126" s="16"/>
      <c r="M126" s="16"/>
      <c r="N126" s="16"/>
      <c r="O126" s="16">
        <f t="shared" si="71"/>
        <v>30877.427350427351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140459</v>
      </c>
      <c r="AB126" s="33"/>
      <c r="AC126" s="46">
        <f t="shared" si="73"/>
        <v>3.8879672839313095E-2</v>
      </c>
      <c r="AD126" s="33"/>
      <c r="AE126" s="33">
        <f t="shared" si="74"/>
        <v>1200.5042735042734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0.44294105809598966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3684664</v>
      </c>
      <c r="I127" s="16"/>
      <c r="J127" s="38">
        <f t="shared" ref="J127:J164" si="90">+D127/H126</f>
        <v>1.9931302677612252E-2</v>
      </c>
      <c r="K127" s="16"/>
      <c r="L127" s="16"/>
      <c r="M127" s="16"/>
      <c r="N127" s="16"/>
      <c r="O127" s="16">
        <f t="shared" ref="O127:O150" si="91">+H127/BW127</f>
        <v>31225.966101694914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141461</v>
      </c>
      <c r="AB127" s="33"/>
      <c r="AC127" s="46">
        <f t="shared" ref="AC127:AC164" si="94">+AA127/H127</f>
        <v>3.8391831656834921E-2</v>
      </c>
      <c r="AD127" s="33"/>
      <c r="AE127" s="33">
        <f t="shared" ref="AE127:AE164" si="95">+AA127/BW127</f>
        <v>1198.8220338983051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0.44670613114248681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3758052</v>
      </c>
      <c r="I128" s="16"/>
      <c r="J128" s="38">
        <f t="shared" si="90"/>
        <v>1.9917148483552367E-2</v>
      </c>
      <c r="K128" s="16"/>
      <c r="L128" s="16"/>
      <c r="M128" s="16"/>
      <c r="N128" s="16"/>
      <c r="O128" s="16">
        <f t="shared" si="91"/>
        <v>31580.268907563026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142424</v>
      </c>
      <c r="AB128" s="33"/>
      <c r="AC128" s="46">
        <f t="shared" si="94"/>
        <v>3.789835797908065E-2</v>
      </c>
      <c r="AD128" s="33"/>
      <c r="AE128" s="33">
        <f t="shared" si="95"/>
        <v>1196.8403361344538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0.44694245848647118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3833039</v>
      </c>
      <c r="I129" s="16"/>
      <c r="J129" s="38">
        <f t="shared" si="90"/>
        <v>1.9953688772800376E-2</v>
      </c>
      <c r="K129" s="16"/>
      <c r="L129" s="16"/>
      <c r="M129" s="16"/>
      <c r="N129" s="16"/>
      <c r="O129" s="16">
        <f t="shared" si="91"/>
        <v>31941.991666666665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143370</v>
      </c>
      <c r="AB129" s="33"/>
      <c r="AC129" s="46">
        <f t="shared" si="94"/>
        <v>3.7403741522066436E-2</v>
      </c>
      <c r="AD129" s="33"/>
      <c r="AE129" s="33">
        <f t="shared" si="95"/>
        <v>1194.75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0.45426957565524378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3896298</v>
      </c>
      <c r="I130" s="16"/>
      <c r="J130" s="479">
        <f t="shared" si="90"/>
        <v>1.6503615016700848E-2</v>
      </c>
      <c r="K130" s="16"/>
      <c r="L130" s="16"/>
      <c r="M130" s="16"/>
      <c r="N130" s="16"/>
      <c r="O130" s="16">
        <f t="shared" si="91"/>
        <v>32200.809917355371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144183</v>
      </c>
      <c r="AB130" s="33"/>
      <c r="AC130" s="46">
        <f t="shared" si="94"/>
        <v>3.7005126404602524E-2</v>
      </c>
      <c r="AD130" s="33"/>
      <c r="AE130" s="33">
        <f t="shared" si="95"/>
        <v>1191.595041322314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0.45558476276711896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3961577</v>
      </c>
      <c r="I131" s="16"/>
      <c r="J131" s="479">
        <f t="shared" si="90"/>
        <v>1.6754108643640707E-2</v>
      </c>
      <c r="K131" s="16"/>
      <c r="L131" s="16"/>
      <c r="M131" s="16"/>
      <c r="N131" s="16">
        <f>SUM(D125:D131)</f>
        <v>480454</v>
      </c>
      <c r="O131" s="16">
        <f t="shared" si="91"/>
        <v>32471.942622950821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144595</v>
      </c>
      <c r="AB131" s="33"/>
      <c r="AC131" s="46">
        <f t="shared" si="94"/>
        <v>3.6499353666481806E-2</v>
      </c>
      <c r="AD131" s="33"/>
      <c r="AE131" s="33">
        <f t="shared" si="95"/>
        <v>1185.204918032787</v>
      </c>
      <c r="AF131" s="50"/>
      <c r="AG131" s="33">
        <f>SUM(W125:W131)</f>
        <v>5537</v>
      </c>
      <c r="AH131" s="33">
        <f>SUM(D102:D245)</f>
        <v>7072910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0.45495468092630786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4024456</v>
      </c>
      <c r="I132" s="16"/>
      <c r="J132" s="479">
        <f t="shared" si="90"/>
        <v>1.5872214524670351E-2</v>
      </c>
      <c r="K132" s="16"/>
      <c r="L132" s="16"/>
      <c r="M132" s="16"/>
      <c r="N132" s="16"/>
      <c r="O132" s="16">
        <f t="shared" si="91"/>
        <v>32719.154471544716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145140</v>
      </c>
      <c r="AB132" s="33"/>
      <c r="AC132" s="46">
        <f t="shared" si="94"/>
        <v>3.6064501636991438E-2</v>
      </c>
      <c r="AD132" s="33"/>
      <c r="AE132" s="33">
        <f t="shared" si="95"/>
        <v>1180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0.45968672536114197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4091935</v>
      </c>
      <c r="I133" s="16"/>
      <c r="J133" s="479">
        <f t="shared" si="90"/>
        <v>1.676723512444912E-2</v>
      </c>
      <c r="K133" s="16"/>
      <c r="L133" s="16"/>
      <c r="M133" s="16"/>
      <c r="N133" s="16"/>
      <c r="O133" s="16">
        <f t="shared" si="91"/>
        <v>32999.475806451614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146305</v>
      </c>
      <c r="AB133" s="33"/>
      <c r="AC133" s="46">
        <f t="shared" si="94"/>
        <v>3.5754478015902015E-2</v>
      </c>
      <c r="AD133" s="33"/>
      <c r="AE133" s="33">
        <f t="shared" si="95"/>
        <v>1179.8790322580646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0.46104911246146385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4163902</v>
      </c>
      <c r="I134" s="16"/>
      <c r="J134" s="479">
        <f t="shared" si="90"/>
        <v>1.7587522773455589E-2</v>
      </c>
      <c r="K134" s="16"/>
      <c r="L134" s="16"/>
      <c r="M134" s="16"/>
      <c r="N134" s="16"/>
      <c r="O134" s="16">
        <f t="shared" si="91"/>
        <v>33311.216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147510</v>
      </c>
      <c r="AB134" s="33"/>
      <c r="AC134" s="46">
        <f t="shared" si="94"/>
        <v>3.5425905797014434E-2</v>
      </c>
      <c r="AD134" s="33"/>
      <c r="AE134" s="33">
        <f t="shared" si="95"/>
        <v>1180.08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0.46654244023994801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4233345</v>
      </c>
      <c r="I135" s="16"/>
      <c r="J135" s="479">
        <f t="shared" si="90"/>
        <v>1.667738577901209E-2</v>
      </c>
      <c r="K135" s="16"/>
      <c r="L135" s="16"/>
      <c r="M135" s="16"/>
      <c r="N135" s="16"/>
      <c r="O135" s="16">
        <f t="shared" si="91"/>
        <v>33597.976190476191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148676</v>
      </c>
      <c r="AB135" s="33"/>
      <c r="AC135" s="46">
        <f t="shared" si="94"/>
        <v>3.5120218172627081E-2</v>
      </c>
      <c r="AD135" s="33"/>
      <c r="AE135" s="33">
        <f t="shared" si="95"/>
        <v>1179.968253968254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0.46762477426243315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4311323</v>
      </c>
      <c r="I136" s="16"/>
      <c r="J136" s="479">
        <f t="shared" si="90"/>
        <v>1.8419949236360374E-2</v>
      </c>
      <c r="K136" s="16"/>
      <c r="L136" s="16"/>
      <c r="M136" s="16"/>
      <c r="N136" s="16"/>
      <c r="O136" s="16">
        <f t="shared" si="91"/>
        <v>33947.425196850396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149817</v>
      </c>
      <c r="AB136" s="33"/>
      <c r="AC136" s="46">
        <f t="shared" si="94"/>
        <v>3.47496580516004E-2</v>
      </c>
      <c r="AD136" s="33"/>
      <c r="AE136" s="33">
        <f t="shared" si="95"/>
        <v>1179.6614173228347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0.47036420142958435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4378736</v>
      </c>
      <c r="I137" s="16"/>
      <c r="J137" s="479">
        <f t="shared" si="90"/>
        <v>1.5636267567983191E-2</v>
      </c>
      <c r="K137" s="16"/>
      <c r="L137" s="16"/>
      <c r="M137" s="16"/>
      <c r="N137" s="16"/>
      <c r="O137" s="16">
        <f t="shared" si="91"/>
        <v>34208.875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150725</v>
      </c>
      <c r="AB137" s="33"/>
      <c r="AC137" s="46">
        <f t="shared" si="94"/>
        <v>3.4422034121262393E-2</v>
      </c>
      <c r="AD137" s="33"/>
      <c r="AE137" s="33">
        <f t="shared" si="95"/>
        <v>1177.5390625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0.47084181371062334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4434866</v>
      </c>
      <c r="I138" s="16"/>
      <c r="J138" s="479">
        <f t="shared" si="90"/>
        <v>1.2818767790522196E-2</v>
      </c>
      <c r="K138" s="16"/>
      <c r="L138" s="16"/>
      <c r="M138" s="16"/>
      <c r="N138" s="16">
        <f>SUM(D132:D138)</f>
        <v>473289</v>
      </c>
      <c r="O138" s="16">
        <f t="shared" si="91"/>
        <v>34378.806201550389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151175</v>
      </c>
      <c r="AB138" s="33"/>
      <c r="AC138" s="46">
        <f t="shared" si="94"/>
        <v>3.4087839407098211E-2</v>
      </c>
      <c r="AD138" s="33"/>
      <c r="AE138" s="33">
        <f t="shared" si="95"/>
        <v>1171.8992248062016</v>
      </c>
      <c r="AF138" s="50"/>
      <c r="AG138" s="33">
        <f>SUM(W132:W138)</f>
        <v>6580</v>
      </c>
      <c r="AH138" s="33">
        <f>SUM(D109:D252)</f>
        <v>9654835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0.47129473584996706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49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4496437</v>
      </c>
      <c r="I139" s="16"/>
      <c r="J139" s="479">
        <f t="shared" si="90"/>
        <v>1.388339580045936E-2</v>
      </c>
      <c r="K139" s="16"/>
      <c r="L139" s="16"/>
      <c r="M139" s="16"/>
      <c r="N139" s="16"/>
      <c r="O139" s="16">
        <f t="shared" si="91"/>
        <v>34587.976923076923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151771</v>
      </c>
      <c r="AB139" s="33"/>
      <c r="AC139" s="46">
        <f t="shared" si="94"/>
        <v>3.3753614250572175E-2</v>
      </c>
      <c r="AD139" s="33"/>
      <c r="AE139" s="33">
        <f t="shared" si="95"/>
        <v>1167.4692307692308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0.47517690117753236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4561166</v>
      </c>
      <c r="I140" s="16"/>
      <c r="J140" s="479">
        <f t="shared" si="90"/>
        <v>1.4395620354516254E-2</v>
      </c>
      <c r="K140" s="16"/>
      <c r="L140" s="16"/>
      <c r="M140" s="16"/>
      <c r="N140" s="16"/>
      <c r="O140" s="16">
        <f t="shared" si="91"/>
        <v>34818.061068702293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236" si="109">+V139+1</f>
        <v>32</v>
      </c>
      <c r="W140" s="34">
        <v>1245</v>
      </c>
      <c r="X140" s="33"/>
      <c r="Y140" s="33"/>
      <c r="Z140" s="33"/>
      <c r="AA140" s="33">
        <f t="shared" si="93"/>
        <v>153016</v>
      </c>
      <c r="AB140" s="33"/>
      <c r="AC140" s="46">
        <f t="shared" si="94"/>
        <v>3.3547562180372296E-2</v>
      </c>
      <c r="AD140" s="33"/>
      <c r="AE140" s="33">
        <f t="shared" si="95"/>
        <v>1168.0610687022902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0.47924017674427988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4628087</v>
      </c>
      <c r="I141" s="16"/>
      <c r="J141" s="479">
        <f t="shared" si="90"/>
        <v>1.4671906262565317E-2</v>
      </c>
      <c r="K141" s="16"/>
      <c r="L141" s="16"/>
      <c r="M141" s="16"/>
      <c r="N141" s="16"/>
      <c r="O141" s="16">
        <f t="shared" si="91"/>
        <v>35061.265151515152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154501</v>
      </c>
      <c r="AB141" s="33"/>
      <c r="AC141" s="46">
        <f t="shared" si="94"/>
        <v>3.3383339595820044E-2</v>
      </c>
      <c r="AD141" s="33"/>
      <c r="AE141" s="33">
        <f t="shared" si="95"/>
        <v>1170.4621212121212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0.48509114024865996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4696656</v>
      </c>
      <c r="I142" s="16"/>
      <c r="J142" s="479">
        <f t="shared" si="90"/>
        <v>1.4815840756666847E-2</v>
      </c>
      <c r="K142" s="16"/>
      <c r="L142" s="16"/>
      <c r="M142" s="16"/>
      <c r="N142" s="16"/>
      <c r="O142" s="16">
        <f t="shared" si="91"/>
        <v>35313.203007518794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155966</v>
      </c>
      <c r="AB142" s="33"/>
      <c r="AC142" s="46">
        <f t="shared" si="94"/>
        <v>3.3207882374182825E-2</v>
      </c>
      <c r="AD142" s="33"/>
      <c r="AE142" s="33">
        <f t="shared" si="95"/>
        <v>1172.6766917293232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0.48650891187261747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4767739</v>
      </c>
      <c r="I143" s="16"/>
      <c r="J143" s="479">
        <f t="shared" si="90"/>
        <v>1.5134810810074232E-2</v>
      </c>
      <c r="K143" s="16"/>
      <c r="L143" s="16"/>
      <c r="M143" s="16"/>
      <c r="N143" s="469">
        <f>SUM(D113:D143)</f>
        <v>1970617</v>
      </c>
      <c r="O143" s="16">
        <f t="shared" si="91"/>
        <v>35580.141791044778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157428</v>
      </c>
      <c r="AB143" s="33"/>
      <c r="AC143" s="46">
        <f t="shared" si="94"/>
        <v>3.3019424930769072E-2</v>
      </c>
      <c r="AD143" s="33"/>
      <c r="AE143" s="33">
        <f t="shared" si="95"/>
        <v>1174.8358208955224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0.48819199205325625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4826280</v>
      </c>
      <c r="I144" s="16"/>
      <c r="J144" s="479">
        <f t="shared" si="90"/>
        <v>1.2278566423203954E-2</v>
      </c>
      <c r="K144" s="16"/>
      <c r="L144" s="16"/>
      <c r="M144" s="16"/>
      <c r="N144" s="16"/>
      <c r="O144" s="16">
        <f t="shared" si="91"/>
        <v>35750.222222222219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158551</v>
      </c>
      <c r="AB144" s="33"/>
      <c r="AC144" s="46">
        <f t="shared" si="94"/>
        <v>3.2851595846076068E-2</v>
      </c>
      <c r="AD144" s="33"/>
      <c r="AE144" s="33">
        <f t="shared" si="95"/>
        <v>1174.4518518518519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0.48959094789361579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4875318</v>
      </c>
      <c r="I145" s="16"/>
      <c r="J145" s="479">
        <f t="shared" si="90"/>
        <v>1.0160620602202939E-2</v>
      </c>
      <c r="K145" s="16"/>
      <c r="L145" s="16"/>
      <c r="M145" s="16"/>
      <c r="N145" s="16">
        <f>SUM(D139:D145)</f>
        <v>440452</v>
      </c>
      <c r="O145" s="16">
        <f t="shared" si="91"/>
        <v>35847.926470588238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159018</v>
      </c>
      <c r="AB145" s="33"/>
      <c r="AC145" s="46">
        <f t="shared" si="94"/>
        <v>3.2616949294384488E-2</v>
      </c>
      <c r="AD145" s="33"/>
      <c r="AE145" s="33">
        <f t="shared" si="95"/>
        <v>1169.25</v>
      </c>
      <c r="AF145" s="50"/>
      <c r="AG145" s="33">
        <f>SUM(W139:W145)</f>
        <v>7843</v>
      </c>
      <c r="AH145" s="33">
        <f>SUM(D116:D259)</f>
        <v>10315775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0.48821779420337297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49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4923964</v>
      </c>
      <c r="I146" s="16"/>
      <c r="J146" s="479">
        <f t="shared" si="90"/>
        <v>9.9780157930210913E-3</v>
      </c>
      <c r="K146" s="16"/>
      <c r="L146" s="16"/>
      <c r="M146" s="16"/>
      <c r="N146" s="16"/>
      <c r="O146" s="16">
        <f t="shared" si="91"/>
        <v>35941.343065693429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159580</v>
      </c>
      <c r="AB146" s="33"/>
      <c r="AC146" s="46">
        <f t="shared" si="94"/>
        <v>3.2408847830731502E-2</v>
      </c>
      <c r="AD146" s="33"/>
      <c r="AE146" s="33">
        <f t="shared" si="95"/>
        <v>1164.8175182481752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0.4969163056431769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4978528</v>
      </c>
      <c r="I147" s="16"/>
      <c r="J147" s="479">
        <f t="shared" si="90"/>
        <v>1.1081315785411916E-2</v>
      </c>
      <c r="K147" s="16"/>
      <c r="L147" s="16"/>
      <c r="M147" s="16"/>
      <c r="N147" s="16"/>
      <c r="O147" s="16">
        <f t="shared" si="91"/>
        <v>36076.289855072464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160939</v>
      </c>
      <c r="AB147" s="33"/>
      <c r="AC147" s="46">
        <f t="shared" si="94"/>
        <v>3.2326623451751198E-2</v>
      </c>
      <c r="AD147" s="33"/>
      <c r="AE147" s="33">
        <f t="shared" si="95"/>
        <v>1166.2246376811595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0.49847665816080577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5033676</v>
      </c>
      <c r="I148" s="16"/>
      <c r="J148" s="479">
        <f t="shared" si="90"/>
        <v>1.1077169797980447E-2</v>
      </c>
      <c r="K148" s="16"/>
      <c r="L148" s="16"/>
      <c r="M148" s="16"/>
      <c r="N148" s="16"/>
      <c r="O148" s="16">
        <f t="shared" si="91"/>
        <v>36213.496402877696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162258</v>
      </c>
      <c r="AB148" s="33"/>
      <c r="AC148" s="46">
        <f t="shared" si="94"/>
        <v>3.2234494234432254E-2</v>
      </c>
      <c r="AD148" s="33"/>
      <c r="AE148" s="33">
        <f t="shared" si="95"/>
        <v>1167.3237410071943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0.50462862528299401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5092386</v>
      </c>
      <c r="I149" s="16"/>
      <c r="J149" s="479">
        <f t="shared" si="90"/>
        <v>1.166344436948266E-2</v>
      </c>
      <c r="K149" s="16"/>
      <c r="L149" s="16"/>
      <c r="M149" s="16"/>
      <c r="N149" s="16"/>
      <c r="O149" s="16">
        <f t="shared" si="91"/>
        <v>36374.185714285712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163461</v>
      </c>
      <c r="AB149" s="33"/>
      <c r="AC149" s="46">
        <f t="shared" si="94"/>
        <v>3.2099098536520994E-2</v>
      </c>
      <c r="AD149" s="33"/>
      <c r="AE149" s="33">
        <f t="shared" si="95"/>
        <v>1167.5785714285714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0.50387617906419502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5155632</v>
      </c>
      <c r="I150" s="16"/>
      <c r="J150" s="479">
        <f t="shared" si="90"/>
        <v>1.2419718379557245E-2</v>
      </c>
      <c r="K150" s="16"/>
      <c r="L150" s="16"/>
      <c r="M150" s="16"/>
      <c r="N150" s="16"/>
      <c r="O150" s="16">
        <f t="shared" si="91"/>
        <v>36564.765957446805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164751</v>
      </c>
      <c r="AB150" s="33"/>
      <c r="AC150" s="46">
        <f t="shared" si="94"/>
        <v>3.1955539107523578E-2</v>
      </c>
      <c r="AD150" s="33"/>
      <c r="AE150" s="33">
        <f t="shared" si="95"/>
        <v>1168.4468085106382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0.50759383136732805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5209831</v>
      </c>
      <c r="I151" s="16"/>
      <c r="J151" s="479">
        <f t="shared" si="90"/>
        <v>1.0512581192761624E-2</v>
      </c>
      <c r="K151" s="16"/>
      <c r="L151" s="16"/>
      <c r="M151" s="16"/>
      <c r="N151" s="16"/>
      <c r="O151" s="16">
        <f t="shared" ref="O151:O160" si="110">+H151/BW151</f>
        <v>36688.950704225354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165727</v>
      </c>
      <c r="AB151" s="33"/>
      <c r="AC151" s="46">
        <f t="shared" si="94"/>
        <v>3.1810436845264273E-2</v>
      </c>
      <c r="AD151" s="33"/>
      <c r="AE151" s="33">
        <f t="shared" si="95"/>
        <v>1167.0915492957747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0.50644061198914125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5257680</v>
      </c>
      <c r="I152" s="16"/>
      <c r="J152" s="479">
        <f t="shared" si="90"/>
        <v>9.1843670168955584E-3</v>
      </c>
      <c r="K152" s="16"/>
      <c r="L152" s="16"/>
      <c r="M152" s="16"/>
      <c r="N152" s="16">
        <f>SUM(D146:D152)</f>
        <v>382362</v>
      </c>
      <c r="O152" s="16">
        <f t="shared" si="110"/>
        <v>36766.993006993005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166261</v>
      </c>
      <c r="AB152" s="33"/>
      <c r="AC152" s="46">
        <f t="shared" si="94"/>
        <v>3.1622502700811003E-2</v>
      </c>
      <c r="AD152" s="33"/>
      <c r="AE152" s="33">
        <f t="shared" si="95"/>
        <v>1162.6643356643356</v>
      </c>
      <c r="AF152" s="50"/>
      <c r="AG152" s="33">
        <f t="shared" ref="AG152:AG164" si="111">SUM(W146:W152)</f>
        <v>7243</v>
      </c>
      <c r="AH152" s="33">
        <f>SUM(D123:D269)</f>
        <v>9952905.0048999991</v>
      </c>
      <c r="AI152" s="231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0.50682068897308319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48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5307480</v>
      </c>
      <c r="I153" s="16"/>
      <c r="J153" s="479">
        <f t="shared" si="90"/>
        <v>9.4718583101291824E-3</v>
      </c>
      <c r="K153" s="16"/>
      <c r="L153" s="16"/>
      <c r="M153" s="16"/>
      <c r="N153" s="16"/>
      <c r="O153" s="16">
        <f t="shared" si="110"/>
        <v>36857.5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166830</v>
      </c>
      <c r="AB153" s="33"/>
      <c r="AC153" s="46">
        <f t="shared" si="94"/>
        <v>3.1432996450292794E-2</v>
      </c>
      <c r="AD153" s="33"/>
      <c r="AE153" s="33">
        <f t="shared" si="95"/>
        <v>1158.5416666666667</v>
      </c>
      <c r="AF153" s="50"/>
      <c r="AG153" s="33">
        <f t="shared" si="111"/>
        <v>7250</v>
      </c>
      <c r="AH153" s="33">
        <f>SUM(D124:D270)</f>
        <v>9891186.0048999991</v>
      </c>
      <c r="AI153" s="231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0.51171817887208237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5361999</v>
      </c>
      <c r="I154" s="16"/>
      <c r="J154" s="479">
        <f t="shared" si="90"/>
        <v>1.027210653643537E-2</v>
      </c>
      <c r="K154" s="16"/>
      <c r="L154" s="16"/>
      <c r="M154" s="16"/>
      <c r="N154" s="16"/>
      <c r="O154" s="16">
        <f t="shared" si="110"/>
        <v>36979.303448275859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168334</v>
      </c>
      <c r="AB154" s="33"/>
      <c r="AC154" s="46">
        <f t="shared" si="94"/>
        <v>3.1393888734406704E-2</v>
      </c>
      <c r="AD154" s="33"/>
      <c r="AE154" s="33">
        <f t="shared" si="95"/>
        <v>1160.9241379310345</v>
      </c>
      <c r="AF154" s="50"/>
      <c r="AG154" s="33">
        <f t="shared" si="111"/>
        <v>7395</v>
      </c>
      <c r="AH154" s="33">
        <f>SUM(D125:D271)</f>
        <v>9832837.0048999991</v>
      </c>
      <c r="AI154" s="231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0.51386581758034644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5416344</v>
      </c>
      <c r="I155" s="16"/>
      <c r="J155" s="479">
        <f t="shared" si="90"/>
        <v>1.0135212632452935E-2</v>
      </c>
      <c r="K155" s="16"/>
      <c r="L155" s="16"/>
      <c r="M155" s="16"/>
      <c r="N155" s="16"/>
      <c r="O155" s="16">
        <f t="shared" si="110"/>
        <v>37098.246575342462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169720</v>
      </c>
      <c r="AB155" s="33"/>
      <c r="AC155" s="46">
        <f t="shared" si="94"/>
        <v>3.1334789666239808E-2</v>
      </c>
      <c r="AD155" s="33"/>
      <c r="AE155" s="33">
        <f t="shared" si="95"/>
        <v>1162.4657534246576</v>
      </c>
      <c r="AF155" s="50"/>
      <c r="AG155" s="33">
        <f t="shared" si="111"/>
        <v>7462</v>
      </c>
      <c r="AH155" s="33">
        <f>SUM(D126:D272)</f>
        <v>9767349.0048999991</v>
      </c>
      <c r="AI155" s="231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0.51928071776829532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5471708</v>
      </c>
      <c r="I156" s="16"/>
      <c r="J156" s="479">
        <f t="shared" si="90"/>
        <v>1.022165504997467E-2</v>
      </c>
      <c r="K156" s="16"/>
      <c r="L156" s="16"/>
      <c r="M156" s="16"/>
      <c r="N156" s="16"/>
      <c r="O156" s="16">
        <f t="shared" si="110"/>
        <v>37222.503401360547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171004</v>
      </c>
      <c r="AB156" s="33"/>
      <c r="AC156" s="46">
        <f t="shared" si="94"/>
        <v>3.1252398702562342E-2</v>
      </c>
      <c r="AD156" s="33"/>
      <c r="AE156" s="33">
        <f t="shared" si="95"/>
        <v>1163.2925170068027</v>
      </c>
      <c r="AF156" s="50"/>
      <c r="AG156" s="33">
        <f t="shared" si="111"/>
        <v>7543</v>
      </c>
      <c r="AH156" s="33">
        <f>SUM(D127:D273)</f>
        <v>9701301.0048999991</v>
      </c>
      <c r="AI156" s="231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0.51961910248134591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5532308</v>
      </c>
      <c r="I157" s="16"/>
      <c r="J157" s="479">
        <f t="shared" si="90"/>
        <v>1.1075152402138418E-2</v>
      </c>
      <c r="K157" s="16"/>
      <c r="L157" s="16"/>
      <c r="M157" s="16"/>
      <c r="N157" s="16"/>
      <c r="O157" s="16">
        <f t="shared" si="110"/>
        <v>37380.45945945946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172124</v>
      </c>
      <c r="AB157" s="33"/>
      <c r="AC157" s="46">
        <f t="shared" si="94"/>
        <v>3.1112512173942595E-2</v>
      </c>
      <c r="AD157" s="33"/>
      <c r="AE157" s="33">
        <f t="shared" si="95"/>
        <v>1163</v>
      </c>
      <c r="AF157" s="50"/>
      <c r="AG157" s="33">
        <f t="shared" si="111"/>
        <v>7373</v>
      </c>
      <c r="AH157" s="33">
        <f>SUM(D128:D274)</f>
        <v>9629306.0048999991</v>
      </c>
      <c r="AI157" s="231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0.51970118077301553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5585831</v>
      </c>
      <c r="I158" s="16"/>
      <c r="J158" s="479">
        <f t="shared" si="90"/>
        <v>9.6746240447928792E-3</v>
      </c>
      <c r="K158" s="16"/>
      <c r="L158" s="16"/>
      <c r="M158" s="16"/>
      <c r="N158" s="16"/>
      <c r="O158" s="16">
        <f t="shared" si="110"/>
        <v>37488.798657718122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173195</v>
      </c>
      <c r="AB158" s="33"/>
      <c r="AC158" s="46">
        <f t="shared" si="94"/>
        <v>3.1006129616166334E-2</v>
      </c>
      <c r="AD158" s="33"/>
      <c r="AE158" s="33">
        <f t="shared" si="95"/>
        <v>1162.3825503355704</v>
      </c>
      <c r="AF158" s="50"/>
      <c r="AG158" s="33">
        <f t="shared" si="111"/>
        <v>7468</v>
      </c>
      <c r="AH158" s="33">
        <f>SUM(D129:D275)</f>
        <v>86555918.004899994</v>
      </c>
      <c r="AI158" s="231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0.51995647558975555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5622674</v>
      </c>
      <c r="I159" s="16"/>
      <c r="J159" s="479">
        <f t="shared" si="90"/>
        <v>6.5957956837577074E-3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37484.493333333332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173717</v>
      </c>
      <c r="AB159" s="33"/>
      <c r="AC159" s="46">
        <f t="shared" si="94"/>
        <v>3.0895797977972757E-2</v>
      </c>
      <c r="AD159" s="33"/>
      <c r="AE159" s="33">
        <f t="shared" si="95"/>
        <v>1158.1133333333332</v>
      </c>
      <c r="AF159" s="50"/>
      <c r="AG159" s="33">
        <f t="shared" si="111"/>
        <v>7456</v>
      </c>
      <c r="AH159" s="33">
        <f>SUM(D130:D276)</f>
        <v>86480931.237528399</v>
      </c>
      <c r="AI159" s="231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0.51981032512288639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5663286</v>
      </c>
      <c r="I160" s="16"/>
      <c r="J160" s="479">
        <f t="shared" si="90"/>
        <v>7.222897859630489E-3</v>
      </c>
      <c r="K160" s="16"/>
      <c r="L160" s="16"/>
      <c r="M160" s="16"/>
      <c r="N160" s="16">
        <f t="shared" si="113"/>
        <v>355806</v>
      </c>
      <c r="O160" s="16">
        <f t="shared" si="110"/>
        <v>37505.205298013243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174306</v>
      </c>
      <c r="AB160" s="33"/>
      <c r="AC160" s="46">
        <f t="shared" si="94"/>
        <v>3.0778244291388427E-2</v>
      </c>
      <c r="AD160" s="33"/>
      <c r="AE160" s="33">
        <f t="shared" si="95"/>
        <v>1154.3443708609273</v>
      </c>
      <c r="AF160" s="50"/>
      <c r="AG160" s="33">
        <f t="shared" si="111"/>
        <v>7476</v>
      </c>
      <c r="AH160" s="33">
        <f>SUM(D131:D277)</f>
        <v>86417672.237528399</v>
      </c>
      <c r="AI160" s="231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0.52506389400076214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7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5707285</v>
      </c>
      <c r="I161" s="16"/>
      <c r="J161" s="479">
        <f t="shared" si="90"/>
        <v>7.7691644038461061E-3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37547.927631578947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175664</v>
      </c>
      <c r="AB161" s="33"/>
      <c r="AC161" s="46">
        <f t="shared" si="94"/>
        <v>3.0778908009675355E-2</v>
      </c>
      <c r="AD161" s="33"/>
      <c r="AE161" s="33">
        <f t="shared" si="95"/>
        <v>1155.6842105263158</v>
      </c>
      <c r="AF161" s="50"/>
      <c r="AG161" s="33">
        <f t="shared" si="111"/>
        <v>7330</v>
      </c>
      <c r="AH161" s="33">
        <f>SUM(D132:D278)</f>
        <v>417352393.23752838</v>
      </c>
      <c r="AI161" s="231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0.52758851187561162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75" x14ac:dyDescent="0.3">
      <c r="B162" s="171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5752258</v>
      </c>
      <c r="I162" s="16"/>
      <c r="J162" s="479">
        <f t="shared" si="90"/>
        <v>7.8799288978910285E-3</v>
      </c>
      <c r="K162" s="16"/>
      <c r="L162" s="16"/>
      <c r="M162" s="16"/>
      <c r="N162" s="16">
        <f t="shared" si="113"/>
        <v>335914</v>
      </c>
      <c r="O162" s="16">
        <f t="shared" si="114"/>
        <v>37596.457516339869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176948</v>
      </c>
      <c r="AB162" s="33"/>
      <c r="AC162" s="46">
        <f t="shared" si="94"/>
        <v>3.0761485315853355E-2</v>
      </c>
      <c r="AD162" s="33"/>
      <c r="AE162" s="33">
        <f t="shared" si="95"/>
        <v>1156.5228758169935</v>
      </c>
      <c r="AF162" s="50"/>
      <c r="AG162" s="33">
        <f t="shared" si="111"/>
        <v>7228</v>
      </c>
      <c r="AH162" s="33">
        <f>SUM(D133:D279)</f>
        <v>461643514.23752838</v>
      </c>
      <c r="AI162" s="231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0.53237024486731988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44973</v>
      </c>
      <c r="BF162" s="67"/>
      <c r="BG162" s="156">
        <f t="shared" si="102"/>
        <v>6.011966986517088E-2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6.0366807870109125E-2</v>
      </c>
      <c r="BN162" s="66">
        <f t="shared" si="103"/>
        <v>477880.45098039217</v>
      </c>
      <c r="BO162" s="67"/>
      <c r="BP162" s="67">
        <f t="shared" si="104"/>
        <v>5409611</v>
      </c>
      <c r="BQ162" s="67"/>
      <c r="BR162" s="478">
        <f t="shared" si="105"/>
        <v>7.3986986845740635E-2</v>
      </c>
      <c r="BS162" s="67"/>
      <c r="BT162" s="86"/>
      <c r="BU162" s="183"/>
      <c r="BV162" s="1"/>
      <c r="BW162" s="61">
        <f t="shared" si="53"/>
        <v>153</v>
      </c>
    </row>
    <row r="163" spans="2:75" x14ac:dyDescent="0.3">
      <c r="B163" s="171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5797615</v>
      </c>
      <c r="I163" s="16"/>
      <c r="J163" s="479">
        <f t="shared" si="90"/>
        <v>7.8850774774010483E-3</v>
      </c>
      <c r="K163" s="16"/>
      <c r="L163" s="16"/>
      <c r="M163" s="16"/>
      <c r="N163" s="16">
        <f t="shared" si="113"/>
        <v>325907</v>
      </c>
      <c r="O163" s="16">
        <f t="shared" si="114"/>
        <v>37646.85064935065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178045</v>
      </c>
      <c r="AB163" s="33"/>
      <c r="AC163" s="46">
        <f t="shared" si="94"/>
        <v>3.0710041974156613E-2</v>
      </c>
      <c r="AD163" s="33"/>
      <c r="AE163" s="33">
        <f t="shared" si="95"/>
        <v>1156.1363636363637</v>
      </c>
      <c r="AF163" s="50"/>
      <c r="AG163" s="33">
        <f t="shared" si="111"/>
        <v>7041</v>
      </c>
      <c r="AH163" s="33">
        <f>SUM(D134:D280)</f>
        <v>461576035.30952841</v>
      </c>
      <c r="AI163" s="231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0.53392369103502046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45357</v>
      </c>
      <c r="BF163" s="67"/>
      <c r="BG163" s="156">
        <f t="shared" si="102"/>
        <v>6.0265232393907707E-2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6.0988672706143464E-2</v>
      </c>
      <c r="BN163" s="66">
        <f t="shared" si="103"/>
        <v>479664.49350649351</v>
      </c>
      <c r="BO163" s="67"/>
      <c r="BP163" s="67">
        <f t="shared" si="104"/>
        <v>5454968</v>
      </c>
      <c r="BQ163" s="67"/>
      <c r="BR163" s="478">
        <f t="shared" si="105"/>
        <v>7.3847179871341886E-2</v>
      </c>
      <c r="BS163" s="67"/>
      <c r="BT163" s="86"/>
      <c r="BU163" s="183"/>
      <c r="BV163" s="1"/>
      <c r="BW163" s="61">
        <f t="shared" si="53"/>
        <v>154</v>
      </c>
    </row>
    <row r="164" spans="2:75" x14ac:dyDescent="0.3">
      <c r="B164" s="171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5848096</v>
      </c>
      <c r="I164" s="16"/>
      <c r="J164" s="479">
        <f t="shared" si="90"/>
        <v>8.707201150818052E-3</v>
      </c>
      <c r="K164" s="16"/>
      <c r="L164" s="16"/>
      <c r="M164" s="16"/>
      <c r="N164" s="16">
        <f t="shared" si="113"/>
        <v>315788</v>
      </c>
      <c r="O164" s="16">
        <f t="shared" si="114"/>
        <v>37729.651612903224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179215</v>
      </c>
      <c r="AB164" s="33"/>
      <c r="AC164" s="46">
        <f t="shared" si="94"/>
        <v>3.0645016771270513E-2</v>
      </c>
      <c r="AD164" s="33"/>
      <c r="AE164" s="33">
        <f t="shared" si="95"/>
        <v>1156.2258064516129</v>
      </c>
      <c r="AF164" s="50"/>
      <c r="AG164" s="33">
        <f t="shared" si="111"/>
        <v>7091</v>
      </c>
      <c r="AH164" s="33">
        <f>SUM(D135:D281)</f>
        <v>461504068.30952841</v>
      </c>
      <c r="AI164" s="231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0.53477542092332275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50481</v>
      </c>
      <c r="BF164" s="67"/>
      <c r="BG164" s="156">
        <f t="shared" si="102"/>
        <v>5.9372089084596492E-2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5.8953386410821401E-2</v>
      </c>
      <c r="BN164" s="66">
        <f t="shared" si="103"/>
        <v>482055.3548387097</v>
      </c>
      <c r="BO164" s="67"/>
      <c r="BP164" s="67">
        <f t="shared" si="104"/>
        <v>5505449</v>
      </c>
      <c r="BQ164" s="67"/>
      <c r="BR164" s="478">
        <f t="shared" si="105"/>
        <v>7.3682462916184965E-2</v>
      </c>
      <c r="BS164" s="67"/>
      <c r="BT164" s="86"/>
      <c r="BU164" s="183"/>
      <c r="BV164" s="1"/>
      <c r="BW164" s="61">
        <f t="shared" si="53"/>
        <v>155</v>
      </c>
    </row>
    <row r="165" spans="2:7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5891925</v>
      </c>
      <c r="I165" s="16"/>
      <c r="J165" s="479">
        <f t="shared" ref="J165:J182" si="116">+D165/H164</f>
        <v>7.4945760124320807E-3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37768.75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180189</v>
      </c>
      <c r="AB165" s="33"/>
      <c r="AC165" s="46">
        <f t="shared" ref="AC165:AC182" si="121">+AA165/H165</f>
        <v>3.0582364846803038E-2</v>
      </c>
      <c r="AD165" s="33"/>
      <c r="AE165" s="33">
        <f t="shared" ref="AE165:AE182" si="122">+AA165/BW165</f>
        <v>1155.0576923076924</v>
      </c>
      <c r="AF165" s="50"/>
      <c r="AG165" s="33">
        <f t="shared" ref="AG165:AG182" si="123">SUM(W159:W165)</f>
        <v>6994</v>
      </c>
      <c r="AH165" s="33">
        <f>SUM(D136:D282)</f>
        <v>461434625.35152841</v>
      </c>
      <c r="AI165" s="231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:AR182" si="126">+AL165/AP164</f>
        <v>6.606727978159619E-3</v>
      </c>
      <c r="AS165" s="25"/>
      <c r="AT165" s="25"/>
      <c r="AU165" s="24"/>
      <c r="AV165" s="341">
        <f t="shared" ref="AV165:AV182" si="127">+AP165/H165</f>
        <v>0.5343041535661095</v>
      </c>
      <c r="AW165" s="341"/>
      <c r="AX165" s="24">
        <f t="shared" ref="AX165:AX182" si="128">+AP165/BW165</f>
        <v>20180</v>
      </c>
      <c r="AY165" s="351"/>
      <c r="AZ165" s="10"/>
      <c r="BA165" s="66">
        <f t="shared" ref="BA165:BA182" si="129">+BC165-BC164</f>
        <v>756595</v>
      </c>
      <c r="BB165" s="67"/>
      <c r="BC165" s="67">
        <v>75475175</v>
      </c>
      <c r="BD165" s="67"/>
      <c r="BE165" s="67">
        <f t="shared" ref="BE165:BE182" si="130">+D165</f>
        <v>43829</v>
      </c>
      <c r="BF165" s="67"/>
      <c r="BG165" s="156">
        <f t="shared" ref="BG165:BG182" si="131">+BE165/BA165</f>
        <v>5.7929275239725346E-2</v>
      </c>
      <c r="BH165" s="67"/>
      <c r="BI165" s="183"/>
      <c r="BJ165" s="67"/>
      <c r="BK165" s="67">
        <f t="shared" ref="BK165:BK182" si="132">SUM(BA159:BA165)</f>
        <v>5250502</v>
      </c>
      <c r="BL165" s="67"/>
      <c r="BM165" s="156">
        <f t="shared" ref="BM165:BM182" si="133">+Q165/BK165</f>
        <v>5.8298044644112125E-2</v>
      </c>
      <c r="BN165" s="66">
        <f t="shared" ref="BN165:BN182" si="134">+BC165/BW165</f>
        <v>483815.22435897437</v>
      </c>
      <c r="BO165" s="67"/>
      <c r="BP165" s="67">
        <f t="shared" ref="BP165:BP182" si="135">+BP164+BE165</f>
        <v>5549278</v>
      </c>
      <c r="BQ165" s="67"/>
      <c r="BR165" s="478">
        <f t="shared" ref="BR165:BR182" si="136">+BP165/BC165</f>
        <v>7.3524546316056899E-2</v>
      </c>
      <c r="BS165" s="67"/>
      <c r="BT165" s="86"/>
      <c r="BU165" s="183"/>
      <c r="BV165" s="1"/>
      <c r="BW165" s="61">
        <f t="shared" si="53"/>
        <v>156</v>
      </c>
    </row>
    <row r="166" spans="2:7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5924643</v>
      </c>
      <c r="I166" s="16"/>
      <c r="J166" s="479">
        <f t="shared" si="116"/>
        <v>5.5530238419531815E-3</v>
      </c>
      <c r="K166" s="16"/>
      <c r="L166" s="16"/>
      <c r="M166" s="16"/>
      <c r="N166" s="16">
        <f t="shared" si="117"/>
        <v>301969</v>
      </c>
      <c r="O166" s="16">
        <f t="shared" si="114"/>
        <v>37736.579617834395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180619</v>
      </c>
      <c r="AB166" s="33"/>
      <c r="AC166" s="46">
        <f t="shared" si="121"/>
        <v>3.0486056290649075E-2</v>
      </c>
      <c r="AD166" s="33"/>
      <c r="AE166" s="33">
        <f t="shared" si="122"/>
        <v>1150.43949044586</v>
      </c>
      <c r="AF166" s="50"/>
      <c r="AG166" s="33">
        <f t="shared" si="123"/>
        <v>6902</v>
      </c>
      <c r="AH166" s="33">
        <f>SUM(D137:D283)</f>
        <v>462357591.35152841</v>
      </c>
      <c r="AI166" s="231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si="126"/>
        <v>6.0300246499453633E-3</v>
      </c>
      <c r="AS166" s="25"/>
      <c r="AT166" s="25"/>
      <c r="AU166" s="24"/>
      <c r="AV166" s="341">
        <f t="shared" si="127"/>
        <v>0.53455760963150012</v>
      </c>
      <c r="AW166" s="341"/>
      <c r="AX166" s="24">
        <f t="shared" si="128"/>
        <v>20172.375796178345</v>
      </c>
      <c r="AY166" s="351"/>
      <c r="AZ166" s="391"/>
      <c r="BA166" s="66">
        <f t="shared" si="129"/>
        <v>684203</v>
      </c>
      <c r="BB166" s="67"/>
      <c r="BC166" s="67">
        <v>76159378</v>
      </c>
      <c r="BD166" s="67"/>
      <c r="BE166" s="67">
        <f t="shared" si="130"/>
        <v>32718</v>
      </c>
      <c r="BF166" s="67"/>
      <c r="BG166" s="156">
        <f t="shared" si="131"/>
        <v>4.7819141395170732E-2</v>
      </c>
      <c r="BH166" s="67"/>
      <c r="BI166" s="183"/>
      <c r="BJ166" s="67"/>
      <c r="BK166" s="67">
        <f t="shared" si="132"/>
        <v>5198748</v>
      </c>
      <c r="BL166" s="67"/>
      <c r="BM166" s="156">
        <f t="shared" si="133"/>
        <v>5.8084946606375226E-2</v>
      </c>
      <c r="BN166" s="66">
        <f t="shared" si="134"/>
        <v>485091.57961783442</v>
      </c>
      <c r="BO166" s="67"/>
      <c r="BP166" s="67">
        <f t="shared" si="135"/>
        <v>5581996</v>
      </c>
      <c r="BQ166" s="67"/>
      <c r="BR166" s="478">
        <f t="shared" si="136"/>
        <v>7.3293613296053967E-2</v>
      </c>
      <c r="BS166" s="67"/>
      <c r="BT166" s="86"/>
      <c r="BU166" s="183"/>
      <c r="BV166" s="1"/>
      <c r="BW166" s="61">
        <f t="shared" si="53"/>
        <v>157</v>
      </c>
    </row>
    <row r="167" spans="2:75" x14ac:dyDescent="0.3">
      <c r="B167" s="171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5966127</v>
      </c>
      <c r="I167" s="16"/>
      <c r="J167" s="479">
        <f t="shared" si="116"/>
        <v>7.0019408764376186E-3</v>
      </c>
      <c r="K167" s="16"/>
      <c r="L167" s="16"/>
      <c r="M167" s="16"/>
      <c r="N167" s="16">
        <f t="shared" si="117"/>
        <v>302841</v>
      </c>
      <c r="O167" s="16">
        <f t="shared" si="114"/>
        <v>37760.297468354431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181129</v>
      </c>
      <c r="AB167" s="33"/>
      <c r="AC167" s="46">
        <f t="shared" si="121"/>
        <v>3.0359561571518676E-2</v>
      </c>
      <c r="AD167" s="33"/>
      <c r="AE167" s="33">
        <f t="shared" si="122"/>
        <v>1146.3860759493671</v>
      </c>
      <c r="AF167" s="50"/>
      <c r="AG167" s="33">
        <f t="shared" si="123"/>
        <v>6823</v>
      </c>
      <c r="AH167" s="33">
        <f>SUM(D138:D284)</f>
        <v>462290178.35152841</v>
      </c>
      <c r="AI167" s="231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504">
        <f t="shared" si="126"/>
        <v>1.607735621299608E-2</v>
      </c>
      <c r="AS167" s="25"/>
      <c r="AT167" s="25"/>
      <c r="AU167" s="24"/>
      <c r="AV167" s="341">
        <f t="shared" si="127"/>
        <v>0.53937520941139871</v>
      </c>
      <c r="AW167" s="341"/>
      <c r="AX167" s="24">
        <f t="shared" si="128"/>
        <v>20366.968354430381</v>
      </c>
      <c r="AY167" s="351"/>
      <c r="AZ167" s="10"/>
      <c r="BA167" s="66">
        <f t="shared" si="129"/>
        <v>724101</v>
      </c>
      <c r="BB167" s="67"/>
      <c r="BC167" s="67">
        <v>76883479</v>
      </c>
      <c r="BD167" s="67"/>
      <c r="BE167" s="67">
        <f t="shared" si="130"/>
        <v>41484</v>
      </c>
      <c r="BF167" s="67"/>
      <c r="BG167" s="156">
        <f t="shared" si="131"/>
        <v>5.7290350379297916E-2</v>
      </c>
      <c r="BH167" s="67"/>
      <c r="BI167" s="183"/>
      <c r="BJ167" s="67"/>
      <c r="BK167" s="67">
        <f t="shared" si="132"/>
        <v>5195698</v>
      </c>
      <c r="BL167" s="67"/>
      <c r="BM167" s="156">
        <f t="shared" si="133"/>
        <v>5.8286875026223615E-2</v>
      </c>
      <c r="BN167" s="66">
        <f t="shared" si="134"/>
        <v>486604.2974683544</v>
      </c>
      <c r="BO167" s="67"/>
      <c r="BP167" s="67">
        <f t="shared" si="135"/>
        <v>5623480</v>
      </c>
      <c r="BQ167" s="67"/>
      <c r="BR167" s="478">
        <f t="shared" si="136"/>
        <v>7.3142891985936279E-2</v>
      </c>
      <c r="BS167" s="67"/>
      <c r="BT167" s="86"/>
      <c r="BU167" s="183"/>
      <c r="BV167" s="1"/>
      <c r="BW167" s="61">
        <f t="shared" si="53"/>
        <v>158</v>
      </c>
    </row>
    <row r="168" spans="2:75" x14ac:dyDescent="0.3">
      <c r="B168" s="171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6006225</v>
      </c>
      <c r="I168" s="16"/>
      <c r="J168" s="479">
        <f t="shared" si="116"/>
        <v>6.7209430841817484E-3</v>
      </c>
      <c r="K168" s="16"/>
      <c r="L168" s="16"/>
      <c r="M168" s="16"/>
      <c r="N168" s="16">
        <f t="shared" si="117"/>
        <v>298940</v>
      </c>
      <c r="O168" s="16">
        <f t="shared" si="114"/>
        <v>37775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182419</v>
      </c>
      <c r="AB168" s="33"/>
      <c r="AC168" s="46">
        <f t="shared" si="121"/>
        <v>3.0371656073490419E-2</v>
      </c>
      <c r="AD168" s="33"/>
      <c r="AE168" s="33">
        <f t="shared" si="122"/>
        <v>1147.2893081761006</v>
      </c>
      <c r="AF168" s="50"/>
      <c r="AG168" s="33">
        <f t="shared" si="123"/>
        <v>6755</v>
      </c>
      <c r="AH168" s="33">
        <f>SUM(D139:D285)</f>
        <v>462234048.35152841</v>
      </c>
      <c r="AI168" s="231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504">
        <f t="shared" si="126"/>
        <v>1.1280675678321283E-2</v>
      </c>
      <c r="AS168" s="25"/>
      <c r="AT168" s="25"/>
      <c r="AU168" s="24"/>
      <c r="AV168" s="341">
        <f t="shared" si="127"/>
        <v>0.54181819695399358</v>
      </c>
      <c r="AW168" s="341"/>
      <c r="AX168" s="24">
        <f t="shared" si="128"/>
        <v>20467.182389937108</v>
      </c>
      <c r="AY168" s="351"/>
      <c r="AZ168" s="10"/>
      <c r="BA168" s="66">
        <f t="shared" si="129"/>
        <v>1047928</v>
      </c>
      <c r="BB168" s="67"/>
      <c r="BC168" s="67">
        <v>77931407</v>
      </c>
      <c r="BD168" s="67"/>
      <c r="BE168" s="67">
        <f t="shared" si="130"/>
        <v>40098</v>
      </c>
      <c r="BF168" s="67"/>
      <c r="BG168" s="156">
        <f t="shared" si="131"/>
        <v>3.8264079211548882E-2</v>
      </c>
      <c r="BH168" s="67"/>
      <c r="BI168" s="183"/>
      <c r="BJ168" s="67"/>
      <c r="BK168" s="67">
        <f t="shared" si="132"/>
        <v>5563756</v>
      </c>
      <c r="BL168" s="67"/>
      <c r="BM168" s="156">
        <f t="shared" si="133"/>
        <v>5.3729890383402867E-2</v>
      </c>
      <c r="BN168" s="66">
        <f t="shared" si="134"/>
        <v>490134.63522012578</v>
      </c>
      <c r="BO168" s="67"/>
      <c r="BP168" s="67">
        <f t="shared" si="135"/>
        <v>5663578</v>
      </c>
      <c r="BQ168" s="67"/>
      <c r="BR168" s="478">
        <f t="shared" si="136"/>
        <v>7.2673883585856469E-2</v>
      </c>
      <c r="BS168" s="67"/>
      <c r="BT168" s="86"/>
      <c r="BU168" s="183"/>
      <c r="BV168" s="1"/>
      <c r="BW168" s="61">
        <f t="shared" si="53"/>
        <v>159</v>
      </c>
    </row>
    <row r="169" spans="2:75" x14ac:dyDescent="0.3">
      <c r="B169" s="171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6050862</v>
      </c>
      <c r="I169" s="16"/>
      <c r="J169" s="479">
        <f t="shared" si="116"/>
        <v>7.4317895183746863E-3</v>
      </c>
      <c r="K169" s="16"/>
      <c r="L169" s="16"/>
      <c r="M169" s="16"/>
      <c r="N169" s="16">
        <f t="shared" si="117"/>
        <v>298604</v>
      </c>
      <c r="O169" s="16">
        <f t="shared" si="114"/>
        <v>37817.887499999997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183699</v>
      </c>
      <c r="AB169" s="33"/>
      <c r="AC169" s="46">
        <f t="shared" si="121"/>
        <v>3.0359145523398155E-2</v>
      </c>
      <c r="AD169" s="33"/>
      <c r="AE169" s="33">
        <f t="shared" si="122"/>
        <v>1148.1187500000001</v>
      </c>
      <c r="AF169" s="50"/>
      <c r="AG169" s="33">
        <f t="shared" si="123"/>
        <v>6751</v>
      </c>
      <c r="AH169" s="33">
        <f>SUM(D140:D286)</f>
        <v>462172477.35152841</v>
      </c>
      <c r="AI169" s="231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504">
        <f t="shared" si="126"/>
        <v>1.8307878665708748E-2</v>
      </c>
      <c r="AS169" s="25"/>
      <c r="AT169" s="25"/>
      <c r="AU169" s="24"/>
      <c r="AV169" s="341">
        <f t="shared" si="127"/>
        <v>0.54766758851879282</v>
      </c>
      <c r="AW169" s="341"/>
      <c r="AX169" s="24">
        <f t="shared" si="128"/>
        <v>20711.631249999999</v>
      </c>
      <c r="AY169" s="351"/>
      <c r="AZ169" s="10"/>
      <c r="BA169" s="66">
        <f t="shared" si="129"/>
        <v>701159</v>
      </c>
      <c r="BB169" s="67"/>
      <c r="BC169" s="67">
        <v>78632566</v>
      </c>
      <c r="BD169" s="67"/>
      <c r="BE169" s="67">
        <f t="shared" si="130"/>
        <v>44637</v>
      </c>
      <c r="BF169" s="67"/>
      <c r="BG169" s="156">
        <f t="shared" si="131"/>
        <v>6.3661737209391875E-2</v>
      </c>
      <c r="BH169" s="67"/>
      <c r="BI169" s="183"/>
      <c r="BJ169" s="67"/>
      <c r="BK169" s="67">
        <f t="shared" si="132"/>
        <v>5516857</v>
      </c>
      <c r="BL169" s="67"/>
      <c r="BM169" s="156">
        <f t="shared" si="133"/>
        <v>5.4125745873057796E-2</v>
      </c>
      <c r="BN169" s="66">
        <f t="shared" si="134"/>
        <v>491453.53749999998</v>
      </c>
      <c r="BO169" s="67"/>
      <c r="BP169" s="67">
        <f t="shared" si="135"/>
        <v>5708215</v>
      </c>
      <c r="BQ169" s="67"/>
      <c r="BR169" s="478">
        <f t="shared" si="136"/>
        <v>7.2593523146631131E-2</v>
      </c>
      <c r="BS169" s="67"/>
      <c r="BT169" s="86"/>
      <c r="BU169" s="183"/>
      <c r="BV169" s="1"/>
      <c r="BW169" s="61">
        <f t="shared" si="53"/>
        <v>160</v>
      </c>
    </row>
    <row r="170" spans="2:75" x14ac:dyDescent="0.3">
      <c r="B170" s="171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6096868</v>
      </c>
      <c r="I170" s="16"/>
      <c r="J170" s="479">
        <f t="shared" si="116"/>
        <v>7.6032142197260486E-3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37868.745341614907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184842</v>
      </c>
      <c r="AB170" s="33"/>
      <c r="AC170" s="46">
        <f t="shared" si="121"/>
        <v>3.0317533527050283E-2</v>
      </c>
      <c r="AD170" s="33"/>
      <c r="AE170" s="33">
        <f t="shared" si="122"/>
        <v>1148.0869565217392</v>
      </c>
      <c r="AF170" s="50"/>
      <c r="AG170" s="33">
        <f t="shared" si="123"/>
        <v>6797</v>
      </c>
      <c r="AH170" s="33">
        <f>SUM(D141:D287)</f>
        <v>462107748.35152841</v>
      </c>
      <c r="AI170" s="231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504">
        <f t="shared" si="126"/>
        <v>1.0283774726821675E-2</v>
      </c>
      <c r="AS170" s="25"/>
      <c r="AT170" s="25"/>
      <c r="AU170" s="24"/>
      <c r="AV170" s="341">
        <f t="shared" si="127"/>
        <v>0.54912456690878009</v>
      </c>
      <c r="AW170" s="341"/>
      <c r="AX170" s="24">
        <f t="shared" si="128"/>
        <v>20794.658385093167</v>
      </c>
      <c r="AY170" s="351"/>
      <c r="AZ170" s="10"/>
      <c r="BA170" s="66">
        <f t="shared" si="129"/>
        <v>839920</v>
      </c>
      <c r="BB170" s="67"/>
      <c r="BC170" s="67">
        <v>79472486</v>
      </c>
      <c r="BD170" s="67"/>
      <c r="BE170" s="67">
        <f t="shared" si="130"/>
        <v>46006</v>
      </c>
      <c r="BF170" s="67"/>
      <c r="BG170" s="156">
        <f t="shared" si="131"/>
        <v>5.4774264215639586E-2</v>
      </c>
      <c r="BH170" s="67"/>
      <c r="BI170" s="183"/>
      <c r="BJ170" s="67"/>
      <c r="BK170" s="67">
        <f t="shared" si="132"/>
        <v>5604154</v>
      </c>
      <c r="BL170" s="67"/>
      <c r="BM170" s="156">
        <f t="shared" si="133"/>
        <v>5.3398425525065872E-2</v>
      </c>
      <c r="BN170" s="66">
        <f t="shared" si="134"/>
        <v>493617.92546583852</v>
      </c>
      <c r="BO170" s="67"/>
      <c r="BP170" s="67">
        <f t="shared" si="135"/>
        <v>5754221</v>
      </c>
      <c r="BQ170" s="67"/>
      <c r="BR170" s="478">
        <f t="shared" si="136"/>
        <v>7.2405196938220853E-2</v>
      </c>
      <c r="BS170" s="67"/>
      <c r="BT170" s="86"/>
      <c r="BU170" s="183"/>
      <c r="BV170" s="1"/>
      <c r="BW170" s="61">
        <f t="shared" si="53"/>
        <v>161</v>
      </c>
    </row>
    <row r="171" spans="2:75" x14ac:dyDescent="0.3">
      <c r="B171" s="171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6146469</v>
      </c>
      <c r="I171" s="16"/>
      <c r="J171" s="479">
        <f t="shared" si="116"/>
        <v>8.1354885820063682E-3</v>
      </c>
      <c r="K171" s="16"/>
      <c r="L171" s="16"/>
      <c r="M171" s="16"/>
      <c r="N171" s="16">
        <f t="shared" si="117"/>
        <v>298373</v>
      </c>
      <c r="O171" s="16">
        <f t="shared" si="137"/>
        <v>37941.166666666664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185947</v>
      </c>
      <c r="AB171" s="33"/>
      <c r="AC171" s="46">
        <f t="shared" si="121"/>
        <v>3.0252654003461173E-2</v>
      </c>
      <c r="AD171" s="33"/>
      <c r="AE171" s="33">
        <f t="shared" si="122"/>
        <v>1147.820987654321</v>
      </c>
      <c r="AF171" s="50"/>
      <c r="AG171" s="33">
        <f t="shared" si="123"/>
        <v>6732</v>
      </c>
      <c r="AH171" s="33">
        <f>SUM(D142:D288)</f>
        <v>462040827.35152841</v>
      </c>
      <c r="AI171" s="231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504">
        <f t="shared" si="126"/>
        <v>8.3328852966301666E-3</v>
      </c>
      <c r="AS171" s="25"/>
      <c r="AT171" s="25"/>
      <c r="AU171" s="24"/>
      <c r="AV171" s="341">
        <f t="shared" si="127"/>
        <v>0.54923208756116726</v>
      </c>
      <c r="AW171" s="341"/>
      <c r="AX171" s="24">
        <f t="shared" si="128"/>
        <v>20838.506172839505</v>
      </c>
      <c r="AY171" s="351"/>
      <c r="AZ171" s="10"/>
      <c r="BA171" s="66">
        <f t="shared" si="129"/>
        <v>827184</v>
      </c>
      <c r="BB171" s="67"/>
      <c r="BC171" s="67">
        <v>80299670</v>
      </c>
      <c r="BD171" s="67"/>
      <c r="BE171" s="67">
        <f t="shared" si="130"/>
        <v>49601</v>
      </c>
      <c r="BF171" s="67"/>
      <c r="BG171" s="156">
        <f t="shared" si="131"/>
        <v>5.9963684017098978E-2</v>
      </c>
      <c r="BH171" s="67"/>
      <c r="BI171" s="183"/>
      <c r="BJ171" s="67"/>
      <c r="BK171" s="67">
        <f t="shared" si="132"/>
        <v>5581090</v>
      </c>
      <c r="BL171" s="67"/>
      <c r="BM171" s="156">
        <f t="shared" si="133"/>
        <v>5.346142061855301E-2</v>
      </c>
      <c r="BN171" s="66">
        <f t="shared" si="134"/>
        <v>495676.97530864197</v>
      </c>
      <c r="BO171" s="67"/>
      <c r="BP171" s="67">
        <f t="shared" si="135"/>
        <v>5803822</v>
      </c>
      <c r="BQ171" s="67"/>
      <c r="BR171" s="478">
        <f t="shared" si="136"/>
        <v>7.2277034264275314E-2</v>
      </c>
      <c r="BS171" s="67"/>
      <c r="BT171" s="86"/>
      <c r="BU171" s="183"/>
      <c r="BV171" s="1"/>
      <c r="BW171" s="61">
        <f t="shared" si="53"/>
        <v>162</v>
      </c>
    </row>
    <row r="172" spans="2:75" x14ac:dyDescent="0.3">
      <c r="B172" s="171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6189129</v>
      </c>
      <c r="I172" s="16"/>
      <c r="J172" s="479">
        <f t="shared" si="116"/>
        <v>6.9405702688812064E-3</v>
      </c>
      <c r="K172" s="16"/>
      <c r="L172" s="16"/>
      <c r="M172" s="16"/>
      <c r="N172" s="16">
        <f t="shared" si="117"/>
        <v>297204</v>
      </c>
      <c r="O172" s="16">
        <f t="shared" si="137"/>
        <v>37970.116564417178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186901</v>
      </c>
      <c r="AB172" s="33"/>
      <c r="AC172" s="46">
        <f t="shared" si="121"/>
        <v>3.0198271840835761E-2</v>
      </c>
      <c r="AD172" s="33"/>
      <c r="AE172" s="33">
        <f t="shared" si="122"/>
        <v>1146.6319018404909</v>
      </c>
      <c r="AF172" s="50"/>
      <c r="AG172" s="33">
        <f t="shared" si="123"/>
        <v>6712</v>
      </c>
      <c r="AH172" s="33">
        <f>SUM(D143:D289)</f>
        <v>461972258.35152841</v>
      </c>
      <c r="AI172" s="231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504">
        <f t="shared" si="126"/>
        <v>9.7637979073640375E-3</v>
      </c>
      <c r="AS172" s="25"/>
      <c r="AT172" s="25"/>
      <c r="AU172" s="24"/>
      <c r="AV172" s="341">
        <f t="shared" si="127"/>
        <v>0.55077200685266048</v>
      </c>
      <c r="AW172" s="341"/>
      <c r="AX172" s="24">
        <f t="shared" si="128"/>
        <v>20912.877300613498</v>
      </c>
      <c r="AY172" s="351"/>
      <c r="AZ172" s="10"/>
      <c r="BA172" s="66">
        <f t="shared" si="129"/>
        <v>802727</v>
      </c>
      <c r="BB172" s="67"/>
      <c r="BC172" s="67">
        <v>81102397</v>
      </c>
      <c r="BD172" s="67"/>
      <c r="BE172" s="67">
        <f t="shared" si="130"/>
        <v>42660</v>
      </c>
      <c r="BF172" s="67"/>
      <c r="BG172" s="156">
        <f t="shared" si="131"/>
        <v>5.3143845915236437E-2</v>
      </c>
      <c r="BH172" s="67"/>
      <c r="BI172" s="183"/>
      <c r="BJ172" s="67"/>
      <c r="BK172" s="67">
        <f t="shared" si="132"/>
        <v>5627222</v>
      </c>
      <c r="BL172" s="67"/>
      <c r="BM172" s="156">
        <f t="shared" si="133"/>
        <v>5.2815403408644622E-2</v>
      </c>
      <c r="BN172" s="66">
        <f t="shared" si="134"/>
        <v>497560.71779141104</v>
      </c>
      <c r="BO172" s="67"/>
      <c r="BP172" s="67">
        <f t="shared" si="135"/>
        <v>5846482</v>
      </c>
      <c r="BQ172" s="67"/>
      <c r="BR172" s="478">
        <f t="shared" si="136"/>
        <v>7.208765975190598E-2</v>
      </c>
      <c r="BS172" s="67"/>
      <c r="BT172" s="86"/>
      <c r="BU172" s="183"/>
      <c r="BV172" s="1"/>
      <c r="BW172" s="61">
        <f t="shared" si="53"/>
        <v>163</v>
      </c>
    </row>
    <row r="173" spans="2:75" x14ac:dyDescent="0.3">
      <c r="B173" s="390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6223110</v>
      </c>
      <c r="I173" s="16"/>
      <c r="J173" s="479">
        <f t="shared" si="116"/>
        <v>5.4904333065282692E-3</v>
      </c>
      <c r="K173" s="16"/>
      <c r="L173" s="16"/>
      <c r="M173" s="16"/>
      <c r="N173" s="16">
        <f t="shared" si="117"/>
        <v>298467</v>
      </c>
      <c r="O173" s="16">
        <f t="shared" si="137"/>
        <v>37945.792682926833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187270</v>
      </c>
      <c r="AB173" s="33"/>
      <c r="AC173" s="46">
        <f t="shared" si="121"/>
        <v>3.009267070644742E-2</v>
      </c>
      <c r="AD173" s="33"/>
      <c r="AE173" s="33">
        <f t="shared" si="122"/>
        <v>1141.8902439024391</v>
      </c>
      <c r="AF173" s="50"/>
      <c r="AG173" s="33">
        <f t="shared" si="123"/>
        <v>6651</v>
      </c>
      <c r="AH173" s="33">
        <f>SUM(D144:D290)</f>
        <v>461901175.35152841</v>
      </c>
      <c r="AI173" s="231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504">
        <f t="shared" si="126"/>
        <v>4.9647984524754905E-3</v>
      </c>
      <c r="AS173" s="25"/>
      <c r="AT173" s="25"/>
      <c r="AU173" s="24"/>
      <c r="AV173" s="341">
        <f t="shared" si="127"/>
        <v>0.55048408271748372</v>
      </c>
      <c r="AW173" s="341"/>
      <c r="AX173" s="24">
        <f t="shared" si="128"/>
        <v>20888.554878048781</v>
      </c>
      <c r="AY173" s="351"/>
      <c r="AZ173" s="391"/>
      <c r="BA173" s="66">
        <f t="shared" si="129"/>
        <v>727682</v>
      </c>
      <c r="BB173" s="67"/>
      <c r="BC173" s="67">
        <v>81830079</v>
      </c>
      <c r="BD173" s="67"/>
      <c r="BE173" s="67">
        <f t="shared" si="130"/>
        <v>33981</v>
      </c>
      <c r="BF173" s="67"/>
      <c r="BG173" s="156">
        <f t="shared" si="131"/>
        <v>4.6697595927891578E-2</v>
      </c>
      <c r="BH173" s="67"/>
      <c r="BI173" s="183"/>
      <c r="BJ173" s="67"/>
      <c r="BK173" s="67">
        <f t="shared" si="132"/>
        <v>5670701</v>
      </c>
      <c r="BL173" s="67"/>
      <c r="BM173" s="156">
        <f t="shared" si="133"/>
        <v>5.2633175334054823E-2</v>
      </c>
      <c r="BN173" s="66">
        <f t="shared" si="134"/>
        <v>498963.89634146343</v>
      </c>
      <c r="BO173" s="67"/>
      <c r="BP173" s="67">
        <f t="shared" si="135"/>
        <v>5880463</v>
      </c>
      <c r="BQ173" s="67"/>
      <c r="BR173" s="478">
        <f t="shared" si="136"/>
        <v>7.1861876120148924E-2</v>
      </c>
      <c r="BS173" s="67"/>
      <c r="BT173" s="86"/>
      <c r="BU173" s="183"/>
      <c r="BV173" s="1"/>
      <c r="BW173" s="61">
        <f t="shared" si="53"/>
        <v>164</v>
      </c>
    </row>
    <row r="174" spans="2:75" x14ac:dyDescent="0.3">
      <c r="B174" s="171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6261670</v>
      </c>
      <c r="I174" s="16"/>
      <c r="J174" s="479">
        <f t="shared" si="116"/>
        <v>6.1962587837913839E-3</v>
      </c>
      <c r="K174" s="16"/>
      <c r="L174" s="16"/>
      <c r="M174" s="16"/>
      <c r="N174" s="469">
        <f>SUM(D144:D174)</f>
        <v>1493931</v>
      </c>
      <c r="O174" s="16">
        <f t="shared" si="137"/>
        <v>37949.515151515152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187782</v>
      </c>
      <c r="AB174" s="33"/>
      <c r="AC174" s="46">
        <f t="shared" si="121"/>
        <v>2.9989124307093794E-2</v>
      </c>
      <c r="AD174" s="33"/>
      <c r="AE174" s="33">
        <f t="shared" si="122"/>
        <v>1138.0727272727272</v>
      </c>
      <c r="AF174" s="50"/>
      <c r="AG174" s="33">
        <f t="shared" si="123"/>
        <v>6653</v>
      </c>
      <c r="AH174" s="33">
        <f>SUM(D145:D291)</f>
        <v>461842634.35152841</v>
      </c>
      <c r="AI174" s="231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504">
        <f t="shared" si="126"/>
        <v>8.9149064299711336E-3</v>
      </c>
      <c r="AS174" s="25"/>
      <c r="AT174" s="25"/>
      <c r="AU174" s="24"/>
      <c r="AV174" s="341">
        <f t="shared" si="127"/>
        <v>0.55197143892923128</v>
      </c>
      <c r="AW174" s="341"/>
      <c r="AX174" s="24">
        <f t="shared" si="128"/>
        <v>20947.048484848485</v>
      </c>
      <c r="AY174" s="351"/>
      <c r="AZ174" s="10"/>
      <c r="BA174" s="66">
        <f t="shared" si="129"/>
        <v>794762</v>
      </c>
      <c r="BB174" s="67"/>
      <c r="BC174" s="67">
        <v>82624841</v>
      </c>
      <c r="BD174" s="67"/>
      <c r="BE174" s="67">
        <f t="shared" si="130"/>
        <v>38560</v>
      </c>
      <c r="BF174" s="67"/>
      <c r="BG174" s="156">
        <f t="shared" si="131"/>
        <v>4.8517669440662742E-2</v>
      </c>
      <c r="BH174" s="67"/>
      <c r="BI174" s="183"/>
      <c r="BJ174" s="67"/>
      <c r="BK174" s="67">
        <f t="shared" si="132"/>
        <v>5741362</v>
      </c>
      <c r="BL174" s="67"/>
      <c r="BM174" s="156">
        <f t="shared" si="133"/>
        <v>5.147611315921205E-2</v>
      </c>
      <c r="BN174" s="66">
        <f t="shared" si="134"/>
        <v>500756.61212121212</v>
      </c>
      <c r="BO174" s="67"/>
      <c r="BP174" s="67">
        <f t="shared" si="135"/>
        <v>5919023</v>
      </c>
      <c r="BQ174" s="67"/>
      <c r="BR174" s="478">
        <f t="shared" si="136"/>
        <v>7.1637329988931533E-2</v>
      </c>
      <c r="BS174" s="67"/>
      <c r="BT174" s="86"/>
      <c r="BU174" s="183"/>
      <c r="BV174" s="1"/>
      <c r="BW174" s="61">
        <f t="shared" si="53"/>
        <v>165</v>
      </c>
    </row>
    <row r="175" spans="2:75" x14ac:dyDescent="0.3">
      <c r="B175" s="171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6303649</v>
      </c>
      <c r="I175" s="16"/>
      <c r="J175" s="479">
        <f t="shared" si="116"/>
        <v>6.7041220632834374E-3</v>
      </c>
      <c r="K175" s="16"/>
      <c r="L175" s="16"/>
      <c r="M175" s="16"/>
      <c r="N175" s="16">
        <f t="shared" si="117"/>
        <v>297424</v>
      </c>
      <c r="O175" s="16">
        <f t="shared" si="137"/>
        <v>37973.789156626503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188946</v>
      </c>
      <c r="AB175" s="33"/>
      <c r="AC175" s="46">
        <f t="shared" si="121"/>
        <v>2.9974067401278212E-2</v>
      </c>
      <c r="AD175" s="33"/>
      <c r="AE175" s="33">
        <f t="shared" si="122"/>
        <v>1138.2289156626507</v>
      </c>
      <c r="AF175" s="50"/>
      <c r="AG175" s="33">
        <f t="shared" si="123"/>
        <v>6527</v>
      </c>
      <c r="AH175" s="33">
        <f>SUM(D146:D292)</f>
        <v>461793596.35152841</v>
      </c>
      <c r="AI175" s="231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504">
        <f t="shared" si="126"/>
        <v>1.1761257751507916E-2</v>
      </c>
      <c r="AS175" s="25"/>
      <c r="AT175" s="25"/>
      <c r="AU175" s="24"/>
      <c r="AV175" s="341">
        <f t="shared" si="127"/>
        <v>0.55474424416714829</v>
      </c>
      <c r="AW175" s="341"/>
      <c r="AX175" s="24">
        <f t="shared" si="128"/>
        <v>21065.74096385542</v>
      </c>
      <c r="AY175" s="351"/>
      <c r="AZ175" s="10"/>
      <c r="BA175" s="66">
        <f t="shared" si="129"/>
        <v>725278</v>
      </c>
      <c r="BB175" s="67"/>
      <c r="BC175" s="67">
        <v>83350119</v>
      </c>
      <c r="BD175" s="67"/>
      <c r="BE175" s="67">
        <f t="shared" si="130"/>
        <v>41979</v>
      </c>
      <c r="BF175" s="67"/>
      <c r="BG175" s="156">
        <f t="shared" si="131"/>
        <v>5.7879875027230937E-2</v>
      </c>
      <c r="BH175" s="67"/>
      <c r="BI175" s="183"/>
      <c r="BJ175" s="67"/>
      <c r="BK175" s="67">
        <f t="shared" si="132"/>
        <v>5418712</v>
      </c>
      <c r="BL175" s="67"/>
      <c r="BM175" s="156">
        <f t="shared" si="133"/>
        <v>5.4888320324091779E-2</v>
      </c>
      <c r="BN175" s="66">
        <f t="shared" si="134"/>
        <v>502109.15060240962</v>
      </c>
      <c r="BO175" s="67"/>
      <c r="BP175" s="67">
        <f t="shared" si="135"/>
        <v>5961002</v>
      </c>
      <c r="BQ175" s="67"/>
      <c r="BR175" s="478">
        <f t="shared" si="136"/>
        <v>7.1517618349171169E-2</v>
      </c>
      <c r="BS175" s="67"/>
      <c r="BT175" s="86"/>
      <c r="BU175" s="183"/>
      <c r="BV175" s="1"/>
      <c r="BW175" s="61">
        <f t="shared" si="53"/>
        <v>166</v>
      </c>
    </row>
    <row r="176" spans="2:75" x14ac:dyDescent="0.3">
      <c r="B176" s="171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6344860</v>
      </c>
      <c r="I176" s="16"/>
      <c r="J176" s="479">
        <f t="shared" si="116"/>
        <v>6.537641927715201E-3</v>
      </c>
      <c r="K176" s="16"/>
      <c r="L176" s="16"/>
      <c r="M176" s="16"/>
      <c r="N176" s="16">
        <f t="shared" si="117"/>
        <v>293998</v>
      </c>
      <c r="O176" s="16">
        <f t="shared" si="137"/>
        <v>37993.173652694612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190036</v>
      </c>
      <c r="AB176" s="33"/>
      <c r="AC176" s="46">
        <f t="shared" si="121"/>
        <v>2.9951173075528852E-2</v>
      </c>
      <c r="AD176" s="33"/>
      <c r="AE176" s="33">
        <f t="shared" si="122"/>
        <v>1137.9401197604791</v>
      </c>
      <c r="AF176" s="50"/>
      <c r="AG176" s="33">
        <f t="shared" si="123"/>
        <v>6337</v>
      </c>
      <c r="AH176" s="33">
        <f>SUM(D147:D293)</f>
        <v>461744950.35152847</v>
      </c>
      <c r="AI176" s="231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504">
        <f t="shared" si="126"/>
        <v>1.4332355423197546E-2</v>
      </c>
      <c r="AS176" s="25"/>
      <c r="AT176" s="25"/>
      <c r="AU176" s="24"/>
      <c r="AV176" s="341">
        <f t="shared" si="127"/>
        <v>0.55904023099012434</v>
      </c>
      <c r="AW176" s="341"/>
      <c r="AX176" s="24">
        <f t="shared" si="128"/>
        <v>21239.712574850299</v>
      </c>
      <c r="AY176" s="351"/>
      <c r="AZ176" s="10"/>
      <c r="BA176" s="66">
        <f t="shared" si="129"/>
        <v>748292</v>
      </c>
      <c r="BB176" s="67"/>
      <c r="BC176" s="67">
        <v>84098411</v>
      </c>
      <c r="BD176" s="67"/>
      <c r="BE176" s="67">
        <f t="shared" si="130"/>
        <v>41211</v>
      </c>
      <c r="BF176" s="67"/>
      <c r="BG176" s="156">
        <f t="shared" si="131"/>
        <v>5.5073420536368156E-2</v>
      </c>
      <c r="BH176" s="67"/>
      <c r="BI176" s="183"/>
      <c r="BJ176" s="67"/>
      <c r="BK176" s="67">
        <f t="shared" si="132"/>
        <v>5465845</v>
      </c>
      <c r="BL176" s="67"/>
      <c r="BM176" s="156">
        <f t="shared" si="133"/>
        <v>5.3788206581050137E-2</v>
      </c>
      <c r="BN176" s="66">
        <f t="shared" si="134"/>
        <v>503583.29940119758</v>
      </c>
      <c r="BO176" s="67"/>
      <c r="BP176" s="67">
        <f t="shared" si="135"/>
        <v>6002213</v>
      </c>
      <c r="BQ176" s="67"/>
      <c r="BR176" s="478">
        <f t="shared" si="136"/>
        <v>7.137130093932452E-2</v>
      </c>
      <c r="BS176" s="67"/>
      <c r="BT176" s="86"/>
      <c r="BU176" s="183"/>
      <c r="BV176" s="1"/>
      <c r="BW176" s="61">
        <f t="shared" si="53"/>
        <v>167</v>
      </c>
    </row>
    <row r="177" spans="2:75" x14ac:dyDescent="0.3">
      <c r="B177" s="171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6390324</v>
      </c>
      <c r="I177" s="16"/>
      <c r="J177" s="479">
        <f t="shared" si="116"/>
        <v>7.1654851328476913E-3</v>
      </c>
      <c r="K177" s="16"/>
      <c r="L177" s="16"/>
      <c r="M177" s="16"/>
      <c r="N177" s="16">
        <f t="shared" si="117"/>
        <v>293456</v>
      </c>
      <c r="O177" s="16">
        <f t="shared" si="137"/>
        <v>38037.642857142855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191150</v>
      </c>
      <c r="AB177" s="33"/>
      <c r="AC177" s="46">
        <f t="shared" si="121"/>
        <v>2.9912411326874819E-2</v>
      </c>
      <c r="AD177" s="33"/>
      <c r="AE177" s="33">
        <f t="shared" si="122"/>
        <v>1137.797619047619</v>
      </c>
      <c r="AF177" s="50"/>
      <c r="AG177" s="33">
        <f t="shared" si="123"/>
        <v>6308</v>
      </c>
      <c r="AH177" s="33">
        <f>SUM(D148:D294)</f>
        <v>461690386.35152841</v>
      </c>
      <c r="AI177" s="231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504">
        <f t="shared" si="126"/>
        <v>7.9119669628015758E-3</v>
      </c>
      <c r="AS177" s="25"/>
      <c r="AT177" s="25"/>
      <c r="AU177" s="24"/>
      <c r="AV177" s="341">
        <f t="shared" si="127"/>
        <v>0.55945457538616195</v>
      </c>
      <c r="AW177" s="341"/>
      <c r="AX177" s="24">
        <f t="shared" si="128"/>
        <v>21280.333333333332</v>
      </c>
      <c r="AY177" s="351"/>
      <c r="AZ177" s="10"/>
      <c r="BA177" s="66">
        <f t="shared" si="129"/>
        <v>783118</v>
      </c>
      <c r="BB177" s="67"/>
      <c r="BC177" s="67">
        <v>84881529</v>
      </c>
      <c r="BD177" s="67"/>
      <c r="BE177" s="67">
        <f t="shared" si="130"/>
        <v>45464</v>
      </c>
      <c r="BF177" s="67"/>
      <c r="BG177" s="156">
        <f t="shared" si="131"/>
        <v>5.8055107914771462E-2</v>
      </c>
      <c r="BH177" s="67"/>
      <c r="BI177" s="183"/>
      <c r="BJ177" s="67"/>
      <c r="BK177" s="67">
        <f t="shared" si="132"/>
        <v>5409043</v>
      </c>
      <c r="BL177" s="67"/>
      <c r="BM177" s="156">
        <f t="shared" si="133"/>
        <v>5.4252850273144436E-2</v>
      </c>
      <c r="BN177" s="66">
        <f t="shared" si="134"/>
        <v>505247.19642857142</v>
      </c>
      <c r="BO177" s="67"/>
      <c r="BP177" s="67">
        <f t="shared" si="135"/>
        <v>6047677</v>
      </c>
      <c r="BQ177" s="67"/>
      <c r="BR177" s="478">
        <f t="shared" si="136"/>
        <v>7.1248445583490846E-2</v>
      </c>
      <c r="BS177" s="67"/>
      <c r="BT177" s="86"/>
      <c r="BU177" s="183"/>
      <c r="BV177" s="1"/>
      <c r="BW177" s="61">
        <f t="shared" si="53"/>
        <v>168</v>
      </c>
    </row>
    <row r="178" spans="2:75" x14ac:dyDescent="0.3">
      <c r="B178" s="171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6443173</v>
      </c>
      <c r="I178" s="16"/>
      <c r="J178" s="479">
        <f t="shared" si="116"/>
        <v>8.2701596976929494E-3</v>
      </c>
      <c r="K178" s="16"/>
      <c r="L178" s="16"/>
      <c r="M178" s="16"/>
      <c r="N178" s="16">
        <f t="shared" si="117"/>
        <v>296704</v>
      </c>
      <c r="O178" s="16">
        <f t="shared" si="137"/>
        <v>38125.284023668639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192183</v>
      </c>
      <c r="AB178" s="33"/>
      <c r="AC178" s="46">
        <f t="shared" si="121"/>
        <v>2.9827384737302568E-2</v>
      </c>
      <c r="AD178" s="33"/>
      <c r="AE178" s="33">
        <f t="shared" si="122"/>
        <v>1137.1775147928995</v>
      </c>
      <c r="AF178" s="50"/>
      <c r="AG178" s="33">
        <f t="shared" si="123"/>
        <v>6236</v>
      </c>
      <c r="AH178" s="33">
        <f>SUM(D149:D295)</f>
        <v>461635238.35152841</v>
      </c>
      <c r="AI178" s="231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504">
        <f t="shared" si="126"/>
        <v>2.8383293763300343E-2</v>
      </c>
      <c r="AS178" s="25"/>
      <c r="AT178" s="25"/>
      <c r="AU178" s="24"/>
      <c r="AV178" s="341">
        <f t="shared" si="127"/>
        <v>0.5706146645449377</v>
      </c>
      <c r="AW178" s="341"/>
      <c r="AX178" s="24">
        <f t="shared" si="128"/>
        <v>21754.846153846152</v>
      </c>
      <c r="AY178" s="351"/>
      <c r="AZ178" s="10"/>
      <c r="BA178" s="66">
        <f t="shared" si="129"/>
        <v>1014188</v>
      </c>
      <c r="BB178" s="67"/>
      <c r="BC178" s="67">
        <v>85895717</v>
      </c>
      <c r="BD178" s="67"/>
      <c r="BE178" s="67">
        <f t="shared" si="130"/>
        <v>52849</v>
      </c>
      <c r="BF178" s="67"/>
      <c r="BG178" s="156">
        <f t="shared" si="131"/>
        <v>5.2109668029990494E-2</v>
      </c>
      <c r="BH178" s="67"/>
      <c r="BI178" s="183"/>
      <c r="BJ178" s="67"/>
      <c r="BK178" s="67">
        <f t="shared" si="132"/>
        <v>5596047</v>
      </c>
      <c r="BL178" s="67"/>
      <c r="BM178" s="156">
        <f t="shared" si="133"/>
        <v>5.3020283782462874E-2</v>
      </c>
      <c r="BN178" s="66">
        <f t="shared" si="134"/>
        <v>508258.68047337281</v>
      </c>
      <c r="BO178" s="67"/>
      <c r="BP178" s="67">
        <f t="shared" si="135"/>
        <v>6100526</v>
      </c>
      <c r="BQ178" s="67"/>
      <c r="BR178" s="478">
        <f t="shared" si="136"/>
        <v>7.1022470189054943E-2</v>
      </c>
      <c r="BS178" s="67"/>
      <c r="BT178" s="86"/>
      <c r="BU178" s="183"/>
      <c r="BV178" s="1"/>
      <c r="BW178" s="61">
        <f t="shared" si="53"/>
        <v>169</v>
      </c>
    </row>
    <row r="179" spans="2:75" x14ac:dyDescent="0.3">
      <c r="B179" s="171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6485265</v>
      </c>
      <c r="I179" s="16"/>
      <c r="J179" s="479">
        <f t="shared" si="116"/>
        <v>6.5328061189727487E-3</v>
      </c>
      <c r="K179" s="16"/>
      <c r="L179" s="16"/>
      <c r="M179" s="16"/>
      <c r="N179" s="16">
        <f t="shared" si="117"/>
        <v>296136</v>
      </c>
      <c r="O179" s="16">
        <f t="shared" si="137"/>
        <v>38148.617647058825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192890</v>
      </c>
      <c r="AB179" s="33"/>
      <c r="AC179" s="46">
        <f t="shared" si="121"/>
        <v>2.9742809276105141E-2</v>
      </c>
      <c r="AD179" s="33"/>
      <c r="AE179" s="33">
        <f t="shared" si="122"/>
        <v>1134.6470588235295</v>
      </c>
      <c r="AF179" s="50"/>
      <c r="AG179" s="33">
        <f t="shared" si="123"/>
        <v>5989</v>
      </c>
      <c r="AH179" s="33">
        <f>SUM(D150:D296)</f>
        <v>461576528.35152841</v>
      </c>
      <c r="AI179" s="231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504">
        <f t="shared" si="126"/>
        <v>8.2770104409845158E-3</v>
      </c>
      <c r="AS179" s="25"/>
      <c r="AT179" s="25"/>
      <c r="AU179" s="24"/>
      <c r="AV179" s="341">
        <f t="shared" si="127"/>
        <v>0.57160347341242035</v>
      </c>
      <c r="AW179" s="341"/>
      <c r="AX179" s="24">
        <f t="shared" si="128"/>
        <v>21805.882352941175</v>
      </c>
      <c r="AY179" s="351"/>
      <c r="AZ179" s="10"/>
      <c r="BA179" s="66">
        <f t="shared" si="129"/>
        <v>863485</v>
      </c>
      <c r="BB179" s="67"/>
      <c r="BC179" s="67">
        <v>86759202</v>
      </c>
      <c r="BD179" s="67"/>
      <c r="BE179" s="67">
        <f t="shared" si="130"/>
        <v>42092</v>
      </c>
      <c r="BF179" s="67"/>
      <c r="BG179" s="156">
        <f t="shared" si="131"/>
        <v>4.8746648754755435E-2</v>
      </c>
      <c r="BH179" s="67"/>
      <c r="BI179" s="183"/>
      <c r="BJ179" s="67"/>
      <c r="BK179" s="67">
        <f t="shared" si="132"/>
        <v>5656805</v>
      </c>
      <c r="BL179" s="67"/>
      <c r="BM179" s="156">
        <f t="shared" si="133"/>
        <v>5.2350399209447736E-2</v>
      </c>
      <c r="BN179" s="66">
        <f t="shared" si="134"/>
        <v>510348.24705882353</v>
      </c>
      <c r="BO179" s="67"/>
      <c r="BP179" s="67">
        <f t="shared" si="135"/>
        <v>6142618</v>
      </c>
      <c r="BQ179" s="67"/>
      <c r="BR179" s="478">
        <f t="shared" si="136"/>
        <v>7.0800766470858048E-2</v>
      </c>
      <c r="BS179" s="67"/>
      <c r="BT179" s="86"/>
      <c r="BU179" s="183"/>
      <c r="BV179" s="1"/>
      <c r="BW179" s="61">
        <f t="shared" si="53"/>
        <v>170</v>
      </c>
    </row>
    <row r="180" spans="2:75" x14ac:dyDescent="0.3">
      <c r="B180" s="390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6516375</v>
      </c>
      <c r="I180" s="16"/>
      <c r="J180" s="479">
        <f t="shared" si="116"/>
        <v>4.7970283403993511E-3</v>
      </c>
      <c r="K180" s="16"/>
      <c r="L180" s="16"/>
      <c r="M180" s="16"/>
      <c r="N180" s="16">
        <f t="shared" si="117"/>
        <v>293265</v>
      </c>
      <c r="O180" s="16">
        <f t="shared" si="137"/>
        <v>38107.456140350878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193320</v>
      </c>
      <c r="AB180" s="33"/>
      <c r="AC180" s="46">
        <f t="shared" si="121"/>
        <v>2.9666800943776255E-2</v>
      </c>
      <c r="AD180" s="33"/>
      <c r="AE180" s="33">
        <f t="shared" si="122"/>
        <v>1130.5263157894738</v>
      </c>
      <c r="AF180" s="50"/>
      <c r="AG180" s="33">
        <f t="shared" si="123"/>
        <v>6050</v>
      </c>
      <c r="AH180" s="33">
        <f>SUM(D151:D297)</f>
        <v>461513282.35152841</v>
      </c>
      <c r="AI180" s="231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504">
        <f t="shared" si="126"/>
        <v>5.1173455624494201E-3</v>
      </c>
      <c r="AS180" s="25"/>
      <c r="AT180" s="25"/>
      <c r="AU180" s="24"/>
      <c r="AV180" s="341">
        <f t="shared" si="127"/>
        <v>0.57178569373309551</v>
      </c>
      <c r="AW180" s="341"/>
      <c r="AX180" s="24">
        <f t="shared" si="128"/>
        <v>21789.298245614034</v>
      </c>
      <c r="AY180" s="351"/>
      <c r="AZ180" s="391"/>
      <c r="BA180" s="66">
        <f t="shared" si="129"/>
        <v>715717</v>
      </c>
      <c r="BB180" s="67"/>
      <c r="BC180" s="67">
        <v>87474919</v>
      </c>
      <c r="BD180" s="67"/>
      <c r="BE180" s="67">
        <f t="shared" si="130"/>
        <v>31110</v>
      </c>
      <c r="BF180" s="67"/>
      <c r="BG180" s="156">
        <f t="shared" si="131"/>
        <v>4.3466901023728653E-2</v>
      </c>
      <c r="BH180" s="67"/>
      <c r="BI180" s="183"/>
      <c r="BJ180" s="67"/>
      <c r="BK180" s="67">
        <f t="shared" si="132"/>
        <v>5644840</v>
      </c>
      <c r="BL180" s="67"/>
      <c r="BM180" s="156">
        <f t="shared" si="133"/>
        <v>5.1952756854047238E-2</v>
      </c>
      <c r="BN180" s="66">
        <f t="shared" si="134"/>
        <v>511549.23391812865</v>
      </c>
      <c r="BO180" s="67"/>
      <c r="BP180" s="67">
        <f t="shared" si="135"/>
        <v>6173728</v>
      </c>
      <c r="BQ180" s="67"/>
      <c r="BR180" s="478">
        <f t="shared" si="136"/>
        <v>7.0577121654722533E-2</v>
      </c>
      <c r="BS180" s="67"/>
      <c r="BT180" s="86"/>
      <c r="BU180" s="183"/>
      <c r="BV180" s="1"/>
      <c r="BW180" s="61">
        <f t="shared" si="53"/>
        <v>171</v>
      </c>
    </row>
    <row r="181" spans="2:75" x14ac:dyDescent="0.3">
      <c r="B181" s="171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6541795</v>
      </c>
      <c r="I181" s="16"/>
      <c r="J181" s="479">
        <f t="shared" si="116"/>
        <v>3.9009418580115479E-3</v>
      </c>
      <c r="K181" s="16"/>
      <c r="L181" s="16"/>
      <c r="M181" s="16"/>
      <c r="N181" s="16">
        <f t="shared" si="117"/>
        <v>280125</v>
      </c>
      <c r="O181" s="16">
        <f t="shared" si="137"/>
        <v>38033.691860465115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193606</v>
      </c>
      <c r="AB181" s="33"/>
      <c r="AC181" s="46">
        <f t="shared" si="121"/>
        <v>2.9595241061512935E-2</v>
      </c>
      <c r="AD181" s="33"/>
      <c r="AE181" s="33">
        <f t="shared" si="122"/>
        <v>1125.6162790697674</v>
      </c>
      <c r="AF181" s="50"/>
      <c r="AG181" s="33">
        <f t="shared" si="123"/>
        <v>5824</v>
      </c>
      <c r="AH181" s="33">
        <f>SUM(D152:D298)</f>
        <v>461459083.35152841</v>
      </c>
      <c r="AI181" s="231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504">
        <f t="shared" si="126"/>
        <v>8.7652342879840691E-3</v>
      </c>
      <c r="AS181" s="25"/>
      <c r="AT181" s="25"/>
      <c r="AU181" s="24"/>
      <c r="AV181" s="341">
        <f t="shared" si="127"/>
        <v>0.57455621889710695</v>
      </c>
      <c r="AW181" s="341"/>
      <c r="AX181" s="24">
        <f t="shared" si="128"/>
        <v>21852.494186046511</v>
      </c>
      <c r="AY181" s="351"/>
      <c r="AZ181" s="10"/>
      <c r="BA181" s="66">
        <f t="shared" si="129"/>
        <v>592931</v>
      </c>
      <c r="BB181" s="67"/>
      <c r="BC181" s="67">
        <v>88067850</v>
      </c>
      <c r="BD181" s="67"/>
      <c r="BE181" s="67">
        <f t="shared" si="130"/>
        <v>25420</v>
      </c>
      <c r="BF181" s="67"/>
      <c r="BG181" s="156">
        <f t="shared" si="131"/>
        <v>4.2871767541248475E-2</v>
      </c>
      <c r="BH181" s="67"/>
      <c r="BI181" s="183"/>
      <c r="BJ181" s="67"/>
      <c r="BK181" s="67">
        <f t="shared" si="132"/>
        <v>5443009</v>
      </c>
      <c r="BL181" s="67"/>
      <c r="BM181" s="156">
        <f t="shared" si="133"/>
        <v>5.1465099543285708E-2</v>
      </c>
      <c r="BN181" s="66">
        <f t="shared" si="134"/>
        <v>512022.38372093026</v>
      </c>
      <c r="BO181" s="67"/>
      <c r="BP181" s="67">
        <f t="shared" si="135"/>
        <v>6199148</v>
      </c>
      <c r="BQ181" s="67"/>
      <c r="BR181" s="478">
        <f t="shared" si="136"/>
        <v>7.0390590891000512E-2</v>
      </c>
      <c r="BS181" s="67"/>
      <c r="BT181" s="86"/>
      <c r="BU181" s="183"/>
      <c r="BV181" s="1"/>
      <c r="BW181" s="61">
        <f t="shared" si="53"/>
        <v>172</v>
      </c>
    </row>
    <row r="182" spans="2:75" x14ac:dyDescent="0.3">
      <c r="B182" s="171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6570234</v>
      </c>
      <c r="I182" s="16"/>
      <c r="J182" s="479">
        <f t="shared" si="116"/>
        <v>4.3472777731494187E-3</v>
      </c>
      <c r="K182" s="16"/>
      <c r="L182" s="16"/>
      <c r="M182" s="16"/>
      <c r="N182" s="16">
        <f t="shared" si="117"/>
        <v>266585</v>
      </c>
      <c r="O182" s="16">
        <f t="shared" si="137"/>
        <v>37978.23121387283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194102</v>
      </c>
      <c r="AB182" s="33"/>
      <c r="AC182" s="46">
        <f t="shared" si="121"/>
        <v>2.9542631206133603E-2</v>
      </c>
      <c r="AD182" s="33"/>
      <c r="AE182" s="33">
        <f t="shared" si="122"/>
        <v>1121.9768786127167</v>
      </c>
      <c r="AF182" s="50"/>
      <c r="AG182" s="33">
        <f t="shared" si="123"/>
        <v>5156</v>
      </c>
      <c r="AH182" s="33">
        <f>SUM(D153:D299)</f>
        <v>461411234.35152841</v>
      </c>
      <c r="AI182" s="231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504">
        <f t="shared" si="126"/>
        <v>1.0144922523611669E-2</v>
      </c>
      <c r="AS182" s="25"/>
      <c r="AT182" s="25"/>
      <c r="AU182" s="24"/>
      <c r="AV182" s="341">
        <f t="shared" si="127"/>
        <v>0.57787287332536408</v>
      </c>
      <c r="AW182" s="341"/>
      <c r="AX182" s="24">
        <f t="shared" si="128"/>
        <v>21946.589595375721</v>
      </c>
      <c r="AY182" s="351"/>
      <c r="AZ182" s="10"/>
      <c r="BA182" s="66">
        <f t="shared" si="129"/>
        <v>589124</v>
      </c>
      <c r="BB182" s="67"/>
      <c r="BC182" s="67">
        <v>88656974</v>
      </c>
      <c r="BD182" s="67"/>
      <c r="BE182" s="67">
        <f t="shared" si="130"/>
        <v>28439</v>
      </c>
      <c r="BF182" s="67"/>
      <c r="BG182" s="156">
        <f t="shared" si="131"/>
        <v>4.8273368594727084E-2</v>
      </c>
      <c r="BH182" s="67"/>
      <c r="BI182" s="183"/>
      <c r="BJ182" s="67"/>
      <c r="BK182" s="67">
        <f t="shared" si="132"/>
        <v>5306855</v>
      </c>
      <c r="BL182" s="67"/>
      <c r="BM182" s="156">
        <f t="shared" si="133"/>
        <v>5.0234084029052987E-2</v>
      </c>
      <c r="BN182" s="66">
        <f t="shared" si="134"/>
        <v>512468.0578034682</v>
      </c>
      <c r="BO182" s="67"/>
      <c r="BP182" s="67">
        <f t="shared" si="135"/>
        <v>6227587</v>
      </c>
      <c r="BQ182" s="67"/>
      <c r="BR182" s="478">
        <f t="shared" si="136"/>
        <v>7.0243622346054801E-2</v>
      </c>
      <c r="BS182" s="67"/>
      <c r="BT182" s="86"/>
      <c r="BU182" s="183"/>
      <c r="BV182" s="1"/>
      <c r="BW182" s="61">
        <f t="shared" si="53"/>
        <v>173</v>
      </c>
    </row>
    <row r="183" spans="2:75" x14ac:dyDescent="0.3">
      <c r="B183" s="171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6605477</v>
      </c>
      <c r="I183" s="16"/>
      <c r="J183" s="479">
        <f t="shared" ref="J183:J212" si="139">+D183/H182</f>
        <v>5.3640403066313926E-3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37962.511494252874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195310</v>
      </c>
      <c r="AB183" s="33"/>
      <c r="AC183" s="46">
        <f t="shared" ref="AC183:AC212" si="143">+AA183/H183</f>
        <v>2.9567887375885192E-2</v>
      </c>
      <c r="AD183" s="33"/>
      <c r="AE183" s="33">
        <f t="shared" ref="AE183:AE212" si="144">+AA183/BW183</f>
        <v>1122.471264367816</v>
      </c>
      <c r="AF183" s="50"/>
      <c r="AG183" s="33">
        <f t="shared" ref="AG183:AG195" si="145">SUM(W177:W183)</f>
        <v>5274</v>
      </c>
      <c r="AH183" s="33">
        <f>SUM(D154:D300)</f>
        <v>461361434.35152841</v>
      </c>
      <c r="AI183" s="231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504">
        <f t="shared" ref="AR183:AR212" si="148">+AL183/AP182</f>
        <v>1.2993973809247885E-2</v>
      </c>
      <c r="AS183" s="25"/>
      <c r="AT183" s="25"/>
      <c r="AU183" s="24"/>
      <c r="AV183" s="341">
        <f t="shared" ref="AV183:AV212" si="149">+AP183/H183</f>
        <v>0.58225848034895888</v>
      </c>
      <c r="AW183" s="341"/>
      <c r="AX183" s="24">
        <f t="shared" ref="AX183:AX212" si="150">+AP183/BW183</f>
        <v>22103.994252873563</v>
      </c>
      <c r="AY183" s="351"/>
      <c r="AZ183" s="10"/>
      <c r="BA183" s="66">
        <f t="shared" ref="BA183:BA212" si="151">+BC183-BC182</f>
        <v>626098</v>
      </c>
      <c r="BB183" s="67"/>
      <c r="BC183" s="67">
        <v>89283072</v>
      </c>
      <c r="BD183" s="67"/>
      <c r="BE183" s="67">
        <f t="shared" ref="BE183:BE212" si="152">+D183</f>
        <v>35243</v>
      </c>
      <c r="BF183" s="67"/>
      <c r="BG183" s="156">
        <f t="shared" ref="BG183:BG212" si="153">+BE183/BA183</f>
        <v>5.6289909886311724E-2</v>
      </c>
      <c r="BH183" s="67"/>
      <c r="BI183" s="183"/>
      <c r="BJ183" s="67"/>
      <c r="BK183" s="67">
        <f t="shared" ref="BK183:BK212" si="154">SUM(BA177:BA183)</f>
        <v>5184661</v>
      </c>
      <c r="BL183" s="67"/>
      <c r="BM183" s="156">
        <f t="shared" ref="BM183:BM212" si="155">+Q183/BK183</f>
        <v>5.026693162773805E-2</v>
      </c>
      <c r="BN183" s="66">
        <f t="shared" ref="BN183:BN212" si="156">+BC183/BW183</f>
        <v>513121.10344827588</v>
      </c>
      <c r="BO183" s="67"/>
      <c r="BP183" s="67">
        <f t="shared" ref="BP183:BP212" si="157">+BP182+BE183</f>
        <v>6262830</v>
      </c>
      <c r="BQ183" s="67"/>
      <c r="BR183" s="478">
        <f t="shared" ref="BR183:BR212" si="158">+BP183/BC183</f>
        <v>7.0145771865914294E-2</v>
      </c>
      <c r="BS183" s="67"/>
      <c r="BT183" s="86"/>
      <c r="BU183" s="183"/>
      <c r="BV183" s="1"/>
      <c r="BW183" s="61">
        <f t="shared" si="53"/>
        <v>174</v>
      </c>
    </row>
    <row r="184" spans="2:75" x14ac:dyDescent="0.3">
      <c r="B184" s="171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6644288</v>
      </c>
      <c r="I184" s="16"/>
      <c r="J184" s="479">
        <f t="shared" si="139"/>
        <v>5.8755787053682874E-3</v>
      </c>
      <c r="K184" s="16"/>
      <c r="L184" s="16"/>
      <c r="M184" s="16"/>
      <c r="N184" s="16">
        <f t="shared" si="140"/>
        <v>253964</v>
      </c>
      <c r="O184" s="16">
        <f t="shared" si="141"/>
        <v>37967.360000000001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196399</v>
      </c>
      <c r="AB184" s="33"/>
      <c r="AC184" s="46">
        <f t="shared" si="143"/>
        <v>2.9559073899265053E-2</v>
      </c>
      <c r="AD184" s="33"/>
      <c r="AE184" s="33">
        <f t="shared" si="144"/>
        <v>1122.28</v>
      </c>
      <c r="AF184" s="50"/>
      <c r="AG184" s="33">
        <f t="shared" si="145"/>
        <v>5249</v>
      </c>
      <c r="AH184" s="33">
        <f>SUM(D155:D301)</f>
        <v>461306915.35152841</v>
      </c>
      <c r="AI184" s="231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504">
        <f t="shared" si="148"/>
        <v>8.8050347170311703E-3</v>
      </c>
      <c r="AS184" s="25"/>
      <c r="AT184" s="25"/>
      <c r="AU184" s="24"/>
      <c r="AV184" s="341">
        <f t="shared" si="149"/>
        <v>0.58395421751736232</v>
      </c>
      <c r="AW184" s="341"/>
      <c r="AX184" s="24">
        <f t="shared" si="150"/>
        <v>22171.200000000001</v>
      </c>
      <c r="AY184" s="351"/>
      <c r="AZ184" s="10"/>
      <c r="BA184" s="66">
        <f t="shared" si="151"/>
        <v>701717</v>
      </c>
      <c r="BB184" s="67"/>
      <c r="BC184" s="67">
        <v>89984789</v>
      </c>
      <c r="BD184" s="67"/>
      <c r="BE184" s="67">
        <f t="shared" si="152"/>
        <v>38811</v>
      </c>
      <c r="BF184" s="67"/>
      <c r="BG184" s="156">
        <f t="shared" si="153"/>
        <v>5.5308621566813973E-2</v>
      </c>
      <c r="BH184" s="67"/>
      <c r="BI184" s="183"/>
      <c r="BJ184" s="67"/>
      <c r="BK184" s="67">
        <f t="shared" si="154"/>
        <v>5103260</v>
      </c>
      <c r="BL184" s="67"/>
      <c r="BM184" s="156">
        <f t="shared" si="155"/>
        <v>4.9765052143139872E-2</v>
      </c>
      <c r="BN184" s="66">
        <f t="shared" si="156"/>
        <v>514198.79428571428</v>
      </c>
      <c r="BO184" s="67"/>
      <c r="BP184" s="67">
        <f t="shared" si="157"/>
        <v>6301641</v>
      </c>
      <c r="BQ184" s="67"/>
      <c r="BR184" s="478">
        <f t="shared" si="158"/>
        <v>7.0030069193138852E-2</v>
      </c>
      <c r="BS184" s="67"/>
      <c r="BT184" s="86"/>
      <c r="BU184" s="183"/>
      <c r="BV184" s="1"/>
      <c r="BW184" s="61">
        <f t="shared" si="53"/>
        <v>175</v>
      </c>
    </row>
    <row r="185" spans="2:75" x14ac:dyDescent="0.3">
      <c r="B185" s="171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6690888</v>
      </c>
      <c r="I185" s="16"/>
      <c r="J185" s="479">
        <f t="shared" si="139"/>
        <v>7.0135430613483341E-3</v>
      </c>
      <c r="K185" s="16"/>
      <c r="L185" s="16"/>
      <c r="M185" s="16"/>
      <c r="N185" s="16">
        <f t="shared" si="140"/>
        <v>247715</v>
      </c>
      <c r="O185" s="16">
        <f t="shared" si="141"/>
        <v>38016.409090909088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197493</v>
      </c>
      <c r="AB185" s="33"/>
      <c r="AC185" s="46">
        <f t="shared" si="143"/>
        <v>2.9516709889629001E-2</v>
      </c>
      <c r="AD185" s="33"/>
      <c r="AE185" s="33">
        <f t="shared" si="144"/>
        <v>1122.1193181818182</v>
      </c>
      <c r="AF185" s="50"/>
      <c r="AG185" s="33">
        <f t="shared" si="145"/>
        <v>5310</v>
      </c>
      <c r="AH185" s="33">
        <f>SUM(D156:D302)</f>
        <v>461252570.35152841</v>
      </c>
      <c r="AI185" s="231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504">
        <f t="shared" si="148"/>
        <v>9.7944308704213442E-3</v>
      </c>
      <c r="AS185" s="25"/>
      <c r="AT185" s="25"/>
      <c r="AU185" s="24"/>
      <c r="AV185" s="341">
        <f t="shared" si="149"/>
        <v>0.58556681863453697</v>
      </c>
      <c r="AW185" s="341"/>
      <c r="AX185" s="24">
        <f t="shared" si="150"/>
        <v>22261.147727272728</v>
      </c>
      <c r="AY185" s="351"/>
      <c r="AZ185" s="10"/>
      <c r="BA185" s="66">
        <f t="shared" si="151"/>
        <v>860917</v>
      </c>
      <c r="BB185" s="67"/>
      <c r="BC185" s="67">
        <v>90845706</v>
      </c>
      <c r="BD185" s="67"/>
      <c r="BE185" s="67">
        <f t="shared" si="152"/>
        <v>46600</v>
      </c>
      <c r="BF185" s="67"/>
      <c r="BG185" s="156">
        <f t="shared" si="153"/>
        <v>5.412833060562168E-2</v>
      </c>
      <c r="BH185" s="67"/>
      <c r="BI185" s="183"/>
      <c r="BJ185" s="67"/>
      <c r="BK185" s="67">
        <f t="shared" si="154"/>
        <v>4949989</v>
      </c>
      <c r="BL185" s="67"/>
      <c r="BM185" s="156">
        <f t="shared" si="155"/>
        <v>5.0043545551313344E-2</v>
      </c>
      <c r="BN185" s="66">
        <f t="shared" si="156"/>
        <v>516168.78409090912</v>
      </c>
      <c r="BO185" s="67"/>
      <c r="BP185" s="67">
        <f t="shared" si="157"/>
        <v>6348241</v>
      </c>
      <c r="BQ185" s="67"/>
      <c r="BR185" s="478">
        <f t="shared" si="158"/>
        <v>6.9879373274945977E-2</v>
      </c>
      <c r="BS185" s="67"/>
      <c r="BT185" s="86"/>
      <c r="BU185" s="183"/>
      <c r="BV185" s="1"/>
      <c r="BW185" s="61">
        <f t="shared" si="53"/>
        <v>176</v>
      </c>
    </row>
    <row r="186" spans="2:75" x14ac:dyDescent="0.3">
      <c r="B186" s="171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6730170</v>
      </c>
      <c r="I186" s="16"/>
      <c r="J186" s="479">
        <f t="shared" si="139"/>
        <v>5.8709695932737177E-3</v>
      </c>
      <c r="K186" s="16"/>
      <c r="L186" s="16"/>
      <c r="M186" s="16"/>
      <c r="N186" s="16">
        <f t="shared" si="140"/>
        <v>244905</v>
      </c>
      <c r="O186" s="16">
        <f t="shared" si="141"/>
        <v>38023.5593220339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198200</v>
      </c>
      <c r="AB186" s="33"/>
      <c r="AC186" s="46">
        <f t="shared" si="143"/>
        <v>2.9449478987900752E-2</v>
      </c>
      <c r="AD186" s="33"/>
      <c r="AE186" s="33">
        <f t="shared" si="144"/>
        <v>1119.774011299435</v>
      </c>
      <c r="AF186" s="50"/>
      <c r="AG186" s="33">
        <f t="shared" si="145"/>
        <v>5310</v>
      </c>
      <c r="AH186" s="33">
        <f>SUM(D157:D303)</f>
        <v>461197206.35152841</v>
      </c>
      <c r="AI186" s="231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504">
        <f t="shared" si="148"/>
        <v>8.2675635955632033E-3</v>
      </c>
      <c r="AS186" s="25"/>
      <c r="AT186" s="25"/>
      <c r="AU186" s="24"/>
      <c r="AV186" s="341">
        <f t="shared" si="149"/>
        <v>0.58696199353062406</v>
      </c>
      <c r="AW186" s="341"/>
      <c r="AX186" s="24">
        <f t="shared" si="150"/>
        <v>22318.384180790959</v>
      </c>
      <c r="AY186" s="351"/>
      <c r="AZ186" s="10"/>
      <c r="BA186" s="66">
        <f t="shared" si="151"/>
        <v>857797</v>
      </c>
      <c r="BB186" s="67"/>
      <c r="BC186" s="67">
        <v>91703503</v>
      </c>
      <c r="BD186" s="67"/>
      <c r="BE186" s="67">
        <f t="shared" si="152"/>
        <v>39282</v>
      </c>
      <c r="BF186" s="67"/>
      <c r="BG186" s="156">
        <f t="shared" si="153"/>
        <v>4.5794051506358728E-2</v>
      </c>
      <c r="BH186" s="67"/>
      <c r="BI186" s="183"/>
      <c r="BJ186" s="67"/>
      <c r="BK186" s="67">
        <f t="shared" si="154"/>
        <v>4944301</v>
      </c>
      <c r="BL186" s="67"/>
      <c r="BM186" s="156">
        <f t="shared" si="155"/>
        <v>4.9532785321929229E-2</v>
      </c>
      <c r="BN186" s="66">
        <f t="shared" si="156"/>
        <v>518098.88700564974</v>
      </c>
      <c r="BO186" s="67"/>
      <c r="BP186" s="67">
        <f t="shared" si="157"/>
        <v>6387523</v>
      </c>
      <c r="BQ186" s="67"/>
      <c r="BR186" s="478">
        <f t="shared" si="158"/>
        <v>6.9654078536127456E-2</v>
      </c>
      <c r="BS186" s="67"/>
      <c r="BT186" s="86"/>
      <c r="BU186" s="183"/>
      <c r="BV186" s="1"/>
      <c r="BW186" s="61">
        <f t="shared" si="53"/>
        <v>177</v>
      </c>
    </row>
    <row r="187" spans="2:75" x14ac:dyDescent="0.3">
      <c r="B187" s="390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6762027</v>
      </c>
      <c r="I187" s="16"/>
      <c r="J187" s="479">
        <f t="shared" si="139"/>
        <v>4.7334614133075388E-3</v>
      </c>
      <c r="K187" s="16"/>
      <c r="L187" s="16"/>
      <c r="M187" s="16"/>
      <c r="N187" s="16">
        <f t="shared" si="140"/>
        <v>245652</v>
      </c>
      <c r="O187" s="16">
        <f t="shared" si="141"/>
        <v>37988.915730337081</v>
      </c>
      <c r="P187" s="41"/>
      <c r="Q187" s="453"/>
      <c r="R187" s="16"/>
      <c r="S187" s="60"/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198592</v>
      </c>
      <c r="AB187" s="33"/>
      <c r="AC187" s="46">
        <f t="shared" si="143"/>
        <v>2.9368708524825472E-2</v>
      </c>
      <c r="AD187" s="33"/>
      <c r="AE187" s="33">
        <f t="shared" si="144"/>
        <v>1115.685393258427</v>
      </c>
      <c r="AF187" s="50"/>
      <c r="AG187" s="33">
        <f t="shared" si="145"/>
        <v>5272</v>
      </c>
      <c r="AH187" s="33">
        <f>SUM(D158:D304)</f>
        <v>461136606.35152841</v>
      </c>
      <c r="AI187" s="231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504">
        <f t="shared" si="148"/>
        <v>6.2260243006069839E-3</v>
      </c>
      <c r="AS187" s="25"/>
      <c r="AT187" s="25"/>
      <c r="AU187" s="24"/>
      <c r="AV187" s="341">
        <f t="shared" si="149"/>
        <v>0.58783394387511323</v>
      </c>
      <c r="AW187" s="341"/>
      <c r="AX187" s="24">
        <f t="shared" si="150"/>
        <v>22331.174157303372</v>
      </c>
      <c r="AY187" s="351"/>
      <c r="AZ187" s="391"/>
      <c r="BA187" s="66">
        <f t="shared" si="151"/>
        <v>699997</v>
      </c>
      <c r="BB187" s="67"/>
      <c r="BC187" s="67">
        <v>92403500</v>
      </c>
      <c r="BD187" s="67"/>
      <c r="BE187" s="67">
        <f t="shared" si="152"/>
        <v>31857</v>
      </c>
      <c r="BF187" s="67"/>
      <c r="BG187" s="156">
        <f t="shared" si="153"/>
        <v>4.5510195043693046E-2</v>
      </c>
      <c r="BH187" s="67"/>
      <c r="BI187" s="183"/>
      <c r="BJ187" s="67"/>
      <c r="BK187" s="67">
        <f t="shared" si="154"/>
        <v>4928581</v>
      </c>
      <c r="BL187" s="67"/>
      <c r="BM187" s="156">
        <f t="shared" si="155"/>
        <v>0</v>
      </c>
      <c r="BN187" s="66">
        <f t="shared" si="156"/>
        <v>519120.78651685396</v>
      </c>
      <c r="BO187" s="67"/>
      <c r="BP187" s="67">
        <f t="shared" si="157"/>
        <v>6419380</v>
      </c>
      <c r="BQ187" s="67"/>
      <c r="BR187" s="478">
        <f t="shared" si="158"/>
        <v>6.9471178039792872E-2</v>
      </c>
      <c r="BS187" s="67"/>
      <c r="BT187" s="86"/>
      <c r="BU187" s="183"/>
      <c r="BV187" s="1"/>
      <c r="BW187" s="61">
        <f t="shared" si="53"/>
        <v>178</v>
      </c>
    </row>
    <row r="188" spans="2:75" x14ac:dyDescent="0.3">
      <c r="B188" s="171">
        <f t="shared" ref="B188:B244" si="159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6800099</v>
      </c>
      <c r="I188" s="16"/>
      <c r="J188" s="479">
        <f t="shared" si="139"/>
        <v>5.6302644162763617E-3</v>
      </c>
      <c r="K188" s="16"/>
      <c r="L188" s="16"/>
      <c r="M188" s="16"/>
      <c r="N188" s="16">
        <f t="shared" si="140"/>
        <v>258304</v>
      </c>
      <c r="O188" s="16">
        <f t="shared" si="141"/>
        <v>37989.379888268159</v>
      </c>
      <c r="P188" s="41"/>
      <c r="Q188" s="453"/>
      <c r="R188" s="16"/>
      <c r="S188" s="60"/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199072</v>
      </c>
      <c r="AB188" s="33"/>
      <c r="AC188" s="46">
        <f t="shared" si="143"/>
        <v>2.9274867910011309E-2</v>
      </c>
      <c r="AD188" s="33"/>
      <c r="AE188" s="33">
        <f t="shared" si="144"/>
        <v>1112.1340782122904</v>
      </c>
      <c r="AF188" s="50"/>
      <c r="AG188" s="33">
        <f t="shared" si="145"/>
        <v>5466</v>
      </c>
      <c r="AH188" s="33">
        <f>SUM(D159:D305)</f>
        <v>461083083.35152841</v>
      </c>
      <c r="AI188" s="231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504">
        <f t="shared" si="148"/>
        <v>1.3302560611469481E-2</v>
      </c>
      <c r="AS188" s="25"/>
      <c r="AT188" s="25"/>
      <c r="AU188" s="24"/>
      <c r="AV188" s="341">
        <f t="shared" si="149"/>
        <v>0.59231872947732089</v>
      </c>
      <c r="AW188" s="341"/>
      <c r="AX188" s="24">
        <f t="shared" si="150"/>
        <v>22501.821229050278</v>
      </c>
      <c r="AY188" s="351"/>
      <c r="AZ188" s="10"/>
      <c r="BA188" s="66">
        <f t="shared" si="151"/>
        <v>486822</v>
      </c>
      <c r="BB188" s="67"/>
      <c r="BC188" s="67">
        <v>92890322</v>
      </c>
      <c r="BD188" s="67"/>
      <c r="BE188" s="67">
        <f t="shared" si="152"/>
        <v>38072</v>
      </c>
      <c r="BF188" s="67"/>
      <c r="BG188" s="156">
        <f t="shared" si="153"/>
        <v>7.8205175608333233E-2</v>
      </c>
      <c r="BH188" s="67"/>
      <c r="BI188" s="183"/>
      <c r="BJ188" s="67"/>
      <c r="BK188" s="67">
        <f t="shared" si="154"/>
        <v>4822472</v>
      </c>
      <c r="BL188" s="67"/>
      <c r="BM188" s="156">
        <f t="shared" si="155"/>
        <v>0</v>
      </c>
      <c r="BN188" s="66">
        <f t="shared" si="156"/>
        <v>518940.34636871511</v>
      </c>
      <c r="BO188" s="67"/>
      <c r="BP188" s="67">
        <f t="shared" si="157"/>
        <v>6457452</v>
      </c>
      <c r="BQ188" s="67"/>
      <c r="BR188" s="478">
        <f t="shared" si="158"/>
        <v>6.9516951399953161E-2</v>
      </c>
      <c r="BS188" s="67"/>
      <c r="BT188" s="86"/>
      <c r="BU188" s="183"/>
      <c r="BV188" s="1"/>
      <c r="BW188" s="61">
        <f t="shared" si="53"/>
        <v>179</v>
      </c>
    </row>
    <row r="189" spans="2:75" x14ac:dyDescent="0.3">
      <c r="B189" s="171">
        <f t="shared" si="159"/>
        <v>44089</v>
      </c>
      <c r="C189" s="61"/>
      <c r="D189" s="17">
        <v>36447</v>
      </c>
      <c r="E189" s="16"/>
      <c r="F189" s="16"/>
      <c r="G189" s="16"/>
      <c r="H189" s="16">
        <f t="shared" si="138"/>
        <v>6836546</v>
      </c>
      <c r="I189" s="16"/>
      <c r="J189" s="479">
        <f t="shared" si="139"/>
        <v>5.3597749091594104E-3</v>
      </c>
      <c r="K189" s="16"/>
      <c r="L189" s="16"/>
      <c r="M189" s="16"/>
      <c r="N189" s="16">
        <f t="shared" si="140"/>
        <v>266312</v>
      </c>
      <c r="O189" s="16">
        <f t="shared" si="141"/>
        <v>37980.811111111114</v>
      </c>
      <c r="P189" s="41"/>
      <c r="Q189" s="453"/>
      <c r="R189" s="16"/>
      <c r="S189" s="60"/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200269</v>
      </c>
      <c r="AB189" s="33"/>
      <c r="AC189" s="46">
        <f t="shared" si="143"/>
        <v>2.9293886123197298E-2</v>
      </c>
      <c r="AD189" s="33"/>
      <c r="AE189" s="33">
        <f t="shared" si="144"/>
        <v>1112.6055555555556</v>
      </c>
      <c r="AF189" s="50"/>
      <c r="AG189" s="33">
        <f t="shared" si="145"/>
        <v>6167</v>
      </c>
      <c r="AH189" s="33">
        <f>SUM(D160:D306)</f>
        <v>461046240.35152841</v>
      </c>
      <c r="AI189" s="231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504">
        <f t="shared" si="148"/>
        <v>9.9954665370351158E-3</v>
      </c>
      <c r="AS189" s="25"/>
      <c r="AT189" s="25"/>
      <c r="AU189" s="24"/>
      <c r="AV189" s="341">
        <f t="shared" si="149"/>
        <v>0.59504989800405061</v>
      </c>
      <c r="AW189" s="341"/>
      <c r="AX189" s="24">
        <f t="shared" si="150"/>
        <v>22600.477777777778</v>
      </c>
      <c r="AY189" s="351"/>
      <c r="AZ189" s="10"/>
      <c r="BA189" s="66">
        <f t="shared" si="151"/>
        <v>741636</v>
      </c>
      <c r="BB189" s="67"/>
      <c r="BC189" s="67">
        <v>93631958</v>
      </c>
      <c r="BD189" s="67"/>
      <c r="BE189" s="67">
        <f t="shared" si="152"/>
        <v>36447</v>
      </c>
      <c r="BF189" s="67"/>
      <c r="BG189" s="156">
        <f t="shared" si="153"/>
        <v>4.9144054495736451E-2</v>
      </c>
      <c r="BH189" s="67"/>
      <c r="BI189" s="183"/>
      <c r="BJ189" s="67"/>
      <c r="BK189" s="67">
        <f t="shared" si="154"/>
        <v>4974984</v>
      </c>
      <c r="BL189" s="67"/>
      <c r="BM189" s="156">
        <f t="shared" si="155"/>
        <v>0</v>
      </c>
      <c r="BN189" s="66">
        <f t="shared" si="156"/>
        <v>520177.54444444447</v>
      </c>
      <c r="BO189" s="67"/>
      <c r="BP189" s="67">
        <f t="shared" si="157"/>
        <v>6493899</v>
      </c>
      <c r="BQ189" s="67"/>
      <c r="BR189" s="478">
        <f t="shared" si="158"/>
        <v>6.9355582631306284E-2</v>
      </c>
      <c r="BS189" s="67"/>
      <c r="BT189" s="86"/>
      <c r="BU189" s="183"/>
      <c r="BV189" s="1"/>
      <c r="BW189" s="61">
        <f t="shared" si="53"/>
        <v>180</v>
      </c>
    </row>
    <row r="190" spans="2:75" x14ac:dyDescent="0.3">
      <c r="B190" s="171">
        <f t="shared" si="159"/>
        <v>44090</v>
      </c>
      <c r="C190" s="61"/>
      <c r="D190" s="17">
        <v>40154</v>
      </c>
      <c r="E190" s="16"/>
      <c r="F190" s="16"/>
      <c r="G190" s="16"/>
      <c r="H190" s="16">
        <f t="shared" si="138"/>
        <v>6876700</v>
      </c>
      <c r="I190" s="16"/>
      <c r="J190" s="479">
        <f t="shared" si="139"/>
        <v>5.8734337485625053E-3</v>
      </c>
      <c r="K190" s="16"/>
      <c r="L190" s="16"/>
      <c r="M190" s="16"/>
      <c r="N190" s="16">
        <f t="shared" si="140"/>
        <v>271223</v>
      </c>
      <c r="O190" s="16">
        <f t="shared" si="141"/>
        <v>37992.817679558008</v>
      </c>
      <c r="P190" s="41"/>
      <c r="Q190" s="453"/>
      <c r="R190" s="16"/>
      <c r="S190" s="60"/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201420</v>
      </c>
      <c r="AB190" s="33"/>
      <c r="AC190" s="46">
        <f t="shared" si="143"/>
        <v>2.9290211874881848E-2</v>
      </c>
      <c r="AD190" s="33"/>
      <c r="AE190" s="33">
        <f t="shared" si="144"/>
        <v>1112.8176795580112</v>
      </c>
      <c r="AF190" s="50"/>
      <c r="AG190" s="33">
        <f t="shared" si="145"/>
        <v>6110</v>
      </c>
      <c r="AH190" s="33">
        <f>SUM(D161:D307)</f>
        <v>461005628.35152841</v>
      </c>
      <c r="AI190" s="231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504">
        <f t="shared" si="148"/>
        <v>1.2554306865685731E-2</v>
      </c>
      <c r="AS190" s="25"/>
      <c r="AT190" s="25"/>
      <c r="AU190" s="24"/>
      <c r="AV190" s="341">
        <f t="shared" si="149"/>
        <v>0.59900213765323485</v>
      </c>
      <c r="AW190" s="341"/>
      <c r="AX190" s="24">
        <f t="shared" si="150"/>
        <v>22757.779005524862</v>
      </c>
      <c r="AY190" s="351"/>
      <c r="AZ190" s="10"/>
      <c r="BA190" s="66">
        <f t="shared" si="151"/>
        <v>737109</v>
      </c>
      <c r="BB190" s="67"/>
      <c r="BC190" s="67">
        <v>94369067</v>
      </c>
      <c r="BD190" s="67"/>
      <c r="BE190" s="67">
        <f t="shared" si="152"/>
        <v>40154</v>
      </c>
      <c r="BF190" s="67"/>
      <c r="BG190" s="156">
        <f t="shared" si="153"/>
        <v>5.4474982668777615E-2</v>
      </c>
      <c r="BH190" s="67"/>
      <c r="BI190" s="183"/>
      <c r="BJ190" s="67"/>
      <c r="BK190" s="67">
        <f t="shared" si="154"/>
        <v>5085995</v>
      </c>
      <c r="BL190" s="67"/>
      <c r="BM190" s="156">
        <f t="shared" si="155"/>
        <v>0</v>
      </c>
      <c r="BN190" s="66">
        <f t="shared" si="156"/>
        <v>521376.06077348068</v>
      </c>
      <c r="BO190" s="67"/>
      <c r="BP190" s="67">
        <f t="shared" si="157"/>
        <v>6534053</v>
      </c>
      <c r="BQ190" s="67"/>
      <c r="BR190" s="478">
        <f t="shared" si="158"/>
        <v>6.9239351492157916E-2</v>
      </c>
      <c r="BS190" s="67"/>
      <c r="BT190" s="86"/>
      <c r="BU190" s="183"/>
      <c r="BV190" s="1"/>
      <c r="BW190" s="61">
        <f t="shared" ref="BW190:BW215" si="160">+BW189+1</f>
        <v>181</v>
      </c>
    </row>
    <row r="191" spans="2:75" x14ac:dyDescent="0.3">
      <c r="B191" s="171">
        <f t="shared" si="159"/>
        <v>44091</v>
      </c>
      <c r="C191" s="61"/>
      <c r="D191" s="17">
        <v>46295</v>
      </c>
      <c r="E191" s="16"/>
      <c r="F191" s="16"/>
      <c r="G191" s="16"/>
      <c r="H191" s="16">
        <f t="shared" si="138"/>
        <v>6922995</v>
      </c>
      <c r="I191" s="16"/>
      <c r="J191" s="479">
        <f t="shared" si="139"/>
        <v>6.7321535038608639E-3</v>
      </c>
      <c r="K191" s="16"/>
      <c r="L191" s="16"/>
      <c r="M191" s="16"/>
      <c r="N191" s="16">
        <f t="shared" si="140"/>
        <v>278707</v>
      </c>
      <c r="O191" s="16">
        <f t="shared" si="141"/>
        <v>38038.434065934067</v>
      </c>
      <c r="P191" s="41"/>
      <c r="Q191" s="453"/>
      <c r="R191" s="16"/>
      <c r="S191" s="60"/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202299</v>
      </c>
      <c r="AB191" s="33"/>
      <c r="AC191" s="46">
        <f t="shared" si="143"/>
        <v>2.9221312452197352E-2</v>
      </c>
      <c r="AD191" s="33"/>
      <c r="AE191" s="33">
        <f t="shared" si="144"/>
        <v>1111.532967032967</v>
      </c>
      <c r="AF191" s="50"/>
      <c r="AG191" s="33">
        <f t="shared" si="145"/>
        <v>5900</v>
      </c>
      <c r="AH191" s="33">
        <f>SUM(D162:D308)</f>
        <v>460961629.35152841</v>
      </c>
      <c r="AI191" s="231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504">
        <f t="shared" si="148"/>
        <v>8.7107607914044573E-3</v>
      </c>
      <c r="AS191" s="25"/>
      <c r="AT191" s="25"/>
      <c r="AU191" s="24"/>
      <c r="AV191" s="341">
        <f t="shared" si="149"/>
        <v>0.60017940212292509</v>
      </c>
      <c r="AW191" s="341"/>
      <c r="AX191" s="24">
        <f t="shared" si="150"/>
        <v>22829.884615384617</v>
      </c>
      <c r="AY191" s="351"/>
      <c r="AZ191" s="10"/>
      <c r="BA191" s="66">
        <f t="shared" si="151"/>
        <v>865955</v>
      </c>
      <c r="BB191" s="67"/>
      <c r="BC191" s="67">
        <v>95235022</v>
      </c>
      <c r="BD191" s="67"/>
      <c r="BE191" s="67">
        <f t="shared" si="152"/>
        <v>46295</v>
      </c>
      <c r="BF191" s="67"/>
      <c r="BG191" s="156">
        <f t="shared" si="153"/>
        <v>5.3461207568522615E-2</v>
      </c>
      <c r="BH191" s="67"/>
      <c r="BI191" s="183"/>
      <c r="BJ191" s="67"/>
      <c r="BK191" s="67">
        <f t="shared" si="154"/>
        <v>5250233</v>
      </c>
      <c r="BL191" s="67"/>
      <c r="BM191" s="156">
        <f t="shared" si="155"/>
        <v>0</v>
      </c>
      <c r="BN191" s="66">
        <f t="shared" si="156"/>
        <v>523269.35164835164</v>
      </c>
      <c r="BO191" s="67"/>
      <c r="BP191" s="67">
        <f t="shared" si="157"/>
        <v>6580348</v>
      </c>
      <c r="BQ191" s="67"/>
      <c r="BR191" s="478">
        <f t="shared" si="158"/>
        <v>6.9095883655069662E-2</v>
      </c>
      <c r="BS191" s="67"/>
      <c r="BT191" s="86"/>
      <c r="BU191" s="183"/>
      <c r="BV191" s="1"/>
      <c r="BW191" s="61">
        <f t="shared" si="160"/>
        <v>182</v>
      </c>
    </row>
    <row r="192" spans="2:75" x14ac:dyDescent="0.3">
      <c r="B192" s="171">
        <f t="shared" si="159"/>
        <v>44092</v>
      </c>
      <c r="C192" s="61"/>
      <c r="D192" s="17">
        <v>51345</v>
      </c>
      <c r="E192" s="16"/>
      <c r="F192" s="16"/>
      <c r="G192" s="16"/>
      <c r="H192" s="16">
        <f t="shared" si="138"/>
        <v>6974340</v>
      </c>
      <c r="I192" s="16"/>
      <c r="J192" s="479">
        <f t="shared" si="139"/>
        <v>7.4165877629551952E-3</v>
      </c>
      <c r="K192" s="16"/>
      <c r="L192" s="16"/>
      <c r="M192" s="16"/>
      <c r="N192" s="16">
        <f t="shared" si="140"/>
        <v>283452</v>
      </c>
      <c r="O192" s="16">
        <f t="shared" si="141"/>
        <v>38111.147540983606</v>
      </c>
      <c r="P192" s="41"/>
      <c r="Q192" s="453"/>
      <c r="R192" s="16"/>
      <c r="S192" s="60"/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203257</v>
      </c>
      <c r="AB192" s="33"/>
      <c r="AC192" s="46">
        <f t="shared" si="143"/>
        <v>2.914354619935363E-2</v>
      </c>
      <c r="AD192" s="33"/>
      <c r="AE192" s="33">
        <f t="shared" si="144"/>
        <v>1110.6939890710382</v>
      </c>
      <c r="AF192" s="50"/>
      <c r="AG192" s="33">
        <f t="shared" si="145"/>
        <v>5764</v>
      </c>
      <c r="AH192" s="33">
        <f>SUM(D163:D309)</f>
        <v>460916656.35152841</v>
      </c>
      <c r="AI192" s="231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504">
        <f t="shared" si="148"/>
        <v>8.8699528452079509E-3</v>
      </c>
      <c r="AS192" s="25"/>
      <c r="AT192" s="25"/>
      <c r="AU192" s="24"/>
      <c r="AV192" s="341">
        <f t="shared" si="149"/>
        <v>0.60104526019666382</v>
      </c>
      <c r="AW192" s="341"/>
      <c r="AX192" s="24">
        <f t="shared" si="150"/>
        <v>22906.524590163935</v>
      </c>
      <c r="AY192" s="351"/>
      <c r="AZ192" s="10"/>
      <c r="BA192" s="66">
        <f t="shared" si="151"/>
        <v>988439</v>
      </c>
      <c r="BB192" s="67"/>
      <c r="BC192" s="67">
        <v>96223461</v>
      </c>
      <c r="BD192" s="67"/>
      <c r="BE192" s="67">
        <f t="shared" si="152"/>
        <v>51345</v>
      </c>
      <c r="BF192" s="67"/>
      <c r="BG192" s="156">
        <f t="shared" si="153"/>
        <v>5.1945542415869871E-2</v>
      </c>
      <c r="BH192" s="67"/>
      <c r="BI192" s="183"/>
      <c r="BJ192" s="67"/>
      <c r="BK192" s="67">
        <f t="shared" si="154"/>
        <v>5377755</v>
      </c>
      <c r="BL192" s="67"/>
      <c r="BM192" s="156">
        <f t="shared" si="155"/>
        <v>0</v>
      </c>
      <c r="BN192" s="66">
        <f t="shared" si="156"/>
        <v>525811.26229508198</v>
      </c>
      <c r="BO192" s="67"/>
      <c r="BP192" s="67">
        <f t="shared" si="157"/>
        <v>6631693</v>
      </c>
      <c r="BQ192" s="67"/>
      <c r="BR192" s="478">
        <f t="shared" si="158"/>
        <v>6.8919709716115912E-2</v>
      </c>
      <c r="BS192" s="67"/>
      <c r="BT192" s="86"/>
      <c r="BU192" s="183"/>
      <c r="BV192" s="1"/>
      <c r="BW192" s="61">
        <f t="shared" si="160"/>
        <v>183</v>
      </c>
    </row>
    <row r="193" spans="2:75" x14ac:dyDescent="0.3">
      <c r="B193" s="171">
        <f t="shared" si="159"/>
        <v>44093</v>
      </c>
      <c r="C193" s="61"/>
      <c r="D193" s="17">
        <v>43613</v>
      </c>
      <c r="E193" s="16"/>
      <c r="F193" s="16"/>
      <c r="G193" s="16"/>
      <c r="H193" s="16">
        <f t="shared" si="138"/>
        <v>7017953</v>
      </c>
      <c r="I193" s="16"/>
      <c r="J193" s="479">
        <f t="shared" si="139"/>
        <v>6.2533515716182465E-3</v>
      </c>
      <c r="K193" s="16"/>
      <c r="L193" s="16"/>
      <c r="M193" s="16"/>
      <c r="N193" s="16">
        <f t="shared" si="140"/>
        <v>287783</v>
      </c>
      <c r="O193" s="16">
        <f t="shared" si="141"/>
        <v>38141.04891304348</v>
      </c>
      <c r="P193" s="41"/>
      <c r="Q193" s="453"/>
      <c r="R193" s="16"/>
      <c r="S193" s="60"/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203915</v>
      </c>
      <c r="AB193" s="33"/>
      <c r="AC193" s="46">
        <f t="shared" si="143"/>
        <v>2.9056193451281305E-2</v>
      </c>
      <c r="AD193" s="33"/>
      <c r="AE193" s="33">
        <f t="shared" si="144"/>
        <v>1108.233695652174</v>
      </c>
      <c r="AF193" s="50"/>
      <c r="AG193" s="33">
        <f t="shared" si="145"/>
        <v>5715</v>
      </c>
      <c r="AH193" s="33">
        <f>SUM(D164:D310)</f>
        <v>460871299.35152841</v>
      </c>
      <c r="AI193" s="231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504">
        <f t="shared" si="148"/>
        <v>7.5858311302719013E-3</v>
      </c>
      <c r="AS193" s="25"/>
      <c r="AT193" s="25"/>
      <c r="AU193" s="24"/>
      <c r="AV193" s="341">
        <f t="shared" si="149"/>
        <v>0.60184116365555596</v>
      </c>
      <c r="AW193" s="341"/>
      <c r="AX193" s="24">
        <f t="shared" si="150"/>
        <v>22954.853260869564</v>
      </c>
      <c r="AY193" s="351"/>
      <c r="AZ193" s="10"/>
      <c r="BA193" s="66">
        <f t="shared" si="151"/>
        <v>1086851</v>
      </c>
      <c r="BB193" s="67"/>
      <c r="BC193" s="67">
        <v>97310312</v>
      </c>
      <c r="BD193" s="67"/>
      <c r="BE193" s="67">
        <f t="shared" si="152"/>
        <v>43613</v>
      </c>
      <c r="BF193" s="67"/>
      <c r="BG193" s="156">
        <f t="shared" si="153"/>
        <v>4.0127855612222832E-2</v>
      </c>
      <c r="BH193" s="67"/>
      <c r="BI193" s="183"/>
      <c r="BJ193" s="67"/>
      <c r="BK193" s="67">
        <f t="shared" si="154"/>
        <v>5606809</v>
      </c>
      <c r="BL193" s="67"/>
      <c r="BM193" s="156">
        <f t="shared" si="155"/>
        <v>0</v>
      </c>
      <c r="BN193" s="66">
        <f t="shared" si="156"/>
        <v>528860.39130434778</v>
      </c>
      <c r="BO193" s="67"/>
      <c r="BP193" s="67">
        <f t="shared" si="157"/>
        <v>6675306</v>
      </c>
      <c r="BQ193" s="67"/>
      <c r="BR193" s="478">
        <f t="shared" si="158"/>
        <v>6.8598135827578066E-2</v>
      </c>
      <c r="BS193" s="67"/>
      <c r="BT193" s="86"/>
      <c r="BU193" s="183"/>
      <c r="BV193" s="1"/>
      <c r="BW193" s="61">
        <f t="shared" si="160"/>
        <v>184</v>
      </c>
    </row>
    <row r="194" spans="2:75" x14ac:dyDescent="0.3">
      <c r="B194" s="390">
        <f t="shared" si="159"/>
        <v>44094</v>
      </c>
      <c r="C194" s="61"/>
      <c r="D194" s="17">
        <v>33386</v>
      </c>
      <c r="E194" s="16"/>
      <c r="F194" s="16"/>
      <c r="G194" s="16"/>
      <c r="H194" s="16">
        <f t="shared" si="138"/>
        <v>7051339</v>
      </c>
      <c r="I194" s="16"/>
      <c r="J194" s="479">
        <f t="shared" si="139"/>
        <v>4.7572276417354176E-3</v>
      </c>
      <c r="K194" s="16"/>
      <c r="L194" s="16"/>
      <c r="M194" s="16"/>
      <c r="N194" s="16">
        <f t="shared" si="140"/>
        <v>289312</v>
      </c>
      <c r="O194" s="16">
        <f t="shared" si="141"/>
        <v>38115.345945945948</v>
      </c>
      <c r="P194" s="41"/>
      <c r="Q194" s="453"/>
      <c r="R194" s="16"/>
      <c r="S194" s="60"/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204209</v>
      </c>
      <c r="AB194" s="33"/>
      <c r="AC194" s="46">
        <f t="shared" si="143"/>
        <v>2.8960315196872536E-2</v>
      </c>
      <c r="AD194" s="33"/>
      <c r="AE194" s="33">
        <f t="shared" si="144"/>
        <v>1103.8324324324324</v>
      </c>
      <c r="AF194" s="50"/>
      <c r="AG194" s="33">
        <f t="shared" si="145"/>
        <v>5617</v>
      </c>
      <c r="AH194" s="33">
        <f>SUM(D165:D311)</f>
        <v>460820818.35152841</v>
      </c>
      <c r="AI194" s="231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504">
        <f t="shared" si="148"/>
        <v>6.2615819852437195E-3</v>
      </c>
      <c r="AS194" s="25"/>
      <c r="AT194" s="25"/>
      <c r="AU194" s="24"/>
      <c r="AV194" s="341">
        <f t="shared" si="149"/>
        <v>0.60274225930706216</v>
      </c>
      <c r="AW194" s="341"/>
      <c r="AX194" s="24">
        <f t="shared" si="150"/>
        <v>22973.72972972973</v>
      </c>
      <c r="AY194" s="351"/>
      <c r="AZ194" s="391"/>
      <c r="BA194" s="66">
        <f t="shared" si="151"/>
        <v>856297</v>
      </c>
      <c r="BB194" s="67"/>
      <c r="BC194" s="67">
        <v>98166609</v>
      </c>
      <c r="BD194" s="67"/>
      <c r="BE194" s="67">
        <f t="shared" si="152"/>
        <v>33386</v>
      </c>
      <c r="BF194" s="67"/>
      <c r="BG194" s="156">
        <f t="shared" si="153"/>
        <v>3.8988808789473743E-2</v>
      </c>
      <c r="BH194" s="67"/>
      <c r="BI194" s="183"/>
      <c r="BJ194" s="67"/>
      <c r="BK194" s="67">
        <f t="shared" si="154"/>
        <v>5763109</v>
      </c>
      <c r="BL194" s="67"/>
      <c r="BM194" s="156">
        <f t="shared" si="155"/>
        <v>0</v>
      </c>
      <c r="BN194" s="66">
        <f t="shared" si="156"/>
        <v>530630.31891891896</v>
      </c>
      <c r="BO194" s="67"/>
      <c r="BP194" s="67">
        <f t="shared" si="157"/>
        <v>6708692</v>
      </c>
      <c r="BQ194" s="67"/>
      <c r="BR194" s="478">
        <f t="shared" si="158"/>
        <v>6.8339856783684969E-2</v>
      </c>
      <c r="BS194" s="67"/>
      <c r="BT194" s="86"/>
      <c r="BU194" s="183"/>
      <c r="BV194" s="1"/>
      <c r="BW194" s="61">
        <f t="shared" si="160"/>
        <v>185</v>
      </c>
    </row>
    <row r="195" spans="2:75" x14ac:dyDescent="0.3">
      <c r="B195" s="171">
        <f t="shared" si="159"/>
        <v>44095</v>
      </c>
      <c r="C195" s="61"/>
      <c r="D195" s="17">
        <v>36804</v>
      </c>
      <c r="E195" s="16"/>
      <c r="F195" s="16"/>
      <c r="G195" s="16"/>
      <c r="H195" s="16">
        <f t="shared" si="138"/>
        <v>7088143</v>
      </c>
      <c r="I195" s="16"/>
      <c r="J195" s="479">
        <f t="shared" si="139"/>
        <v>5.2194342095877111E-3</v>
      </c>
      <c r="K195" s="16"/>
      <c r="L195" s="16"/>
      <c r="M195" s="16"/>
      <c r="N195" s="16">
        <f t="shared" si="140"/>
        <v>288044</v>
      </c>
      <c r="O195" s="16">
        <f t="shared" si="141"/>
        <v>38108.295698924732</v>
      </c>
      <c r="P195" s="41"/>
      <c r="Q195" s="453"/>
      <c r="R195" s="16"/>
      <c r="S195" s="60"/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204593</v>
      </c>
      <c r="AB195" s="33"/>
      <c r="AC195" s="46">
        <f t="shared" si="143"/>
        <v>2.8864118570971268E-2</v>
      </c>
      <c r="AD195" s="33"/>
      <c r="AE195" s="33">
        <f t="shared" si="144"/>
        <v>1099.9623655913979</v>
      </c>
      <c r="AF195" s="50"/>
      <c r="AG195" s="33">
        <f t="shared" si="145"/>
        <v>5521</v>
      </c>
      <c r="AH195" s="33">
        <f>SUM(D166:D312)</f>
        <v>460776989.35152841</v>
      </c>
      <c r="AI195" s="231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504">
        <f t="shared" si="148"/>
        <v>1.1619617236138104E-2</v>
      </c>
      <c r="AS195" s="25"/>
      <c r="AT195" s="25"/>
      <c r="AU195" s="24"/>
      <c r="AV195" s="341">
        <f t="shared" si="149"/>
        <v>0.60657988982445754</v>
      </c>
      <c r="AW195" s="341"/>
      <c r="AX195" s="24">
        <f t="shared" si="150"/>
        <v>23115.725806451614</v>
      </c>
      <c r="AY195" s="351"/>
      <c r="AZ195" s="10"/>
      <c r="BA195" s="66">
        <f t="shared" si="151"/>
        <v>743166</v>
      </c>
      <c r="BB195" s="67"/>
      <c r="BC195" s="67">
        <v>98909775</v>
      </c>
      <c r="BD195" s="67"/>
      <c r="BE195" s="67">
        <f t="shared" si="152"/>
        <v>36804</v>
      </c>
      <c r="BF195" s="67"/>
      <c r="BG195" s="156">
        <f t="shared" si="153"/>
        <v>4.9523255907832166E-2</v>
      </c>
      <c r="BH195" s="67"/>
      <c r="BI195" s="183"/>
      <c r="BJ195" s="67"/>
      <c r="BK195" s="67">
        <f t="shared" si="154"/>
        <v>6019453</v>
      </c>
      <c r="BL195" s="67"/>
      <c r="BM195" s="156">
        <f t="shared" si="155"/>
        <v>0</v>
      </c>
      <c r="BN195" s="66">
        <f t="shared" si="156"/>
        <v>531772.98387096776</v>
      </c>
      <c r="BO195" s="67"/>
      <c r="BP195" s="67">
        <f t="shared" si="157"/>
        <v>6745496</v>
      </c>
      <c r="BQ195" s="67"/>
      <c r="BR195" s="478">
        <f t="shared" si="158"/>
        <v>6.8198476844174405E-2</v>
      </c>
      <c r="BS195" s="67"/>
      <c r="BT195" s="86"/>
      <c r="BU195" s="183"/>
      <c r="BV195" s="1"/>
      <c r="BW195" s="61">
        <f t="shared" si="160"/>
        <v>186</v>
      </c>
    </row>
    <row r="196" spans="2:75" x14ac:dyDescent="0.3">
      <c r="B196" s="171">
        <f t="shared" si="159"/>
        <v>44096</v>
      </c>
      <c r="C196" s="61"/>
      <c r="D196" s="17">
        <v>35696</v>
      </c>
      <c r="E196" s="16"/>
      <c r="F196" s="16"/>
      <c r="G196" s="16"/>
      <c r="H196" s="16">
        <f t="shared" si="138"/>
        <v>7123839</v>
      </c>
      <c r="I196" s="16"/>
      <c r="J196" s="479">
        <f t="shared" si="139"/>
        <v>5.0360157801556766E-3</v>
      </c>
      <c r="K196" s="16"/>
      <c r="L196" s="16"/>
      <c r="M196" s="16"/>
      <c r="N196" s="16">
        <f t="shared" si="140"/>
        <v>287293</v>
      </c>
      <c r="O196" s="16">
        <f t="shared" si="141"/>
        <v>38095.395721925132</v>
      </c>
      <c r="P196" s="41"/>
      <c r="Q196" s="453"/>
      <c r="R196" s="16"/>
      <c r="S196" s="60"/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205572</v>
      </c>
      <c r="AB196" s="33"/>
      <c r="AC196" s="46">
        <f t="shared" si="143"/>
        <v>2.8856912684298453E-2</v>
      </c>
      <c r="AD196" s="33"/>
      <c r="AE196" s="33">
        <f t="shared" si="144"/>
        <v>1099.3155080213903</v>
      </c>
      <c r="AF196" s="50"/>
      <c r="AG196" s="33">
        <f t="shared" ref="AG196:AG204" si="161">SUM(W190:W196)</f>
        <v>5303</v>
      </c>
      <c r="AH196" s="33">
        <f>SUM(D167:D313)</f>
        <v>460744271.35152841</v>
      </c>
      <c r="AI196" s="231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504">
        <f t="shared" si="148"/>
        <v>1.0834917810688389E-2</v>
      </c>
      <c r="AS196" s="25"/>
      <c r="AT196" s="25"/>
      <c r="AU196" s="24"/>
      <c r="AV196" s="341">
        <f t="shared" si="149"/>
        <v>0.61007976176890022</v>
      </c>
      <c r="AW196" s="341"/>
      <c r="AX196" s="24">
        <f t="shared" si="150"/>
        <v>23241.229946524065</v>
      </c>
      <c r="AY196" s="351"/>
      <c r="AZ196" s="10"/>
      <c r="BA196" s="66">
        <f t="shared" si="151"/>
        <v>772198</v>
      </c>
      <c r="BB196" s="67"/>
      <c r="BC196" s="67">
        <v>99681973</v>
      </c>
      <c r="BD196" s="67"/>
      <c r="BE196" s="67">
        <f t="shared" si="152"/>
        <v>35696</v>
      </c>
      <c r="BF196" s="67"/>
      <c r="BG196" s="156">
        <f t="shared" si="153"/>
        <v>4.6226485953084574E-2</v>
      </c>
      <c r="BH196" s="67"/>
      <c r="BI196" s="183"/>
      <c r="BJ196" s="67"/>
      <c r="BK196" s="67">
        <f t="shared" si="154"/>
        <v>6050015</v>
      </c>
      <c r="BL196" s="67"/>
      <c r="BM196" s="156">
        <f t="shared" si="155"/>
        <v>0</v>
      </c>
      <c r="BN196" s="66">
        <f t="shared" si="156"/>
        <v>533058.67914438504</v>
      </c>
      <c r="BO196" s="67"/>
      <c r="BP196" s="67">
        <f t="shared" si="157"/>
        <v>6781192</v>
      </c>
      <c r="BQ196" s="67"/>
      <c r="BR196" s="478">
        <f t="shared" si="158"/>
        <v>6.8028268260701463E-2</v>
      </c>
      <c r="BS196" s="67"/>
      <c r="BT196" s="86"/>
      <c r="BU196" s="183"/>
      <c r="BV196" s="1"/>
      <c r="BW196" s="61">
        <f t="shared" si="160"/>
        <v>187</v>
      </c>
    </row>
    <row r="197" spans="2:75" x14ac:dyDescent="0.3">
      <c r="B197" s="171">
        <f t="shared" si="159"/>
        <v>44097</v>
      </c>
      <c r="C197" s="61"/>
      <c r="D197" s="17">
        <v>41616</v>
      </c>
      <c r="E197" s="16"/>
      <c r="F197" s="16"/>
      <c r="G197" s="16"/>
      <c r="H197" s="16">
        <f t="shared" si="138"/>
        <v>7165455</v>
      </c>
      <c r="I197" s="16"/>
      <c r="J197" s="479">
        <f t="shared" si="139"/>
        <v>5.8417940102239814E-3</v>
      </c>
      <c r="K197" s="16"/>
      <c r="L197" s="16"/>
      <c r="M197" s="16"/>
      <c r="N197" s="16">
        <f t="shared" si="140"/>
        <v>288755</v>
      </c>
      <c r="O197" s="16">
        <f t="shared" si="141"/>
        <v>38114.122340425529</v>
      </c>
      <c r="P197" s="41"/>
      <c r="Q197" s="453"/>
      <c r="R197" s="16"/>
      <c r="S197" s="60"/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206687</v>
      </c>
      <c r="AB197" s="33"/>
      <c r="AC197" s="46">
        <f t="shared" si="143"/>
        <v>2.8844923316104838E-2</v>
      </c>
      <c r="AD197" s="33"/>
      <c r="AE197" s="33">
        <f t="shared" si="144"/>
        <v>1099.3989361702127</v>
      </c>
      <c r="AF197" s="50"/>
      <c r="AG197" s="33">
        <f t="shared" si="161"/>
        <v>5267</v>
      </c>
      <c r="AH197" s="33">
        <f>SUM(D168:D314)</f>
        <v>460702787.35152841</v>
      </c>
      <c r="AI197" s="231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504">
        <f t="shared" si="148"/>
        <v>1.2148104856987052E-2</v>
      </c>
      <c r="AS197" s="25"/>
      <c r="AT197" s="25"/>
      <c r="AU197" s="24"/>
      <c r="AV197" s="341">
        <f t="shared" si="149"/>
        <v>0.61390476948079364</v>
      </c>
      <c r="AW197" s="341"/>
      <c r="AX197" s="24">
        <f t="shared" si="150"/>
        <v>23398.441489361703</v>
      </c>
      <c r="AY197" s="351"/>
      <c r="AZ197" s="10"/>
      <c r="BA197" s="66">
        <f t="shared" si="151"/>
        <v>900117</v>
      </c>
      <c r="BB197" s="67"/>
      <c r="BC197" s="67">
        <v>100582090</v>
      </c>
      <c r="BD197" s="67"/>
      <c r="BE197" s="67">
        <f t="shared" si="152"/>
        <v>41616</v>
      </c>
      <c r="BF197" s="67"/>
      <c r="BG197" s="156">
        <f t="shared" si="153"/>
        <v>4.6233989581354426E-2</v>
      </c>
      <c r="BH197" s="67"/>
      <c r="BI197" s="183"/>
      <c r="BJ197" s="67"/>
      <c r="BK197" s="67">
        <f t="shared" si="154"/>
        <v>6213023</v>
      </c>
      <c r="BL197" s="67"/>
      <c r="BM197" s="156">
        <f t="shared" si="155"/>
        <v>0</v>
      </c>
      <c r="BN197" s="66">
        <f t="shared" si="156"/>
        <v>535011.11702127662</v>
      </c>
      <c r="BO197" s="67"/>
      <c r="BP197" s="67">
        <f t="shared" si="157"/>
        <v>6822808</v>
      </c>
      <c r="BQ197" s="67"/>
      <c r="BR197" s="478">
        <f t="shared" si="158"/>
        <v>6.7833229554088603E-2</v>
      </c>
      <c r="BS197" s="67"/>
      <c r="BT197" s="86"/>
      <c r="BU197" s="183"/>
      <c r="BV197" s="1"/>
      <c r="BW197" s="61">
        <f t="shared" si="160"/>
        <v>188</v>
      </c>
    </row>
    <row r="198" spans="2:75" x14ac:dyDescent="0.3">
      <c r="B198" s="171">
        <f t="shared" si="159"/>
        <v>44098</v>
      </c>
      <c r="C198" s="61"/>
      <c r="D198" s="17">
        <v>45355</v>
      </c>
      <c r="E198" s="16"/>
      <c r="F198" s="16"/>
      <c r="G198" s="16"/>
      <c r="H198" s="16">
        <f t="shared" si="138"/>
        <v>7210810</v>
      </c>
      <c r="I198" s="16"/>
      <c r="J198" s="479">
        <f t="shared" si="139"/>
        <v>6.3296748078105298E-3</v>
      </c>
      <c r="K198" s="16"/>
      <c r="L198" s="16"/>
      <c r="M198" s="16"/>
      <c r="N198" s="16">
        <f t="shared" si="140"/>
        <v>287815</v>
      </c>
      <c r="O198" s="16">
        <f t="shared" si="141"/>
        <v>38152.433862433863</v>
      </c>
      <c r="P198" s="41"/>
      <c r="Q198" s="453"/>
      <c r="R198" s="16"/>
      <c r="S198" s="60"/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207629</v>
      </c>
      <c r="AB198" s="33"/>
      <c r="AC198" s="46">
        <f t="shared" si="143"/>
        <v>2.8794129924377427E-2</v>
      </c>
      <c r="AD198" s="33"/>
      <c r="AE198" s="33">
        <f t="shared" si="144"/>
        <v>1098.5661375661375</v>
      </c>
      <c r="AF198" s="50"/>
      <c r="AG198" s="33">
        <f t="shared" si="161"/>
        <v>5330</v>
      </c>
      <c r="AH198" s="33">
        <f>SUM(D169:D315)</f>
        <v>460662689.35152841</v>
      </c>
      <c r="AI198" s="231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504">
        <f t="shared" si="148"/>
        <v>8.7846821949179657E-3</v>
      </c>
      <c r="AS198" s="25"/>
      <c r="AT198" s="25"/>
      <c r="AU198" s="24"/>
      <c r="AV198" s="341">
        <f t="shared" si="149"/>
        <v>0.61540243051751464</v>
      </c>
      <c r="AW198" s="341"/>
      <c r="AX198" s="24">
        <f t="shared" si="150"/>
        <v>23479.100529100528</v>
      </c>
      <c r="AY198" s="351"/>
      <c r="AZ198" s="10"/>
      <c r="BA198" s="66">
        <f t="shared" si="151"/>
        <v>990101</v>
      </c>
      <c r="BB198" s="67"/>
      <c r="BC198" s="67">
        <v>101572191</v>
      </c>
      <c r="BD198" s="67"/>
      <c r="BE198" s="67">
        <f t="shared" si="152"/>
        <v>45355</v>
      </c>
      <c r="BF198" s="67"/>
      <c r="BG198" s="156">
        <f t="shared" si="153"/>
        <v>4.5808457924999574E-2</v>
      </c>
      <c r="BH198" s="67"/>
      <c r="BI198" s="183"/>
      <c r="BJ198" s="67"/>
      <c r="BK198" s="67">
        <f t="shared" si="154"/>
        <v>6337169</v>
      </c>
      <c r="BL198" s="67"/>
      <c r="BM198" s="156">
        <f t="shared" si="155"/>
        <v>0</v>
      </c>
      <c r="BN198" s="66">
        <f t="shared" si="156"/>
        <v>537419</v>
      </c>
      <c r="BO198" s="67"/>
      <c r="BP198" s="67">
        <f t="shared" si="157"/>
        <v>6868163</v>
      </c>
      <c r="BQ198" s="67"/>
      <c r="BR198" s="478">
        <f t="shared" si="158"/>
        <v>6.7618537440036125E-2</v>
      </c>
      <c r="BS198" s="67"/>
      <c r="BT198" s="86"/>
      <c r="BU198" s="183"/>
      <c r="BV198" s="1"/>
      <c r="BW198" s="61">
        <f t="shared" si="160"/>
        <v>189</v>
      </c>
    </row>
    <row r="199" spans="2:75" x14ac:dyDescent="0.3">
      <c r="B199" s="171">
        <f t="shared" si="159"/>
        <v>44099</v>
      </c>
      <c r="C199" s="61"/>
      <c r="D199" s="17">
        <v>53629</v>
      </c>
      <c r="E199" s="16"/>
      <c r="F199" s="16"/>
      <c r="G199" s="16"/>
      <c r="H199" s="16">
        <f t="shared" si="138"/>
        <v>7264439</v>
      </c>
      <c r="I199" s="16"/>
      <c r="J199" s="479">
        <f t="shared" si="139"/>
        <v>7.4373059337300524E-3</v>
      </c>
      <c r="K199" s="16"/>
      <c r="L199" s="16"/>
      <c r="M199" s="16"/>
      <c r="N199" s="16">
        <f t="shared" si="140"/>
        <v>290099</v>
      </c>
      <c r="O199" s="16">
        <f t="shared" si="141"/>
        <v>38233.889473684212</v>
      </c>
      <c r="P199" s="41"/>
      <c r="Q199" s="453"/>
      <c r="R199" s="16"/>
      <c r="S199" s="60"/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208524</v>
      </c>
      <c r="AB199" s="33"/>
      <c r="AC199" s="46">
        <f t="shared" si="143"/>
        <v>2.8704763024371187E-2</v>
      </c>
      <c r="AD199" s="33"/>
      <c r="AE199" s="33">
        <f t="shared" si="144"/>
        <v>1097.4947368421053</v>
      </c>
      <c r="AF199" s="50"/>
      <c r="AG199" s="33">
        <f t="shared" si="161"/>
        <v>5267</v>
      </c>
      <c r="AH199" s="33">
        <f>SUM(D170:D316)</f>
        <v>460618052.35152841</v>
      </c>
      <c r="AI199" s="231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504">
        <f t="shared" si="148"/>
        <v>9.7281157395409622E-3</v>
      </c>
      <c r="AS199" s="25"/>
      <c r="AT199" s="25"/>
      <c r="AU199" s="24"/>
      <c r="AV199" s="341">
        <f t="shared" si="149"/>
        <v>0.61680179295331683</v>
      </c>
      <c r="AW199" s="341"/>
      <c r="AX199" s="24">
        <f t="shared" si="150"/>
        <v>23582.731578947369</v>
      </c>
      <c r="AY199" s="351"/>
      <c r="AZ199" s="10"/>
      <c r="BA199" s="66">
        <f t="shared" si="151"/>
        <v>975164</v>
      </c>
      <c r="BB199" s="67"/>
      <c r="BC199" s="67">
        <v>102547355</v>
      </c>
      <c r="BD199" s="67"/>
      <c r="BE199" s="67">
        <f t="shared" si="152"/>
        <v>53629</v>
      </c>
      <c r="BF199" s="67"/>
      <c r="BG199" s="156">
        <f t="shared" si="153"/>
        <v>5.4994852147946395E-2</v>
      </c>
      <c r="BH199" s="67"/>
      <c r="BI199" s="183"/>
      <c r="BJ199" s="67"/>
      <c r="BK199" s="67">
        <f t="shared" si="154"/>
        <v>6323894</v>
      </c>
      <c r="BL199" s="67"/>
      <c r="BM199" s="156">
        <f t="shared" si="155"/>
        <v>0</v>
      </c>
      <c r="BN199" s="66">
        <f t="shared" si="156"/>
        <v>539722.92105263157</v>
      </c>
      <c r="BO199" s="67"/>
      <c r="BP199" s="67">
        <f t="shared" si="157"/>
        <v>6921792</v>
      </c>
      <c r="BQ199" s="67"/>
      <c r="BR199" s="478">
        <f t="shared" si="158"/>
        <v>6.7498493744670457E-2</v>
      </c>
      <c r="BS199" s="67"/>
      <c r="BT199" s="86"/>
      <c r="BU199" s="183"/>
      <c r="BV199" s="1"/>
      <c r="BW199" s="61">
        <f t="shared" si="160"/>
        <v>190</v>
      </c>
    </row>
    <row r="200" spans="2:75" x14ac:dyDescent="0.3">
      <c r="B200" s="171">
        <f t="shared" si="159"/>
        <v>44100</v>
      </c>
      <c r="C200" s="61"/>
      <c r="D200" s="17">
        <v>43206</v>
      </c>
      <c r="E200" s="16"/>
      <c r="F200" s="16"/>
      <c r="G200" s="16"/>
      <c r="H200" s="16">
        <f t="shared" si="138"/>
        <v>7307645</v>
      </c>
      <c r="I200" s="16"/>
      <c r="J200" s="479">
        <f t="shared" si="139"/>
        <v>5.9476031115410291E-3</v>
      </c>
      <c r="K200" s="16"/>
      <c r="L200" s="16"/>
      <c r="M200" s="16"/>
      <c r="N200" s="16">
        <f t="shared" si="140"/>
        <v>289692</v>
      </c>
      <c r="O200" s="16">
        <f t="shared" si="141"/>
        <v>38259.921465968589</v>
      </c>
      <c r="P200" s="41"/>
      <c r="Q200" s="453"/>
      <c r="R200" s="16"/>
      <c r="S200" s="60"/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209261</v>
      </c>
      <c r="AB200" s="33"/>
      <c r="AC200" s="46">
        <f t="shared" si="143"/>
        <v>2.8635901169254938E-2</v>
      </c>
      <c r="AD200" s="33"/>
      <c r="AE200" s="33">
        <f t="shared" si="144"/>
        <v>1095.6073298429319</v>
      </c>
      <c r="AF200" s="50"/>
      <c r="AG200" s="33">
        <f t="shared" si="161"/>
        <v>5346</v>
      </c>
      <c r="AH200" s="33">
        <f>SUM(D171:D317)</f>
        <v>460572046.35152841</v>
      </c>
      <c r="AI200" s="231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504">
        <f t="shared" si="148"/>
        <v>9.6834905290869612E-3</v>
      </c>
      <c r="AS200" s="25"/>
      <c r="AT200" s="25"/>
      <c r="AU200" s="24"/>
      <c r="AV200" s="341">
        <f t="shared" si="149"/>
        <v>0.61909247096704889</v>
      </c>
      <c r="AW200" s="341"/>
      <c r="AX200" s="24">
        <f t="shared" si="150"/>
        <v>23686.429319371728</v>
      </c>
      <c r="AY200" s="351"/>
      <c r="AZ200" s="10"/>
      <c r="BA200" s="66">
        <f t="shared" si="151"/>
        <v>1028168</v>
      </c>
      <c r="BB200" s="67"/>
      <c r="BC200" s="67">
        <v>103575523</v>
      </c>
      <c r="BD200" s="67"/>
      <c r="BE200" s="67">
        <f t="shared" si="152"/>
        <v>43206</v>
      </c>
      <c r="BF200" s="67"/>
      <c r="BG200" s="156">
        <f t="shared" si="153"/>
        <v>4.2022315419270005E-2</v>
      </c>
      <c r="BH200" s="67"/>
      <c r="BI200" s="183"/>
      <c r="BJ200" s="67"/>
      <c r="BK200" s="67">
        <f t="shared" si="154"/>
        <v>6265211</v>
      </c>
      <c r="BL200" s="67"/>
      <c r="BM200" s="156">
        <f t="shared" si="155"/>
        <v>0</v>
      </c>
      <c r="BN200" s="66">
        <f t="shared" si="156"/>
        <v>542280.22513089003</v>
      </c>
      <c r="BO200" s="67"/>
      <c r="BP200" s="67">
        <f t="shared" si="157"/>
        <v>6964998</v>
      </c>
      <c r="BQ200" s="67"/>
      <c r="BR200" s="478">
        <f t="shared" si="158"/>
        <v>6.7245598170911483E-2</v>
      </c>
      <c r="BS200" s="67"/>
      <c r="BT200" s="86"/>
      <c r="BU200" s="183"/>
      <c r="BV200" s="1"/>
      <c r="BW200" s="61">
        <f t="shared" si="160"/>
        <v>191</v>
      </c>
    </row>
    <row r="201" spans="2:75" x14ac:dyDescent="0.3">
      <c r="B201" s="390">
        <f t="shared" si="159"/>
        <v>44101</v>
      </c>
      <c r="C201" s="61"/>
      <c r="D201" s="17">
        <v>33782</v>
      </c>
      <c r="E201" s="16"/>
      <c r="F201" s="16"/>
      <c r="G201" s="16"/>
      <c r="H201" s="16">
        <f t="shared" si="138"/>
        <v>7341427</v>
      </c>
      <c r="I201" s="16"/>
      <c r="J201" s="479">
        <f t="shared" si="139"/>
        <v>4.622829926741105E-3</v>
      </c>
      <c r="K201" s="16"/>
      <c r="L201" s="16"/>
      <c r="M201" s="16"/>
      <c r="N201" s="16">
        <f t="shared" si="140"/>
        <v>290088</v>
      </c>
      <c r="O201" s="16">
        <f t="shared" si="141"/>
        <v>38236.598958333336</v>
      </c>
      <c r="P201" s="41"/>
      <c r="Q201" s="453"/>
      <c r="R201" s="16"/>
      <c r="S201" s="60"/>
      <c r="T201" s="16"/>
      <c r="U201" s="41"/>
      <c r="V201" s="391">
        <f t="shared" si="109"/>
        <v>93</v>
      </c>
      <c r="W201" s="34">
        <v>276</v>
      </c>
      <c r="X201" s="33"/>
      <c r="Y201" s="33"/>
      <c r="Z201" s="33"/>
      <c r="AA201" s="33">
        <f t="shared" si="142"/>
        <v>209537</v>
      </c>
      <c r="AB201" s="33"/>
      <c r="AC201" s="46">
        <f t="shared" si="143"/>
        <v>2.8541726288363285E-2</v>
      </c>
      <c r="AD201" s="33"/>
      <c r="AE201" s="33">
        <f t="shared" si="144"/>
        <v>1091.3385416666667</v>
      </c>
      <c r="AF201" s="50"/>
      <c r="AG201" s="33">
        <f t="shared" si="161"/>
        <v>5328</v>
      </c>
      <c r="AH201" s="33">
        <f>SUM(D172:D318)</f>
        <v>460522445.35152841</v>
      </c>
      <c r="AI201" s="231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504">
        <f t="shared" si="148"/>
        <v>8.0342909585712809E-3</v>
      </c>
      <c r="AS201" s="25"/>
      <c r="AT201" s="25"/>
      <c r="AU201" s="24"/>
      <c r="AV201" s="341">
        <f t="shared" si="149"/>
        <v>0.62119476227169457</v>
      </c>
      <c r="AW201" s="341"/>
      <c r="AX201" s="24">
        <f t="shared" si="150"/>
        <v>23752.375</v>
      </c>
      <c r="AY201" s="351"/>
      <c r="AZ201" s="391"/>
      <c r="BA201" s="66">
        <f t="shared" si="151"/>
        <v>759639</v>
      </c>
      <c r="BB201" s="67"/>
      <c r="BC201" s="67">
        <v>104335162</v>
      </c>
      <c r="BD201" s="67"/>
      <c r="BE201" s="67">
        <f t="shared" si="152"/>
        <v>33782</v>
      </c>
      <c r="BF201" s="67"/>
      <c r="BG201" s="156">
        <f t="shared" si="153"/>
        <v>4.4471123783797306E-2</v>
      </c>
      <c r="BH201" s="67"/>
      <c r="BI201" s="183"/>
      <c r="BJ201" s="67"/>
      <c r="BK201" s="67">
        <f t="shared" si="154"/>
        <v>6168553</v>
      </c>
      <c r="BL201" s="67"/>
      <c r="BM201" s="156">
        <f t="shared" si="155"/>
        <v>0</v>
      </c>
      <c r="BN201" s="66">
        <f t="shared" si="156"/>
        <v>543412.30208333337</v>
      </c>
      <c r="BO201" s="67"/>
      <c r="BP201" s="67">
        <f t="shared" si="157"/>
        <v>6998780</v>
      </c>
      <c r="BQ201" s="67"/>
      <c r="BR201" s="478">
        <f t="shared" si="158"/>
        <v>6.7079782748600131E-2</v>
      </c>
      <c r="BS201" s="67"/>
      <c r="BT201" s="86"/>
      <c r="BU201" s="183"/>
      <c r="BV201" s="1"/>
      <c r="BW201" s="61">
        <f t="shared" si="160"/>
        <v>192</v>
      </c>
    </row>
    <row r="202" spans="2:75" x14ac:dyDescent="0.3">
      <c r="B202" s="171">
        <f t="shared" si="159"/>
        <v>44102</v>
      </c>
      <c r="C202" s="61"/>
      <c r="D202" s="17">
        <v>37418</v>
      </c>
      <c r="E202" s="16"/>
      <c r="F202" s="16"/>
      <c r="G202" s="16"/>
      <c r="H202" s="16">
        <f t="shared" si="138"/>
        <v>7378845</v>
      </c>
      <c r="I202" s="16"/>
      <c r="J202" s="479">
        <f t="shared" si="139"/>
        <v>5.0968292676614509E-3</v>
      </c>
      <c r="K202" s="16"/>
      <c r="L202" s="16"/>
      <c r="M202" s="16"/>
      <c r="N202" s="16">
        <f t="shared" si="140"/>
        <v>290702</v>
      </c>
      <c r="O202" s="16">
        <f t="shared" si="141"/>
        <v>38232.357512953371</v>
      </c>
      <c r="P202" s="41"/>
      <c r="Q202" s="453"/>
      <c r="R202" s="16"/>
      <c r="S202" s="60"/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209892</v>
      </c>
      <c r="AB202" s="33"/>
      <c r="AC202" s="46">
        <f t="shared" si="143"/>
        <v>2.844510218062583E-2</v>
      </c>
      <c r="AD202" s="33"/>
      <c r="AE202" s="33">
        <f t="shared" si="144"/>
        <v>1087.5233160621763</v>
      </c>
      <c r="AF202" s="50"/>
      <c r="AG202" s="33">
        <f t="shared" si="161"/>
        <v>5299</v>
      </c>
      <c r="AH202" s="33">
        <f>SUM(D173:D319)</f>
        <v>460479785.35152841</v>
      </c>
      <c r="AI202" s="231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504">
        <f t="shared" si="148"/>
        <v>1.0784009318366409E-2</v>
      </c>
      <c r="AS202" s="25"/>
      <c r="AT202" s="25"/>
      <c r="AU202" s="24"/>
      <c r="AV202" s="341">
        <f t="shared" si="149"/>
        <v>0.62470969372577956</v>
      </c>
      <c r="AW202" s="341"/>
      <c r="AX202" s="24">
        <f t="shared" si="150"/>
        <v>23884.124352331608</v>
      </c>
      <c r="AY202" s="351"/>
      <c r="AZ202" s="10"/>
      <c r="BA202" s="66">
        <f t="shared" si="151"/>
        <v>1066544</v>
      </c>
      <c r="BB202" s="67"/>
      <c r="BC202" s="67">
        <v>105401706</v>
      </c>
      <c r="BD202" s="67"/>
      <c r="BE202" s="67">
        <f t="shared" si="152"/>
        <v>37418</v>
      </c>
      <c r="BF202" s="67"/>
      <c r="BG202" s="156">
        <f t="shared" si="153"/>
        <v>3.5083409592103092E-2</v>
      </c>
      <c r="BH202" s="67"/>
      <c r="BI202" s="183"/>
      <c r="BJ202" s="67"/>
      <c r="BK202" s="67">
        <f t="shared" si="154"/>
        <v>6491931</v>
      </c>
      <c r="BL202" s="67"/>
      <c r="BM202" s="156">
        <f t="shared" si="155"/>
        <v>0</v>
      </c>
      <c r="BN202" s="66">
        <f t="shared" si="156"/>
        <v>546122.82901554403</v>
      </c>
      <c r="BO202" s="67"/>
      <c r="BP202" s="67">
        <f t="shared" si="157"/>
        <v>7036198</v>
      </c>
      <c r="BQ202" s="67"/>
      <c r="BR202" s="478">
        <f t="shared" si="158"/>
        <v>6.6756016264101076E-2</v>
      </c>
      <c r="BS202" s="67"/>
      <c r="BT202" s="86"/>
      <c r="BU202" s="183"/>
      <c r="BV202" s="1"/>
      <c r="BW202" s="61">
        <f t="shared" si="160"/>
        <v>193</v>
      </c>
    </row>
    <row r="203" spans="2:75" x14ac:dyDescent="0.3">
      <c r="B203" s="171">
        <f t="shared" si="159"/>
        <v>44103</v>
      </c>
      <c r="C203" s="61"/>
      <c r="D203" s="17">
        <v>44227</v>
      </c>
      <c r="E203" s="16"/>
      <c r="F203" s="16"/>
      <c r="G203" s="16"/>
      <c r="H203" s="16">
        <f t="shared" si="138"/>
        <v>7423072</v>
      </c>
      <c r="I203" s="16"/>
      <c r="J203" s="479">
        <f t="shared" si="139"/>
        <v>5.9937564754375516E-3</v>
      </c>
      <c r="K203" s="16"/>
      <c r="L203" s="16"/>
      <c r="M203" s="16"/>
      <c r="N203" s="16">
        <f t="shared" si="140"/>
        <v>299233</v>
      </c>
      <c r="O203" s="16">
        <f t="shared" si="141"/>
        <v>38263.257731958765</v>
      </c>
      <c r="P203" s="41"/>
      <c r="Q203" s="453"/>
      <c r="R203" s="16"/>
      <c r="S203" s="60"/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210869</v>
      </c>
      <c r="AB203" s="33"/>
      <c r="AC203" s="46">
        <f t="shared" si="143"/>
        <v>2.8407241637963366E-2</v>
      </c>
      <c r="AD203" s="33"/>
      <c r="AE203" s="33">
        <f t="shared" si="144"/>
        <v>1086.9536082474226</v>
      </c>
      <c r="AF203" s="50"/>
      <c r="AG203" s="33">
        <f t="shared" si="161"/>
        <v>5297</v>
      </c>
      <c r="AH203" s="33">
        <f>SUM(D174:D320)</f>
        <v>460445804.35152841</v>
      </c>
      <c r="AI203" s="231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504">
        <f t="shared" si="148"/>
        <v>8.4707339147819909E-3</v>
      </c>
      <c r="AS203" s="25"/>
      <c r="AT203" s="25"/>
      <c r="AU203" s="24"/>
      <c r="AV203" s="341">
        <f t="shared" si="149"/>
        <v>0.62624786611257444</v>
      </c>
      <c r="AW203" s="341"/>
      <c r="AX203" s="24">
        <f t="shared" si="150"/>
        <v>23962.283505154639</v>
      </c>
      <c r="AY203" s="351"/>
      <c r="AZ203" s="10"/>
      <c r="BA203" s="66">
        <f t="shared" si="151"/>
        <v>771516</v>
      </c>
      <c r="BB203" s="67"/>
      <c r="BC203" s="67">
        <v>106173222</v>
      </c>
      <c r="BD203" s="67"/>
      <c r="BE203" s="67">
        <f t="shared" si="152"/>
        <v>44227</v>
      </c>
      <c r="BF203" s="67"/>
      <c r="BG203" s="156">
        <f t="shared" si="153"/>
        <v>5.7324799485687916E-2</v>
      </c>
      <c r="BH203" s="67"/>
      <c r="BI203" s="183"/>
      <c r="BJ203" s="67"/>
      <c r="BK203" s="67">
        <f t="shared" si="154"/>
        <v>6491249</v>
      </c>
      <c r="BL203" s="67"/>
      <c r="BM203" s="156">
        <f t="shared" si="155"/>
        <v>0</v>
      </c>
      <c r="BN203" s="66">
        <f t="shared" si="156"/>
        <v>547284.64948453603</v>
      </c>
      <c r="BO203" s="67"/>
      <c r="BP203" s="67">
        <f t="shared" si="157"/>
        <v>7080425</v>
      </c>
      <c r="BQ203" s="67"/>
      <c r="BR203" s="478">
        <f t="shared" si="158"/>
        <v>6.6687483591672481E-2</v>
      </c>
      <c r="BS203" s="67"/>
      <c r="BT203" s="86"/>
      <c r="BU203" s="183"/>
      <c r="BV203" s="1"/>
      <c r="BW203" s="61">
        <f t="shared" si="160"/>
        <v>194</v>
      </c>
    </row>
    <row r="204" spans="2:75" x14ac:dyDescent="0.3">
      <c r="B204" s="171">
        <f t="shared" si="159"/>
        <v>44104</v>
      </c>
      <c r="C204" s="61"/>
      <c r="D204" s="17">
        <v>40929</v>
      </c>
      <c r="E204" s="16"/>
      <c r="F204" s="16"/>
      <c r="G204" s="16"/>
      <c r="H204" s="16">
        <f t="shared" si="138"/>
        <v>7464001</v>
      </c>
      <c r="I204" s="16"/>
      <c r="J204" s="479">
        <f t="shared" si="139"/>
        <v>5.5137549521276363E-3</v>
      </c>
      <c r="K204" s="16"/>
      <c r="L204" s="16"/>
      <c r="M204" s="16"/>
      <c r="N204" s="469">
        <f>SUM(D175:D204)</f>
        <v>1202331</v>
      </c>
      <c r="O204" s="16">
        <f t="shared" si="141"/>
        <v>38276.928205128206</v>
      </c>
      <c r="P204" s="41"/>
      <c r="Q204" s="453"/>
      <c r="R204" s="16"/>
      <c r="S204" s="60"/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211824</v>
      </c>
      <c r="AB204" s="33"/>
      <c r="AC204" s="46">
        <f t="shared" si="143"/>
        <v>2.8379417419692202E-2</v>
      </c>
      <c r="AD204" s="33"/>
      <c r="AE204" s="33">
        <f t="shared" si="144"/>
        <v>1086.2769230769231</v>
      </c>
      <c r="AF204" s="50"/>
      <c r="AG204" s="33">
        <f t="shared" si="161"/>
        <v>5137</v>
      </c>
      <c r="AH204" s="33">
        <f>SUM(D175:D321)</f>
        <v>460407244.35152841</v>
      </c>
      <c r="AI204" s="231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504">
        <f t="shared" si="148"/>
        <v>1.0975796800943407E-2</v>
      </c>
      <c r="AS204" s="25"/>
      <c r="AT204" s="25"/>
      <c r="AU204" s="24"/>
      <c r="AV204" s="341">
        <f t="shared" si="149"/>
        <v>0.62964970127951481</v>
      </c>
      <c r="AW204" s="341"/>
      <c r="AX204" s="24">
        <f t="shared" si="150"/>
        <v>24101.056410256409</v>
      </c>
      <c r="AY204" s="351"/>
      <c r="AZ204" s="10"/>
      <c r="BA204" s="66">
        <f t="shared" si="151"/>
        <v>1363003</v>
      </c>
      <c r="BB204" s="67"/>
      <c r="BC204" s="67">
        <v>107536225</v>
      </c>
      <c r="BD204" s="67"/>
      <c r="BE204" s="67">
        <f t="shared" si="152"/>
        <v>40929</v>
      </c>
      <c r="BF204" s="67"/>
      <c r="BG204" s="156">
        <f t="shared" si="153"/>
        <v>3.0028547259250346E-2</v>
      </c>
      <c r="BH204" s="67"/>
      <c r="BI204" s="183"/>
      <c r="BJ204" s="67"/>
      <c r="BK204" s="67">
        <f t="shared" si="154"/>
        <v>6954135</v>
      </c>
      <c r="BL204" s="67"/>
      <c r="BM204" s="156">
        <f t="shared" si="155"/>
        <v>0</v>
      </c>
      <c r="BN204" s="66">
        <f t="shared" si="156"/>
        <v>551467.8205128205</v>
      </c>
      <c r="BO204" s="67"/>
      <c r="BP204" s="67">
        <f t="shared" si="157"/>
        <v>7121354</v>
      </c>
      <c r="BQ204" s="67"/>
      <c r="BR204" s="478">
        <f t="shared" si="158"/>
        <v>6.6222837932054995E-2</v>
      </c>
      <c r="BS204" s="67"/>
      <c r="BT204" s="86"/>
      <c r="BU204" s="183"/>
      <c r="BV204" s="1"/>
      <c r="BW204" s="61">
        <f t="shared" si="160"/>
        <v>195</v>
      </c>
    </row>
    <row r="205" spans="2:75" x14ac:dyDescent="0.3">
      <c r="B205" s="171">
        <f t="shared" si="159"/>
        <v>44105</v>
      </c>
      <c r="C205" s="61"/>
      <c r="D205" s="17">
        <v>47389</v>
      </c>
      <c r="E205" s="16"/>
      <c r="F205" s="16"/>
      <c r="G205" s="16"/>
      <c r="H205" s="16">
        <f t="shared" si="138"/>
        <v>7511390</v>
      </c>
      <c r="I205" s="16"/>
      <c r="J205" s="479">
        <f t="shared" si="139"/>
        <v>6.3490077238735629E-3</v>
      </c>
      <c r="K205" s="16"/>
      <c r="L205" s="16"/>
      <c r="M205" s="16"/>
      <c r="N205" s="16">
        <f t="shared" si="140"/>
        <v>300580</v>
      </c>
      <c r="O205" s="16">
        <f t="shared" si="141"/>
        <v>38323.418367346938</v>
      </c>
      <c r="P205" s="41"/>
      <c r="Q205" s="453"/>
      <c r="R205" s="16"/>
      <c r="S205" s="60"/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212744</v>
      </c>
      <c r="AB205" s="33"/>
      <c r="AC205" s="46">
        <f t="shared" si="143"/>
        <v>2.8322853692858446E-2</v>
      </c>
      <c r="AD205" s="33"/>
      <c r="AE205" s="33">
        <f t="shared" si="144"/>
        <v>1085.4285714285713</v>
      </c>
      <c r="AF205" s="50"/>
      <c r="AG205" s="33">
        <f t="shared" ref="AG205:AG212" si="162">SUM(W199:W205)</f>
        <v>5115</v>
      </c>
      <c r="AH205" s="33">
        <f>SUM(D176:D322)</f>
        <v>460365265.35152841</v>
      </c>
      <c r="AI205" s="231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504">
        <f t="shared" si="148"/>
        <v>7.8547466586207735E-3</v>
      </c>
      <c r="AS205" s="25"/>
      <c r="AT205" s="25"/>
      <c r="AU205" s="24"/>
      <c r="AV205" s="341">
        <f t="shared" si="149"/>
        <v>0.63059180790772418</v>
      </c>
      <c r="AW205" s="341"/>
      <c r="AX205" s="24">
        <f t="shared" si="150"/>
        <v>24166.433673469386</v>
      </c>
      <c r="AY205" s="351"/>
      <c r="AZ205" s="10"/>
      <c r="BA205" s="66">
        <f t="shared" si="151"/>
        <v>895735</v>
      </c>
      <c r="BB205" s="67"/>
      <c r="BC205" s="67">
        <v>108431960</v>
      </c>
      <c r="BD205" s="67"/>
      <c r="BE205" s="67">
        <f t="shared" si="152"/>
        <v>47389</v>
      </c>
      <c r="BF205" s="67"/>
      <c r="BG205" s="156">
        <f t="shared" si="153"/>
        <v>5.2905156100855721E-2</v>
      </c>
      <c r="BH205" s="67"/>
      <c r="BI205" s="183"/>
      <c r="BJ205" s="67"/>
      <c r="BK205" s="67">
        <f t="shared" si="154"/>
        <v>6859769</v>
      </c>
      <c r="BL205" s="67"/>
      <c r="BM205" s="156">
        <f t="shared" si="155"/>
        <v>0</v>
      </c>
      <c r="BN205" s="66">
        <f t="shared" si="156"/>
        <v>553224.28571428568</v>
      </c>
      <c r="BO205" s="67"/>
      <c r="BP205" s="67">
        <f t="shared" si="157"/>
        <v>7168743</v>
      </c>
      <c r="BQ205" s="67"/>
      <c r="BR205" s="478">
        <f t="shared" si="158"/>
        <v>6.6112823193456988E-2</v>
      </c>
      <c r="BS205" s="67"/>
      <c r="BT205" s="86"/>
      <c r="BU205" s="183"/>
      <c r="BV205" s="1"/>
      <c r="BW205" s="61">
        <f t="shared" si="160"/>
        <v>196</v>
      </c>
    </row>
    <row r="206" spans="2:75" x14ac:dyDescent="0.3">
      <c r="B206" s="171">
        <f t="shared" si="159"/>
        <v>44106</v>
      </c>
      <c r="C206" s="61"/>
      <c r="D206" s="17">
        <v>51403</v>
      </c>
      <c r="E206" s="16"/>
      <c r="F206" s="16"/>
      <c r="G206" s="16"/>
      <c r="H206" s="16">
        <f t="shared" si="138"/>
        <v>7562793</v>
      </c>
      <c r="I206" s="16"/>
      <c r="J206" s="479">
        <f t="shared" si="139"/>
        <v>6.8433405801056795E-3</v>
      </c>
      <c r="K206" s="16"/>
      <c r="L206" s="16"/>
      <c r="M206" s="16"/>
      <c r="N206" s="16">
        <f t="shared" si="140"/>
        <v>298354</v>
      </c>
      <c r="O206" s="16">
        <f t="shared" si="141"/>
        <v>38389.812182741116</v>
      </c>
      <c r="P206" s="41"/>
      <c r="Q206" s="453"/>
      <c r="R206" s="16"/>
      <c r="S206" s="60"/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213608</v>
      </c>
      <c r="AB206" s="33"/>
      <c r="AC206" s="46">
        <f t="shared" si="143"/>
        <v>2.8244591647556664E-2</v>
      </c>
      <c r="AD206" s="33"/>
      <c r="AE206" s="33">
        <f t="shared" si="144"/>
        <v>1084.3045685279187</v>
      </c>
      <c r="AF206" s="50"/>
      <c r="AG206" s="33">
        <f t="shared" si="162"/>
        <v>5084</v>
      </c>
      <c r="AH206" s="33">
        <f>SUM(D177:D323)</f>
        <v>460324054.35152841</v>
      </c>
      <c r="AI206" s="231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504">
        <f t="shared" si="148"/>
        <v>8.4876961867964527E-3</v>
      </c>
      <c r="AS206" s="25"/>
      <c r="AT206" s="25"/>
      <c r="AU206" s="24"/>
      <c r="AV206" s="341">
        <f t="shared" si="149"/>
        <v>0.63162167733534424</v>
      </c>
      <c r="AW206" s="341"/>
      <c r="AX206" s="24">
        <f t="shared" si="150"/>
        <v>24247.837563451776</v>
      </c>
      <c r="AY206" s="351"/>
      <c r="AZ206" s="10"/>
      <c r="BA206" s="66">
        <f t="shared" si="151"/>
        <v>1138486</v>
      </c>
      <c r="BB206" s="67"/>
      <c r="BC206" s="67">
        <v>109570446</v>
      </c>
      <c r="BD206" s="67"/>
      <c r="BE206" s="67">
        <f t="shared" si="152"/>
        <v>51403</v>
      </c>
      <c r="BF206" s="67"/>
      <c r="BG206" s="156">
        <f t="shared" si="153"/>
        <v>4.515031366217942E-2</v>
      </c>
      <c r="BH206" s="67"/>
      <c r="BI206" s="183"/>
      <c r="BJ206" s="67"/>
      <c r="BK206" s="67">
        <f t="shared" si="154"/>
        <v>7023091</v>
      </c>
      <c r="BL206" s="67"/>
      <c r="BM206" s="156">
        <f t="shared" si="155"/>
        <v>0</v>
      </c>
      <c r="BN206" s="66">
        <f t="shared" si="156"/>
        <v>556195.15736040613</v>
      </c>
      <c r="BO206" s="67"/>
      <c r="BP206" s="67">
        <f t="shared" si="157"/>
        <v>7220146</v>
      </c>
      <c r="BQ206" s="67"/>
      <c r="BR206" s="478">
        <f t="shared" si="158"/>
        <v>6.589501333233598E-2</v>
      </c>
      <c r="BS206" s="67"/>
      <c r="BT206" s="86"/>
      <c r="BU206" s="183"/>
      <c r="BV206" s="1"/>
      <c r="BW206" s="61">
        <f t="shared" si="160"/>
        <v>197</v>
      </c>
    </row>
    <row r="207" spans="2:75" x14ac:dyDescent="0.3">
      <c r="B207" s="171">
        <f t="shared" si="159"/>
        <v>44107</v>
      </c>
      <c r="C207" s="61"/>
      <c r="D207" s="17">
        <v>48925</v>
      </c>
      <c r="E207" s="16"/>
      <c r="F207" s="16"/>
      <c r="G207" s="16"/>
      <c r="H207" s="16">
        <f t="shared" si="138"/>
        <v>7611718</v>
      </c>
      <c r="I207" s="16"/>
      <c r="J207" s="479">
        <f t="shared" si="139"/>
        <v>6.4691708473311382E-3</v>
      </c>
      <c r="K207" s="16"/>
      <c r="L207" s="16"/>
      <c r="M207" s="16"/>
      <c r="N207" s="16">
        <f t="shared" si="140"/>
        <v>304073</v>
      </c>
      <c r="O207" s="16">
        <f t="shared" si="141"/>
        <v>38443.020202020205</v>
      </c>
      <c r="P207" s="41"/>
      <c r="Q207" s="453"/>
      <c r="R207" s="16"/>
      <c r="S207" s="60"/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214363</v>
      </c>
      <c r="AB207" s="33"/>
      <c r="AC207" s="46">
        <f t="shared" si="143"/>
        <v>2.8162236173226596E-2</v>
      </c>
      <c r="AD207" s="33"/>
      <c r="AE207" s="33">
        <f t="shared" si="144"/>
        <v>1082.6414141414141</v>
      </c>
      <c r="AF207" s="50"/>
      <c r="AG207" s="33">
        <f t="shared" si="162"/>
        <v>5102</v>
      </c>
      <c r="AH207" s="33">
        <f>SUM(D178:D324)</f>
        <v>460278590.35152841</v>
      </c>
      <c r="AI207" s="231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504">
        <f t="shared" si="148"/>
        <v>8.7265094966865013E-3</v>
      </c>
      <c r="AS207" s="25"/>
      <c r="AT207" s="25"/>
      <c r="AU207" s="24"/>
      <c r="AV207" s="341">
        <f t="shared" si="149"/>
        <v>0.63303829700469727</v>
      </c>
      <c r="AW207" s="341"/>
      <c r="AX207" s="24">
        <f t="shared" si="150"/>
        <v>24335.904040404039</v>
      </c>
      <c r="AY207" s="351"/>
      <c r="AZ207" s="10"/>
      <c r="BA207" s="66">
        <f t="shared" si="151"/>
        <v>955837</v>
      </c>
      <c r="BB207" s="67"/>
      <c r="BC207" s="67">
        <v>110526283</v>
      </c>
      <c r="BD207" s="67"/>
      <c r="BE207" s="67">
        <f t="shared" si="152"/>
        <v>48925</v>
      </c>
      <c r="BF207" s="67"/>
      <c r="BG207" s="156">
        <f t="shared" si="153"/>
        <v>5.1185505478444547E-2</v>
      </c>
      <c r="BH207" s="67"/>
      <c r="BI207" s="183"/>
      <c r="BJ207" s="67"/>
      <c r="BK207" s="67">
        <f t="shared" si="154"/>
        <v>6950760</v>
      </c>
      <c r="BL207" s="67"/>
      <c r="BM207" s="156">
        <f t="shared" si="155"/>
        <v>0</v>
      </c>
      <c r="BN207" s="66">
        <f t="shared" si="156"/>
        <v>558213.55050505046</v>
      </c>
      <c r="BO207" s="67"/>
      <c r="BP207" s="67">
        <f t="shared" si="157"/>
        <v>7269071</v>
      </c>
      <c r="BQ207" s="67"/>
      <c r="BR207" s="478">
        <f t="shared" si="158"/>
        <v>6.5767804749210651E-2</v>
      </c>
      <c r="BS207" s="67"/>
      <c r="BT207" s="86"/>
      <c r="BU207" s="183"/>
      <c r="BV207" s="1"/>
      <c r="BW207" s="61">
        <f t="shared" si="160"/>
        <v>198</v>
      </c>
    </row>
    <row r="208" spans="2:75" x14ac:dyDescent="0.3">
      <c r="B208" s="390">
        <f t="shared" si="159"/>
        <v>44108</v>
      </c>
      <c r="C208" s="61"/>
      <c r="D208" s="17">
        <v>34066</v>
      </c>
      <c r="E208" s="16"/>
      <c r="F208" s="16"/>
      <c r="G208" s="16"/>
      <c r="H208" s="16">
        <f t="shared" si="138"/>
        <v>7645784</v>
      </c>
      <c r="I208" s="16"/>
      <c r="J208" s="479">
        <f t="shared" si="139"/>
        <v>4.4754679561171337E-3</v>
      </c>
      <c r="K208" s="16"/>
      <c r="L208" s="16"/>
      <c r="M208" s="16"/>
      <c r="N208" s="16">
        <f t="shared" si="140"/>
        <v>304357</v>
      </c>
      <c r="O208" s="16">
        <f t="shared" si="141"/>
        <v>38421.025125628141</v>
      </c>
      <c r="P208" s="41"/>
      <c r="Q208" s="453"/>
      <c r="R208" s="16"/>
      <c r="S208" s="60"/>
      <c r="T208" s="16"/>
      <c r="U208" s="41"/>
      <c r="V208" s="391">
        <f t="shared" si="109"/>
        <v>100</v>
      </c>
      <c r="W208" s="34">
        <v>332</v>
      </c>
      <c r="X208" s="33"/>
      <c r="Y208" s="33"/>
      <c r="Z208" s="33"/>
      <c r="AA208" s="33">
        <f t="shared" si="142"/>
        <v>214695</v>
      </c>
      <c r="AB208" s="33"/>
      <c r="AC208" s="46">
        <f t="shared" si="143"/>
        <v>2.8080181182204466E-2</v>
      </c>
      <c r="AD208" s="33"/>
      <c r="AE208" s="33">
        <f t="shared" si="144"/>
        <v>1078.8693467336684</v>
      </c>
      <c r="AF208" s="50"/>
      <c r="AG208" s="33">
        <f t="shared" si="162"/>
        <v>5158</v>
      </c>
      <c r="AH208" s="33">
        <f>SUM(D179:D325)</f>
        <v>460225741.35152841</v>
      </c>
      <c r="AI208" s="231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504">
        <f t="shared" si="148"/>
        <v>6.3357773120274342E-3</v>
      </c>
      <c r="AS208" s="25"/>
      <c r="AT208" s="25"/>
      <c r="AU208" s="24"/>
      <c r="AV208" s="341">
        <f t="shared" si="149"/>
        <v>0.63421069703250832</v>
      </c>
      <c r="AW208" s="341"/>
      <c r="AX208" s="24">
        <f t="shared" si="150"/>
        <v>24367.025125628141</v>
      </c>
      <c r="AY208" s="351"/>
      <c r="AZ208" s="391"/>
      <c r="BA208" s="66">
        <f t="shared" si="151"/>
        <v>943983</v>
      </c>
      <c r="BB208" s="67"/>
      <c r="BC208" s="67">
        <v>111470266</v>
      </c>
      <c r="BD208" s="67"/>
      <c r="BE208" s="67">
        <f t="shared" si="152"/>
        <v>34066</v>
      </c>
      <c r="BF208" s="67"/>
      <c r="BG208" s="156">
        <f t="shared" si="153"/>
        <v>3.6087514287863234E-2</v>
      </c>
      <c r="BH208" s="67"/>
      <c r="BI208" s="183"/>
      <c r="BJ208" s="67"/>
      <c r="BK208" s="67">
        <f t="shared" si="154"/>
        <v>7135104</v>
      </c>
      <c r="BL208" s="67"/>
      <c r="BM208" s="156">
        <f t="shared" si="155"/>
        <v>0</v>
      </c>
      <c r="BN208" s="66">
        <f t="shared" si="156"/>
        <v>560152.09045226127</v>
      </c>
      <c r="BO208" s="67"/>
      <c r="BP208" s="67">
        <f t="shared" si="157"/>
        <v>7303137</v>
      </c>
      <c r="BQ208" s="67"/>
      <c r="BR208" s="478">
        <f t="shared" si="158"/>
        <v>6.5516457994278049E-2</v>
      </c>
      <c r="BS208" s="67"/>
      <c r="BT208" s="86"/>
      <c r="BU208" s="183"/>
      <c r="BV208" s="1"/>
      <c r="BW208" s="61">
        <f t="shared" si="160"/>
        <v>199</v>
      </c>
    </row>
    <row r="209" spans="2:75" x14ac:dyDescent="0.3">
      <c r="B209" s="171">
        <f t="shared" si="159"/>
        <v>44109</v>
      </c>
      <c r="C209" s="61"/>
      <c r="D209" s="17">
        <v>37717</v>
      </c>
      <c r="E209" s="16"/>
      <c r="F209" s="16"/>
      <c r="G209" s="16"/>
      <c r="H209" s="16">
        <f t="shared" si="138"/>
        <v>7683501</v>
      </c>
      <c r="I209" s="16"/>
      <c r="J209" s="479">
        <f t="shared" si="139"/>
        <v>4.9330454535466868E-3</v>
      </c>
      <c r="K209" s="16"/>
      <c r="L209" s="16"/>
      <c r="M209" s="16"/>
      <c r="N209" s="16">
        <f t="shared" si="140"/>
        <v>304656</v>
      </c>
      <c r="O209" s="16">
        <f t="shared" si="141"/>
        <v>38417.504999999997</v>
      </c>
      <c r="P209" s="41"/>
      <c r="Q209" s="453"/>
      <c r="R209" s="16"/>
      <c r="S209" s="60"/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215043</v>
      </c>
      <c r="AB209" s="33"/>
      <c r="AC209" s="46">
        <f t="shared" si="143"/>
        <v>2.7987632200477359E-2</v>
      </c>
      <c r="AD209" s="33"/>
      <c r="AE209" s="33">
        <f t="shared" si="144"/>
        <v>1075.2149999999999</v>
      </c>
      <c r="AF209" s="50"/>
      <c r="AG209" s="33">
        <f t="shared" si="162"/>
        <v>5151</v>
      </c>
      <c r="AH209" s="33">
        <f>SUM(D180:D326)</f>
        <v>460183649.35152841</v>
      </c>
      <c r="AI209" s="231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504">
        <f t="shared" si="148"/>
        <v>8.0017933454017073E-3</v>
      </c>
      <c r="AS209" s="25"/>
      <c r="AT209" s="25"/>
      <c r="AU209" s="24"/>
      <c r="AV209" s="341">
        <f t="shared" si="149"/>
        <v>0.63614737604641425</v>
      </c>
      <c r="AW209" s="341"/>
      <c r="AX209" s="24">
        <f t="shared" si="150"/>
        <v>24439.195</v>
      </c>
      <c r="AY209" s="351"/>
      <c r="AZ209" s="10"/>
      <c r="BA209" s="66">
        <f t="shared" si="151"/>
        <v>901908</v>
      </c>
      <c r="BB209" s="67"/>
      <c r="BC209" s="67">
        <v>112372174</v>
      </c>
      <c r="BD209" s="67"/>
      <c r="BE209" s="67">
        <f t="shared" si="152"/>
        <v>37717</v>
      </c>
      <c r="BF209" s="67"/>
      <c r="BG209" s="156">
        <f t="shared" si="153"/>
        <v>4.1819121240747395E-2</v>
      </c>
      <c r="BH209" s="67"/>
      <c r="BI209" s="183"/>
      <c r="BJ209" s="67"/>
      <c r="BK209" s="67">
        <f t="shared" si="154"/>
        <v>6970468</v>
      </c>
      <c r="BL209" s="67"/>
      <c r="BM209" s="156">
        <f t="shared" si="155"/>
        <v>0</v>
      </c>
      <c r="BN209" s="66">
        <f t="shared" si="156"/>
        <v>561860.87</v>
      </c>
      <c r="BO209" s="67"/>
      <c r="BP209" s="67">
        <f t="shared" si="157"/>
        <v>7340854</v>
      </c>
      <c r="BQ209" s="67"/>
      <c r="BR209" s="478">
        <f t="shared" si="158"/>
        <v>6.5326261286001289E-2</v>
      </c>
      <c r="BS209" s="67"/>
      <c r="BT209" s="86"/>
      <c r="BU209" s="183"/>
      <c r="BV209" s="1"/>
      <c r="BW209" s="61">
        <f t="shared" si="160"/>
        <v>200</v>
      </c>
    </row>
    <row r="210" spans="2:75" x14ac:dyDescent="0.3">
      <c r="B210" s="171">
        <f t="shared" si="159"/>
        <v>44110</v>
      </c>
      <c r="C210" s="61"/>
      <c r="D210" s="17">
        <v>44668</v>
      </c>
      <c r="E210" s="16"/>
      <c r="F210" s="16"/>
      <c r="G210" s="16"/>
      <c r="H210" s="16">
        <f t="shared" si="138"/>
        <v>7728169</v>
      </c>
      <c r="I210" s="16"/>
      <c r="J210" s="479">
        <f t="shared" si="139"/>
        <v>5.8134956968184165E-3</v>
      </c>
      <c r="K210" s="16"/>
      <c r="L210" s="16"/>
      <c r="M210" s="16"/>
      <c r="N210" s="16">
        <f t="shared" si="140"/>
        <v>305097</v>
      </c>
      <c r="O210" s="16">
        <f t="shared" si="141"/>
        <v>38448.601990049749</v>
      </c>
      <c r="P210" s="41"/>
      <c r="Q210" s="453"/>
      <c r="R210" s="16"/>
      <c r="S210" s="60"/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215851</v>
      </c>
      <c r="AB210" s="33"/>
      <c r="AC210" s="46">
        <f t="shared" si="143"/>
        <v>2.7930419223492653E-2</v>
      </c>
      <c r="AD210" s="33"/>
      <c r="AE210" s="33">
        <f t="shared" si="144"/>
        <v>1073.8855721393036</v>
      </c>
      <c r="AF210" s="50"/>
      <c r="AG210" s="33">
        <f t="shared" si="162"/>
        <v>4982</v>
      </c>
      <c r="AH210" s="33">
        <f>SUM(D181:D327)</f>
        <v>460152539.35152841</v>
      </c>
      <c r="AI210" s="231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504">
        <f t="shared" si="148"/>
        <v>9.7601414449207512E-3</v>
      </c>
      <c r="AS210" s="25"/>
      <c r="AT210" s="25"/>
      <c r="AU210" s="24"/>
      <c r="AV210" s="341">
        <f t="shared" si="149"/>
        <v>0.63864351310122747</v>
      </c>
      <c r="AW210" s="341"/>
      <c r="AX210" s="24">
        <f t="shared" si="150"/>
        <v>24554.95024875622</v>
      </c>
      <c r="AY210" s="351"/>
      <c r="AZ210" s="10"/>
      <c r="BA210" s="66">
        <f t="shared" si="151"/>
        <v>947144</v>
      </c>
      <c r="BB210" s="67"/>
      <c r="BC210" s="67">
        <v>113319318</v>
      </c>
      <c r="BD210" s="67"/>
      <c r="BE210" s="67">
        <f t="shared" si="152"/>
        <v>44668</v>
      </c>
      <c r="BF210" s="67"/>
      <c r="BG210" s="156">
        <f t="shared" si="153"/>
        <v>4.7160727407870397E-2</v>
      </c>
      <c r="BH210" s="67"/>
      <c r="BI210" s="183"/>
      <c r="BJ210" s="67"/>
      <c r="BK210" s="67">
        <f t="shared" si="154"/>
        <v>7146096</v>
      </c>
      <c r="BL210" s="67"/>
      <c r="BM210" s="156">
        <f t="shared" si="155"/>
        <v>0</v>
      </c>
      <c r="BN210" s="66">
        <f t="shared" si="156"/>
        <v>563777.70149253728</v>
      </c>
      <c r="BO210" s="67"/>
      <c r="BP210" s="67">
        <f t="shared" si="157"/>
        <v>7385522</v>
      </c>
      <c r="BQ210" s="67"/>
      <c r="BR210" s="478">
        <f t="shared" si="158"/>
        <v>6.5174430364997427E-2</v>
      </c>
      <c r="BS210" s="67"/>
      <c r="BT210" s="86"/>
      <c r="BU210" s="183"/>
      <c r="BV210" s="1"/>
      <c r="BW210" s="61">
        <f t="shared" si="160"/>
        <v>201</v>
      </c>
    </row>
    <row r="211" spans="2:75" x14ac:dyDescent="0.3">
      <c r="B211" s="171">
        <f t="shared" si="159"/>
        <v>44111</v>
      </c>
      <c r="C211" s="61"/>
      <c r="D211" s="17">
        <v>49358</v>
      </c>
      <c r="E211" s="16"/>
      <c r="F211" s="16"/>
      <c r="G211" s="16"/>
      <c r="H211" s="16">
        <f t="shared" si="138"/>
        <v>7777527</v>
      </c>
      <c r="I211" s="16"/>
      <c r="J211" s="479">
        <f t="shared" si="139"/>
        <v>6.3867650927405964E-3</v>
      </c>
      <c r="K211" s="16"/>
      <c r="L211" s="16"/>
      <c r="M211" s="16"/>
      <c r="N211" s="16">
        <f t="shared" si="140"/>
        <v>313526</v>
      </c>
      <c r="O211" s="16">
        <f t="shared" si="141"/>
        <v>38502.608910891089</v>
      </c>
      <c r="P211" s="41"/>
      <c r="Q211" s="453"/>
      <c r="R211" s="16"/>
      <c r="S211" s="60"/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216781</v>
      </c>
      <c r="AB211" s="33"/>
      <c r="AC211" s="46">
        <f t="shared" si="143"/>
        <v>2.7872741553966962E-2</v>
      </c>
      <c r="AD211" s="33"/>
      <c r="AE211" s="33">
        <f t="shared" si="144"/>
        <v>1073.1732673267327</v>
      </c>
      <c r="AF211" s="50"/>
      <c r="AG211" s="33">
        <f t="shared" si="162"/>
        <v>4957</v>
      </c>
      <c r="AH211" s="33">
        <f>SUM(D182:D328)</f>
        <v>460127119.35152841</v>
      </c>
      <c r="AI211" s="231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504">
        <f t="shared" si="148"/>
        <v>9.6919387828497162E-3</v>
      </c>
      <c r="AS211" s="25"/>
      <c r="AT211" s="25"/>
      <c r="AU211" s="24"/>
      <c r="AV211" s="341">
        <f t="shared" si="149"/>
        <v>0.64074094503304202</v>
      </c>
      <c r="AW211" s="341"/>
      <c r="AX211" s="24">
        <f t="shared" si="150"/>
        <v>24670.198019801981</v>
      </c>
      <c r="AY211" s="351"/>
      <c r="AZ211" s="10"/>
      <c r="BA211" s="66">
        <f t="shared" si="151"/>
        <v>839531</v>
      </c>
      <c r="BB211" s="67"/>
      <c r="BC211" s="67">
        <v>114158849</v>
      </c>
      <c r="BD211" s="67"/>
      <c r="BE211" s="67">
        <f t="shared" si="152"/>
        <v>49358</v>
      </c>
      <c r="BF211" s="67"/>
      <c r="BG211" s="156">
        <f t="shared" si="153"/>
        <v>5.8792349538015869E-2</v>
      </c>
      <c r="BH211" s="67"/>
      <c r="BI211" s="183"/>
      <c r="BJ211" s="67"/>
      <c r="BK211" s="67">
        <f t="shared" si="154"/>
        <v>6622624</v>
      </c>
      <c r="BL211" s="67"/>
      <c r="BM211" s="156">
        <f t="shared" si="155"/>
        <v>0</v>
      </c>
      <c r="BN211" s="66">
        <f t="shared" si="156"/>
        <v>565142.81683168316</v>
      </c>
      <c r="BO211" s="67"/>
      <c r="BP211" s="67">
        <f t="shared" si="157"/>
        <v>7434880</v>
      </c>
      <c r="BQ211" s="67"/>
      <c r="BR211" s="478">
        <f t="shared" si="158"/>
        <v>6.5127496161072898E-2</v>
      </c>
      <c r="BS211" s="67"/>
      <c r="BT211" s="86"/>
      <c r="BU211" s="183"/>
      <c r="BV211" s="1"/>
      <c r="BW211" s="61">
        <f t="shared" si="160"/>
        <v>202</v>
      </c>
    </row>
    <row r="212" spans="2:75" x14ac:dyDescent="0.3">
      <c r="B212" s="171">
        <f t="shared" si="159"/>
        <v>44112</v>
      </c>
      <c r="C212" s="61"/>
      <c r="D212" s="17">
        <v>57318</v>
      </c>
      <c r="E212" s="16"/>
      <c r="F212" s="16"/>
      <c r="G212" s="16"/>
      <c r="H212" s="16">
        <f t="shared" si="138"/>
        <v>7834845</v>
      </c>
      <c r="I212" s="16"/>
      <c r="J212" s="479">
        <f t="shared" si="139"/>
        <v>7.3696947628725685E-3</v>
      </c>
      <c r="K212" s="16"/>
      <c r="L212" s="16"/>
      <c r="M212" s="16"/>
      <c r="N212" s="16">
        <f t="shared" si="140"/>
        <v>323455</v>
      </c>
      <c r="O212" s="16">
        <f t="shared" si="141"/>
        <v>38595.295566502464</v>
      </c>
      <c r="P212" s="41"/>
      <c r="Q212" s="453"/>
      <c r="R212" s="16"/>
      <c r="S212" s="60"/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217738</v>
      </c>
      <c r="AB212" s="33"/>
      <c r="AC212" s="46">
        <f t="shared" si="143"/>
        <v>2.7790977358199173E-2</v>
      </c>
      <c r="AD212" s="33"/>
      <c r="AE212" s="33">
        <f t="shared" si="144"/>
        <v>1072.6009852216748</v>
      </c>
      <c r="AF212" s="50"/>
      <c r="AG212" s="33">
        <f t="shared" si="162"/>
        <v>4994</v>
      </c>
      <c r="AH212" s="33">
        <f>SUM(D183:D329)</f>
        <v>460098680.35152841</v>
      </c>
      <c r="AI212" s="231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504">
        <f t="shared" si="148"/>
        <v>8.3904899887225128E-3</v>
      </c>
      <c r="AS212" s="25"/>
      <c r="AT212" s="25"/>
      <c r="AU212" s="24"/>
      <c r="AV212" s="341">
        <f t="shared" si="149"/>
        <v>0.6413902253331113</v>
      </c>
      <c r="AW212" s="341"/>
      <c r="AX212" s="24">
        <f t="shared" si="150"/>
        <v>24754.645320197043</v>
      </c>
      <c r="AY212" s="351"/>
      <c r="AZ212" s="10"/>
      <c r="BA212" s="66">
        <f t="shared" si="151"/>
        <v>1184966</v>
      </c>
      <c r="BB212" s="67"/>
      <c r="BC212" s="67">
        <v>115343815</v>
      </c>
      <c r="BD212" s="67"/>
      <c r="BE212" s="67">
        <f t="shared" si="152"/>
        <v>57318</v>
      </c>
      <c r="BF212" s="67"/>
      <c r="BG212" s="156">
        <f t="shared" si="153"/>
        <v>4.8371008113312956E-2</v>
      </c>
      <c r="BH212" s="67"/>
      <c r="BI212" s="183"/>
      <c r="BJ212" s="67"/>
      <c r="BK212" s="67">
        <f t="shared" si="154"/>
        <v>6911855</v>
      </c>
      <c r="BL212" s="67"/>
      <c r="BM212" s="156">
        <f t="shared" si="155"/>
        <v>0</v>
      </c>
      <c r="BN212" s="66">
        <f t="shared" si="156"/>
        <v>568196.13300492615</v>
      </c>
      <c r="BO212" s="67"/>
      <c r="BP212" s="67">
        <f t="shared" si="157"/>
        <v>7492198</v>
      </c>
      <c r="BQ212" s="67"/>
      <c r="BR212" s="478">
        <f t="shared" si="158"/>
        <v>6.4955351095331806E-2</v>
      </c>
      <c r="BS212" s="67"/>
      <c r="BT212" s="86"/>
      <c r="BU212" s="183"/>
      <c r="BV212" s="1"/>
      <c r="BW212" s="61">
        <f t="shared" si="160"/>
        <v>203</v>
      </c>
    </row>
    <row r="213" spans="2:75" x14ac:dyDescent="0.3">
      <c r="B213" s="171">
        <f t="shared" si="159"/>
        <v>44113</v>
      </c>
      <c r="C213" s="61"/>
      <c r="D213" s="17">
        <v>60983</v>
      </c>
      <c r="E213" s="16"/>
      <c r="F213" s="16"/>
      <c r="G213" s="16"/>
      <c r="H213" s="16">
        <f t="shared" ref="H213:H222" si="163">+H212+D213</f>
        <v>7895828</v>
      </c>
      <c r="I213" s="16"/>
      <c r="J213" s="479">
        <f t="shared" ref="J213:J222" si="164">+D213/H212</f>
        <v>7.783561767973712E-3</v>
      </c>
      <c r="K213" s="16"/>
      <c r="L213" s="16"/>
      <c r="M213" s="16"/>
      <c r="N213" s="16">
        <f>SUM(D207:D213)</f>
        <v>333035</v>
      </c>
      <c r="O213" s="16">
        <f t="shared" ref="O213:O222" si="165">+H213/BW213</f>
        <v>38705.039215686273</v>
      </c>
      <c r="P213" s="41"/>
      <c r="Q213" s="453"/>
      <c r="R213" s="16"/>
      <c r="S213" s="60"/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6">+AA212+W213</f>
        <v>218647</v>
      </c>
      <c r="AB213" s="33"/>
      <c r="AC213" s="46">
        <f t="shared" ref="AC213:AC222" si="167">+AA213/H213</f>
        <v>2.7691459337766729E-2</v>
      </c>
      <c r="AD213" s="33"/>
      <c r="AE213" s="33">
        <f t="shared" ref="AE213:AE222" si="168">+AA213/BW213</f>
        <v>1071.7990196078431</v>
      </c>
      <c r="AF213" s="50"/>
      <c r="AG213" s="33">
        <f t="shared" ref="AG213:AG222" si="169">SUM(W207:W213)</f>
        <v>5039</v>
      </c>
      <c r="AH213" s="33">
        <f>SUM(D184:D330)</f>
        <v>460063437.35152841</v>
      </c>
      <c r="AI213" s="231">
        <f t="shared" ref="AI213:AI222" si="170">+(AG213-AG206)/AG206</f>
        <v>-8.8512981904012595E-3</v>
      </c>
      <c r="AJ213" s="50"/>
      <c r="AK213" s="10"/>
      <c r="AL213" s="23">
        <f t="shared" ref="AL213:AL222" si="171">+AP213-AP212</f>
        <v>39107</v>
      </c>
      <c r="AM213" s="24"/>
      <c r="AN213" s="24"/>
      <c r="AO213" s="24">
        <v>178263</v>
      </c>
      <c r="AP213" s="24">
        <v>5064300</v>
      </c>
      <c r="AQ213" s="24"/>
      <c r="AR213" s="504">
        <f t="shared" ref="AR213:AR222" si="172">+AL213/AP212</f>
        <v>7.7821886641965795E-3</v>
      </c>
      <c r="AS213" s="25"/>
      <c r="AT213" s="25"/>
      <c r="AU213" s="24"/>
      <c r="AV213" s="341">
        <f t="shared" ref="AV213:AV222" si="173">+AP213/H213</f>
        <v>0.64138935143977305</v>
      </c>
      <c r="AW213" s="341"/>
      <c r="AX213" s="24">
        <f t="shared" ref="AX213:AX222" si="174">+AP213/BW213</f>
        <v>24825</v>
      </c>
      <c r="AY213" s="351"/>
      <c r="AZ213" s="10"/>
      <c r="BA213" s="66">
        <f t="shared" ref="BA213:BA222" si="175">+BC213-BC212</f>
        <v>1154320</v>
      </c>
      <c r="BB213" s="67"/>
      <c r="BC213" s="67">
        <v>116498135</v>
      </c>
      <c r="BD213" s="67"/>
      <c r="BE213" s="67">
        <f t="shared" ref="BE213:BE222" si="176">+D213</f>
        <v>60983</v>
      </c>
      <c r="BF213" s="67"/>
      <c r="BG213" s="156">
        <f t="shared" ref="BG213:BG222" si="177">+BE213/BA213</f>
        <v>5.2830237715711416E-2</v>
      </c>
      <c r="BH213" s="67"/>
      <c r="BI213" s="183"/>
      <c r="BJ213" s="67"/>
      <c r="BK213" s="67">
        <f t="shared" ref="BK213:BK222" si="178">SUM(BA207:BA213)</f>
        <v>6927689</v>
      </c>
      <c r="BL213" s="67"/>
      <c r="BM213" s="156">
        <f t="shared" ref="BM213:BM222" si="179">+Q213/BK213</f>
        <v>0</v>
      </c>
      <c r="BN213" s="66">
        <f t="shared" ref="BN213:BN222" si="180">+BC213/BW213</f>
        <v>571069.28921568627</v>
      </c>
      <c r="BO213" s="67"/>
      <c r="BP213" s="67">
        <f t="shared" ref="BP213:BP222" si="181">+BP212+BE213</f>
        <v>7553181</v>
      </c>
      <c r="BQ213" s="67"/>
      <c r="BR213" s="478">
        <f t="shared" ref="BR213:BR222" si="182">+BP213/BC213</f>
        <v>6.4835209593698651E-2</v>
      </c>
      <c r="BS213" s="67"/>
      <c r="BT213" s="86"/>
      <c r="BU213" s="183"/>
      <c r="BV213" s="1"/>
      <c r="BW213" s="61">
        <f t="shared" si="160"/>
        <v>204</v>
      </c>
    </row>
    <row r="214" spans="2:75" x14ac:dyDescent="0.3">
      <c r="B214" s="171">
        <f t="shared" si="159"/>
        <v>44114</v>
      </c>
      <c r="C214" s="61"/>
      <c r="D214" s="17">
        <v>54235</v>
      </c>
      <c r="E214" s="16"/>
      <c r="F214" s="16"/>
      <c r="G214" s="16"/>
      <c r="H214" s="16">
        <f t="shared" si="163"/>
        <v>7950063</v>
      </c>
      <c r="I214" s="16"/>
      <c r="J214" s="479">
        <f t="shared" si="164"/>
        <v>6.8688173045309501E-3</v>
      </c>
      <c r="K214" s="16"/>
      <c r="L214" s="16"/>
      <c r="M214" s="16"/>
      <c r="N214" s="16">
        <f>SUM(D205:D214)</f>
        <v>486062</v>
      </c>
      <c r="O214" s="16">
        <f t="shared" si="165"/>
        <v>38780.795121951218</v>
      </c>
      <c r="P214" s="41"/>
      <c r="Q214" s="453"/>
      <c r="R214" s="16"/>
      <c r="S214" s="60"/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6"/>
        <v>219370</v>
      </c>
      <c r="AB214" s="33"/>
      <c r="AC214" s="46">
        <f t="shared" si="167"/>
        <v>2.7593492026415388E-2</v>
      </c>
      <c r="AD214" s="33"/>
      <c r="AE214" s="33">
        <f t="shared" si="168"/>
        <v>1070.0975609756097</v>
      </c>
      <c r="AF214" s="50"/>
      <c r="AG214" s="33">
        <f t="shared" si="169"/>
        <v>5007</v>
      </c>
      <c r="AH214" s="33">
        <f>SUM(D185:D331)</f>
        <v>460024626.35152841</v>
      </c>
      <c r="AI214" s="231">
        <f t="shared" si="170"/>
        <v>-1.8620148961191688E-2</v>
      </c>
      <c r="AJ214" s="50"/>
      <c r="AK214" s="10"/>
      <c r="AL214" s="23">
        <f t="shared" si="171"/>
        <v>25542</v>
      </c>
      <c r="AM214" s="24"/>
      <c r="AN214" s="24"/>
      <c r="AO214" s="24">
        <v>178263</v>
      </c>
      <c r="AP214" s="24">
        <v>5089842</v>
      </c>
      <c r="AQ214" s="24"/>
      <c r="AR214" s="504">
        <f t="shared" si="172"/>
        <v>5.0435400746401283E-3</v>
      </c>
      <c r="AS214" s="25"/>
      <c r="AT214" s="25"/>
      <c r="AU214" s="24"/>
      <c r="AV214" s="341">
        <f t="shared" si="173"/>
        <v>0.6402266246192011</v>
      </c>
      <c r="AW214" s="341"/>
      <c r="AX214" s="24">
        <f t="shared" si="174"/>
        <v>24828.497560975611</v>
      </c>
      <c r="AY214" s="351"/>
      <c r="AZ214" s="10"/>
      <c r="BA214" s="66">
        <f t="shared" si="175"/>
        <v>1103287</v>
      </c>
      <c r="BB214" s="67"/>
      <c r="BC214" s="67">
        <v>117601422</v>
      </c>
      <c r="BD214" s="67"/>
      <c r="BE214" s="67">
        <f t="shared" si="176"/>
        <v>54235</v>
      </c>
      <c r="BF214" s="67"/>
      <c r="BG214" s="156">
        <f t="shared" si="177"/>
        <v>4.9157653448286799E-2</v>
      </c>
      <c r="BH214" s="67"/>
      <c r="BI214" s="183"/>
      <c r="BJ214" s="67"/>
      <c r="BK214" s="67">
        <f t="shared" si="178"/>
        <v>7075139</v>
      </c>
      <c r="BL214" s="67"/>
      <c r="BM214" s="156">
        <f t="shared" si="179"/>
        <v>0</v>
      </c>
      <c r="BN214" s="66">
        <f t="shared" si="180"/>
        <v>573665.47317073168</v>
      </c>
      <c r="BO214" s="67"/>
      <c r="BP214" s="67">
        <f t="shared" si="181"/>
        <v>7607416</v>
      </c>
      <c r="BQ214" s="67"/>
      <c r="BR214" s="478">
        <f t="shared" si="182"/>
        <v>6.4688129366326882E-2</v>
      </c>
      <c r="BS214" s="67"/>
      <c r="BT214" s="86"/>
      <c r="BU214" s="183"/>
      <c r="BV214" s="1"/>
      <c r="BW214" s="61">
        <f t="shared" si="160"/>
        <v>205</v>
      </c>
    </row>
    <row r="215" spans="2:75" x14ac:dyDescent="0.3">
      <c r="B215" s="390">
        <f t="shared" si="159"/>
        <v>44115</v>
      </c>
      <c r="C215" s="61"/>
      <c r="D215" s="17">
        <v>41935</v>
      </c>
      <c r="E215" s="16"/>
      <c r="F215" s="16"/>
      <c r="G215" s="16"/>
      <c r="H215" s="16">
        <f t="shared" si="163"/>
        <v>7991998</v>
      </c>
      <c r="I215" s="16"/>
      <c r="J215" s="479">
        <f t="shared" si="164"/>
        <v>5.2748009669860482E-3</v>
      </c>
      <c r="K215" s="16"/>
      <c r="L215" s="16"/>
      <c r="M215" s="16"/>
      <c r="N215" s="469">
        <f t="shared" ref="N215:N222" si="183">SUM(D209:D215)</f>
        <v>346214</v>
      </c>
      <c r="O215" s="16">
        <f t="shared" si="165"/>
        <v>38796.106796116503</v>
      </c>
      <c r="P215" s="41"/>
      <c r="Q215" s="453"/>
      <c r="R215" s="16"/>
      <c r="S215" s="60"/>
      <c r="T215" s="16"/>
      <c r="U215" s="41"/>
      <c r="V215" s="391">
        <f t="shared" si="109"/>
        <v>107</v>
      </c>
      <c r="W215" s="34">
        <v>325</v>
      </c>
      <c r="X215" s="33"/>
      <c r="Y215" s="33"/>
      <c r="Z215" s="33"/>
      <c r="AA215" s="33">
        <f t="shared" si="166"/>
        <v>219695</v>
      </c>
      <c r="AB215" s="33"/>
      <c r="AC215" s="46">
        <f t="shared" si="167"/>
        <v>2.7489371243586396E-2</v>
      </c>
      <c r="AD215" s="33"/>
      <c r="AE215" s="33">
        <f t="shared" si="168"/>
        <v>1066.4805825242718</v>
      </c>
      <c r="AF215" s="50"/>
      <c r="AG215" s="33">
        <f t="shared" si="169"/>
        <v>5000</v>
      </c>
      <c r="AH215" s="33">
        <f>SUM(D186:D332)</f>
        <v>459978026.35152841</v>
      </c>
      <c r="AI215" s="231">
        <f t="shared" si="170"/>
        <v>-3.0632027917797598E-2</v>
      </c>
      <c r="AJ215" s="50"/>
      <c r="AK215" s="10"/>
      <c r="AL215" s="23">
        <f t="shared" si="171"/>
        <v>38320</v>
      </c>
      <c r="AM215" s="24"/>
      <c r="AN215" s="24"/>
      <c r="AO215" s="24">
        <v>178263</v>
      </c>
      <c r="AP215" s="24">
        <v>5128162</v>
      </c>
      <c r="AQ215" s="24"/>
      <c r="AR215" s="504">
        <f t="shared" si="172"/>
        <v>7.5287209308265365E-3</v>
      </c>
      <c r="AS215" s="25"/>
      <c r="AT215" s="25"/>
      <c r="AU215" s="24"/>
      <c r="AV215" s="341">
        <f t="shared" si="173"/>
        <v>0.64166207248800611</v>
      </c>
      <c r="AW215" s="341"/>
      <c r="AX215" s="24">
        <f t="shared" si="174"/>
        <v>24893.990291262136</v>
      </c>
      <c r="AY215" s="351"/>
      <c r="AZ215" s="391"/>
      <c r="BA215" s="66">
        <f t="shared" si="175"/>
        <v>885476</v>
      </c>
      <c r="BB215" s="67"/>
      <c r="BC215" s="67">
        <v>118486898</v>
      </c>
      <c r="BD215" s="67"/>
      <c r="BE215" s="67">
        <f t="shared" si="176"/>
        <v>41935</v>
      </c>
      <c r="BF215" s="67"/>
      <c r="BG215" s="156">
        <f t="shared" si="177"/>
        <v>4.7358708762292825E-2</v>
      </c>
      <c r="BH215" s="67"/>
      <c r="BI215" s="183"/>
      <c r="BJ215" s="67"/>
      <c r="BK215" s="67">
        <f t="shared" si="178"/>
        <v>7016632</v>
      </c>
      <c r="BL215" s="67"/>
      <c r="BM215" s="156">
        <f t="shared" si="179"/>
        <v>0</v>
      </c>
      <c r="BN215" s="66">
        <f t="shared" si="180"/>
        <v>575179.11650485441</v>
      </c>
      <c r="BO215" s="67"/>
      <c r="BP215" s="67">
        <f t="shared" si="181"/>
        <v>7649351</v>
      </c>
      <c r="BQ215" s="67"/>
      <c r="BR215" s="478">
        <f t="shared" si="182"/>
        <v>6.4558623182117567E-2</v>
      </c>
      <c r="BS215" s="67"/>
      <c r="BT215" s="86"/>
      <c r="BU215" s="183"/>
      <c r="BV215" s="1"/>
      <c r="BW215" s="61">
        <f t="shared" si="160"/>
        <v>206</v>
      </c>
    </row>
    <row r="216" spans="2:75" x14ac:dyDescent="0.3">
      <c r="B216" s="171">
        <f t="shared" si="159"/>
        <v>44116</v>
      </c>
      <c r="C216" s="61"/>
      <c r="D216" s="17">
        <v>45791</v>
      </c>
      <c r="E216" s="16"/>
      <c r="F216" s="16"/>
      <c r="G216" s="16"/>
      <c r="H216" s="16">
        <f t="shared" si="163"/>
        <v>8037789</v>
      </c>
      <c r="I216" s="16"/>
      <c r="J216" s="479">
        <f t="shared" si="164"/>
        <v>5.7296060384399499E-3</v>
      </c>
      <c r="K216" s="16"/>
      <c r="L216" s="16"/>
      <c r="M216" s="16"/>
      <c r="N216" s="16">
        <f t="shared" si="183"/>
        <v>354288</v>
      </c>
      <c r="O216" s="16">
        <f t="shared" si="165"/>
        <v>38829.89855072464</v>
      </c>
      <c r="P216" s="41"/>
      <c r="Q216" s="453"/>
      <c r="R216" s="16"/>
      <c r="S216" s="60"/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6"/>
        <v>220011</v>
      </c>
      <c r="AB216" s="33"/>
      <c r="AC216" s="46">
        <f t="shared" si="167"/>
        <v>2.7372079560685159E-2</v>
      </c>
      <c r="AD216" s="33"/>
      <c r="AE216" s="33">
        <f t="shared" si="168"/>
        <v>1062.855072463768</v>
      </c>
      <c r="AF216" s="50"/>
      <c r="AG216" s="33">
        <f t="shared" si="169"/>
        <v>4968</v>
      </c>
      <c r="AH216" s="33">
        <f>SUM(D187:D333)</f>
        <v>459938744.35152841</v>
      </c>
      <c r="AI216" s="231">
        <f t="shared" si="170"/>
        <v>-3.5527082119976704E-2</v>
      </c>
      <c r="AJ216" s="50"/>
      <c r="AK216" s="10"/>
      <c r="AL216" s="23">
        <f t="shared" si="171"/>
        <v>56453</v>
      </c>
      <c r="AM216" s="24"/>
      <c r="AN216" s="24"/>
      <c r="AO216" s="24">
        <v>178263</v>
      </c>
      <c r="AP216" s="24">
        <v>5184615</v>
      </c>
      <c r="AQ216" s="24"/>
      <c r="AR216" s="504">
        <f t="shared" si="172"/>
        <v>1.1008427580875954E-2</v>
      </c>
      <c r="AS216" s="25"/>
      <c r="AT216" s="25"/>
      <c r="AU216" s="24"/>
      <c r="AV216" s="341">
        <f t="shared" si="173"/>
        <v>0.64502999518897552</v>
      </c>
      <c r="AW216" s="341"/>
      <c r="AX216" s="24">
        <f t="shared" si="174"/>
        <v>25046.44927536232</v>
      </c>
      <c r="AY216" s="351"/>
      <c r="AZ216" s="10"/>
      <c r="BA216" s="66">
        <f t="shared" si="175"/>
        <v>1010726</v>
      </c>
      <c r="BB216" s="67"/>
      <c r="BC216" s="67">
        <v>119497624</v>
      </c>
      <c r="BD216" s="67"/>
      <c r="BE216" s="67">
        <f t="shared" si="176"/>
        <v>45791</v>
      </c>
      <c r="BF216" s="67"/>
      <c r="BG216" s="156">
        <f t="shared" si="177"/>
        <v>4.5305057948444978E-2</v>
      </c>
      <c r="BH216" s="67"/>
      <c r="BI216" s="183"/>
      <c r="BJ216" s="67"/>
      <c r="BK216" s="67">
        <f t="shared" si="178"/>
        <v>7125450</v>
      </c>
      <c r="BL216" s="67"/>
      <c r="BM216" s="156">
        <f t="shared" si="179"/>
        <v>0</v>
      </c>
      <c r="BN216" s="66">
        <f t="shared" si="180"/>
        <v>577283.20772946859</v>
      </c>
      <c r="BO216" s="67"/>
      <c r="BP216" s="67">
        <f t="shared" si="181"/>
        <v>7695142</v>
      </c>
      <c r="BQ216" s="67"/>
      <c r="BR216" s="478">
        <f t="shared" si="182"/>
        <v>6.4395774095056479E-2</v>
      </c>
      <c r="BS216" s="67"/>
      <c r="BT216" s="86"/>
      <c r="BU216" s="183"/>
      <c r="BV216" s="1"/>
      <c r="BW216" s="61">
        <f t="shared" ref="BW216:BW244" si="184">+BW215+1</f>
        <v>207</v>
      </c>
    </row>
    <row r="217" spans="2:75" x14ac:dyDescent="0.3">
      <c r="B217" s="171">
        <f t="shared" si="159"/>
        <v>44117</v>
      </c>
      <c r="C217" s="61"/>
      <c r="D217" s="17">
        <v>51534</v>
      </c>
      <c r="E217" s="16"/>
      <c r="F217" s="16"/>
      <c r="G217" s="16"/>
      <c r="H217" s="16">
        <f t="shared" si="163"/>
        <v>8089323</v>
      </c>
      <c r="I217" s="16"/>
      <c r="J217" s="479">
        <f t="shared" si="164"/>
        <v>6.4114646453147751E-3</v>
      </c>
      <c r="K217" s="16"/>
      <c r="L217" s="16"/>
      <c r="M217" s="16"/>
      <c r="N217" s="16">
        <f t="shared" si="183"/>
        <v>361154</v>
      </c>
      <c r="O217" s="16">
        <f t="shared" si="165"/>
        <v>38890.975961538461</v>
      </c>
      <c r="P217" s="41"/>
      <c r="Q217" s="453"/>
      <c r="R217" s="16"/>
      <c r="S217" s="60"/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6"/>
        <v>220854</v>
      </c>
      <c r="AB217" s="33"/>
      <c r="AC217" s="46">
        <f t="shared" si="167"/>
        <v>2.7301913893165101E-2</v>
      </c>
      <c r="AD217" s="33"/>
      <c r="AE217" s="33">
        <f t="shared" si="168"/>
        <v>1061.7980769230769</v>
      </c>
      <c r="AF217" s="50"/>
      <c r="AG217" s="33">
        <f t="shared" si="169"/>
        <v>5003</v>
      </c>
      <c r="AH217" s="33">
        <f>SUM(D188:D334)</f>
        <v>459906887.35152841</v>
      </c>
      <c r="AI217" s="231">
        <f t="shared" si="170"/>
        <v>4.2151746286631878E-3</v>
      </c>
      <c r="AJ217" s="50"/>
      <c r="AK217" s="10"/>
      <c r="AL217" s="23">
        <f t="shared" si="171"/>
        <v>41812</v>
      </c>
      <c r="AM217" s="24"/>
      <c r="AN217" s="24"/>
      <c r="AO217" s="24">
        <v>178263</v>
      </c>
      <c r="AP217" s="24">
        <v>5226427</v>
      </c>
      <c r="AQ217" s="24"/>
      <c r="AR217" s="504">
        <f t="shared" si="172"/>
        <v>8.0646296783849908E-3</v>
      </c>
      <c r="AS217" s="25"/>
      <c r="AT217" s="25"/>
      <c r="AU217" s="24"/>
      <c r="AV217" s="341">
        <f t="shared" si="173"/>
        <v>0.64608954296917065</v>
      </c>
      <c r="AW217" s="341"/>
      <c r="AX217" s="24">
        <f t="shared" si="174"/>
        <v>25127.052884615383</v>
      </c>
      <c r="AY217" s="351"/>
      <c r="AZ217" s="10"/>
      <c r="BA217" s="66">
        <f t="shared" si="175"/>
        <v>1025948</v>
      </c>
      <c r="BB217" s="67"/>
      <c r="BC217" s="67">
        <v>120523572</v>
      </c>
      <c r="BD217" s="67"/>
      <c r="BE217" s="67">
        <f t="shared" si="176"/>
        <v>51534</v>
      </c>
      <c r="BF217" s="67"/>
      <c r="BG217" s="156">
        <f t="shared" si="177"/>
        <v>5.0230615976638193E-2</v>
      </c>
      <c r="BH217" s="67"/>
      <c r="BI217" s="183"/>
      <c r="BJ217" s="67"/>
      <c r="BK217" s="67">
        <f t="shared" si="178"/>
        <v>7204254</v>
      </c>
      <c r="BL217" s="67"/>
      <c r="BM217" s="156">
        <f t="shared" si="179"/>
        <v>0</v>
      </c>
      <c r="BN217" s="66">
        <f t="shared" si="180"/>
        <v>579440.25</v>
      </c>
      <c r="BO217" s="67"/>
      <c r="BP217" s="67">
        <f t="shared" si="181"/>
        <v>7746676</v>
      </c>
      <c r="BQ217" s="67"/>
      <c r="BR217" s="478">
        <f t="shared" si="182"/>
        <v>6.4275194233373703E-2</v>
      </c>
      <c r="BS217" s="67"/>
      <c r="BT217" s="86"/>
      <c r="BU217" s="183"/>
      <c r="BV217" s="1"/>
      <c r="BW217" s="61">
        <f t="shared" si="184"/>
        <v>208</v>
      </c>
    </row>
    <row r="218" spans="2:75" x14ac:dyDescent="0.3">
      <c r="B218" s="171">
        <f t="shared" si="159"/>
        <v>44118</v>
      </c>
      <c r="C218" s="61"/>
      <c r="D218" s="17">
        <v>59693</v>
      </c>
      <c r="E218" s="16"/>
      <c r="F218" s="16"/>
      <c r="G218" s="16"/>
      <c r="H218" s="16">
        <f t="shared" si="163"/>
        <v>8149016</v>
      </c>
      <c r="I218" s="16"/>
      <c r="J218" s="479">
        <f t="shared" si="164"/>
        <v>7.3792330952788011E-3</v>
      </c>
      <c r="K218" s="16"/>
      <c r="L218" s="16"/>
      <c r="M218" s="16"/>
      <c r="N218" s="16">
        <f t="shared" si="183"/>
        <v>371489</v>
      </c>
      <c r="O218" s="16">
        <f t="shared" si="165"/>
        <v>38990.507177033491</v>
      </c>
      <c r="P218" s="41"/>
      <c r="Q218" s="453"/>
      <c r="R218" s="16"/>
      <c r="S218" s="60"/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6"/>
        <v>221824</v>
      </c>
      <c r="AB218" s="33"/>
      <c r="AC218" s="46">
        <f t="shared" si="167"/>
        <v>2.722095526625546E-2</v>
      </c>
      <c r="AD218" s="33"/>
      <c r="AE218" s="33">
        <f t="shared" si="168"/>
        <v>1061.3588516746411</v>
      </c>
      <c r="AF218" s="50"/>
      <c r="AG218" s="33">
        <f t="shared" si="169"/>
        <v>5043</v>
      </c>
      <c r="AH218" s="33">
        <f>SUM(D189:D335)</f>
        <v>459868815.35152841</v>
      </c>
      <c r="AI218" s="231">
        <f t="shared" si="170"/>
        <v>1.7349203147064757E-2</v>
      </c>
      <c r="AJ218" s="50"/>
      <c r="AK218" s="10"/>
      <c r="AL218" s="23">
        <f t="shared" si="171"/>
        <v>52326</v>
      </c>
      <c r="AM218" s="24"/>
      <c r="AN218" s="24"/>
      <c r="AO218" s="24">
        <v>178263</v>
      </c>
      <c r="AP218" s="24">
        <v>5278753</v>
      </c>
      <c r="AQ218" s="24"/>
      <c r="AR218" s="504">
        <f t="shared" si="172"/>
        <v>1.0011811128329162E-2</v>
      </c>
      <c r="AS218" s="25"/>
      <c r="AT218" s="25"/>
      <c r="AU218" s="24"/>
      <c r="AV218" s="341">
        <f t="shared" si="173"/>
        <v>0.64777796484876216</v>
      </c>
      <c r="AW218" s="341"/>
      <c r="AX218" s="24">
        <f t="shared" si="174"/>
        <v>25257.191387559807</v>
      </c>
      <c r="AY218" s="351"/>
      <c r="AZ218" s="10"/>
      <c r="BA218" s="66">
        <f t="shared" si="175"/>
        <v>1043566</v>
      </c>
      <c r="BB218" s="67"/>
      <c r="BC218" s="67">
        <v>121567138</v>
      </c>
      <c r="BD218" s="67"/>
      <c r="BE218" s="67">
        <f t="shared" si="176"/>
        <v>59693</v>
      </c>
      <c r="BF218" s="67"/>
      <c r="BG218" s="156">
        <f t="shared" si="177"/>
        <v>5.7200982017428702E-2</v>
      </c>
      <c r="BH218" s="67"/>
      <c r="BI218" s="183"/>
      <c r="BJ218" s="67"/>
      <c r="BK218" s="67">
        <f t="shared" si="178"/>
        <v>7408289</v>
      </c>
      <c r="BL218" s="67"/>
      <c r="BM218" s="156">
        <f t="shared" si="179"/>
        <v>0</v>
      </c>
      <c r="BN218" s="66">
        <f t="shared" si="180"/>
        <v>581660.94736842101</v>
      </c>
      <c r="BO218" s="67"/>
      <c r="BP218" s="67">
        <f t="shared" si="181"/>
        <v>7806369</v>
      </c>
      <c r="BQ218" s="67"/>
      <c r="BR218" s="478">
        <f t="shared" si="182"/>
        <v>6.4214467235380671E-2</v>
      </c>
      <c r="BS218" s="67"/>
      <c r="BT218" s="86"/>
      <c r="BU218" s="183"/>
      <c r="BV218" s="1"/>
      <c r="BW218" s="61">
        <f t="shared" si="184"/>
        <v>209</v>
      </c>
    </row>
    <row r="219" spans="2:75" x14ac:dyDescent="0.3">
      <c r="B219" s="171">
        <f t="shared" si="159"/>
        <v>44119</v>
      </c>
      <c r="C219" s="61"/>
      <c r="D219" s="17">
        <v>66129</v>
      </c>
      <c r="E219" s="16"/>
      <c r="F219" s="16"/>
      <c r="G219" s="16"/>
      <c r="H219" s="16">
        <f t="shared" si="163"/>
        <v>8215145</v>
      </c>
      <c r="I219" s="16"/>
      <c r="J219" s="479">
        <f t="shared" si="164"/>
        <v>8.1149675003705964E-3</v>
      </c>
      <c r="K219" s="16"/>
      <c r="L219" s="16"/>
      <c r="M219" s="16"/>
      <c r="N219" s="16">
        <f t="shared" si="183"/>
        <v>380300</v>
      </c>
      <c r="O219" s="16">
        <f t="shared" si="165"/>
        <v>39119.738095238092</v>
      </c>
      <c r="P219" s="41"/>
      <c r="Q219" s="453"/>
      <c r="R219" s="16"/>
      <c r="S219" s="60"/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6"/>
        <v>222698</v>
      </c>
      <c r="AB219" s="33"/>
      <c r="AC219" s="46">
        <f t="shared" si="167"/>
        <v>2.7108225113494651E-2</v>
      </c>
      <c r="AD219" s="33"/>
      <c r="AE219" s="33">
        <f t="shared" si="168"/>
        <v>1060.4666666666667</v>
      </c>
      <c r="AF219" s="50"/>
      <c r="AG219" s="33">
        <f t="shared" si="169"/>
        <v>4960</v>
      </c>
      <c r="AH219" s="33">
        <f>SUM(D190:D336)</f>
        <v>459832368.35152841</v>
      </c>
      <c r="AI219" s="231">
        <f t="shared" si="170"/>
        <v>-6.8081698037645178E-3</v>
      </c>
      <c r="AJ219" s="50"/>
      <c r="AK219" s="10"/>
      <c r="AL219" s="23">
        <f t="shared" si="171"/>
        <v>41386</v>
      </c>
      <c r="AM219" s="24"/>
      <c r="AN219" s="24"/>
      <c r="AO219" s="24">
        <v>178263</v>
      </c>
      <c r="AP219" s="24">
        <v>5320139</v>
      </c>
      <c r="AQ219" s="24"/>
      <c r="AR219" s="504">
        <f t="shared" si="172"/>
        <v>7.8401092076102064E-3</v>
      </c>
      <c r="AS219" s="25"/>
      <c r="AT219" s="25"/>
      <c r="AU219" s="24"/>
      <c r="AV219" s="341">
        <f t="shared" si="173"/>
        <v>0.64760135091955162</v>
      </c>
      <c r="AW219" s="341"/>
      <c r="AX219" s="24">
        <f t="shared" si="174"/>
        <v>25333.995238095238</v>
      </c>
      <c r="AY219" s="351"/>
      <c r="AZ219" s="10"/>
      <c r="BA219" s="66">
        <f t="shared" si="175"/>
        <v>1128210</v>
      </c>
      <c r="BB219" s="67"/>
      <c r="BC219" s="67">
        <v>122695348</v>
      </c>
      <c r="BD219" s="67"/>
      <c r="BE219" s="67">
        <f t="shared" si="176"/>
        <v>66129</v>
      </c>
      <c r="BF219" s="67"/>
      <c r="BG219" s="156">
        <f t="shared" si="177"/>
        <v>5.8614087802802667E-2</v>
      </c>
      <c r="BH219" s="67"/>
      <c r="BI219" s="183"/>
      <c r="BJ219" s="67"/>
      <c r="BK219" s="67">
        <f t="shared" si="178"/>
        <v>7351533</v>
      </c>
      <c r="BL219" s="67"/>
      <c r="BM219" s="156">
        <f t="shared" si="179"/>
        <v>0</v>
      </c>
      <c r="BN219" s="66">
        <f t="shared" si="180"/>
        <v>584263.56190476194</v>
      </c>
      <c r="BO219" s="67"/>
      <c r="BP219" s="67">
        <f t="shared" si="181"/>
        <v>7872498</v>
      </c>
      <c r="BQ219" s="67"/>
      <c r="BR219" s="478">
        <f t="shared" si="182"/>
        <v>6.4162970547179995E-2</v>
      </c>
      <c r="BS219" s="67"/>
      <c r="BT219" s="86"/>
      <c r="BU219" s="183"/>
      <c r="BV219" s="1"/>
      <c r="BW219" s="61">
        <f t="shared" si="184"/>
        <v>210</v>
      </c>
    </row>
    <row r="220" spans="2:75" x14ac:dyDescent="0.3">
      <c r="B220" s="171">
        <f t="shared" si="159"/>
        <v>44120</v>
      </c>
      <c r="C220" s="61"/>
      <c r="D220" s="17">
        <v>71687</v>
      </c>
      <c r="E220" s="16"/>
      <c r="F220" s="16"/>
      <c r="G220" s="16"/>
      <c r="H220" s="16">
        <f t="shared" si="163"/>
        <v>8286832</v>
      </c>
      <c r="I220" s="16"/>
      <c r="J220" s="479">
        <f t="shared" si="164"/>
        <v>8.726200207056601E-3</v>
      </c>
      <c r="K220" s="16"/>
      <c r="L220" s="16"/>
      <c r="M220" s="16"/>
      <c r="N220" s="16">
        <f t="shared" si="183"/>
        <v>391004</v>
      </c>
      <c r="O220" s="16">
        <f t="shared" si="165"/>
        <v>39274.08530805687</v>
      </c>
      <c r="P220" s="41"/>
      <c r="Q220" s="453"/>
      <c r="R220" s="16"/>
      <c r="S220" s="60"/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6"/>
        <v>223626</v>
      </c>
      <c r="AB220" s="33"/>
      <c r="AC220" s="46">
        <f t="shared" si="167"/>
        <v>2.6985704549096688E-2</v>
      </c>
      <c r="AD220" s="33"/>
      <c r="AE220" s="33">
        <f t="shared" si="168"/>
        <v>1059.8388625592418</v>
      </c>
      <c r="AF220" s="50"/>
      <c r="AG220" s="33">
        <f t="shared" si="169"/>
        <v>4979</v>
      </c>
      <c r="AH220" s="33">
        <f>SUM(D191:D337)</f>
        <v>459792214.35152841</v>
      </c>
      <c r="AI220" s="231">
        <f t="shared" si="170"/>
        <v>-1.1907124429450288E-2</v>
      </c>
      <c r="AJ220" s="50"/>
      <c r="AK220" s="10"/>
      <c r="AL220" s="23">
        <f t="shared" si="171"/>
        <v>75262</v>
      </c>
      <c r="AM220" s="24"/>
      <c r="AN220" s="24"/>
      <c r="AO220" s="24">
        <v>178263</v>
      </c>
      <c r="AP220" s="24">
        <v>5395401</v>
      </c>
      <c r="AQ220" s="24"/>
      <c r="AR220" s="504">
        <f t="shared" si="172"/>
        <v>1.4146622860793675E-2</v>
      </c>
      <c r="AS220" s="25"/>
      <c r="AT220" s="25"/>
      <c r="AU220" s="24"/>
      <c r="AV220" s="341">
        <f t="shared" si="173"/>
        <v>0.6510812575903554</v>
      </c>
      <c r="AW220" s="341"/>
      <c r="AX220" s="24">
        <f t="shared" si="174"/>
        <v>25570.620853080567</v>
      </c>
      <c r="AY220" s="351"/>
      <c r="AZ220" s="10"/>
      <c r="BA220" s="66">
        <f t="shared" si="175"/>
        <v>1041099</v>
      </c>
      <c r="BB220" s="67"/>
      <c r="BC220" s="67">
        <v>123736447</v>
      </c>
      <c r="BD220" s="67"/>
      <c r="BE220" s="67">
        <f t="shared" si="176"/>
        <v>71687</v>
      </c>
      <c r="BF220" s="67"/>
      <c r="BG220" s="156">
        <f t="shared" si="177"/>
        <v>6.885704433488074E-2</v>
      </c>
      <c r="BH220" s="67"/>
      <c r="BI220" s="183"/>
      <c r="BJ220" s="67"/>
      <c r="BK220" s="67">
        <f t="shared" si="178"/>
        <v>7238312</v>
      </c>
      <c r="BL220" s="67"/>
      <c r="BM220" s="156">
        <f t="shared" si="179"/>
        <v>0</v>
      </c>
      <c r="BN220" s="66">
        <f t="shared" si="180"/>
        <v>586428.65876777249</v>
      </c>
      <c r="BO220" s="67"/>
      <c r="BP220" s="67">
        <f t="shared" si="181"/>
        <v>7944185</v>
      </c>
      <c r="BQ220" s="67"/>
      <c r="BR220" s="478">
        <f t="shared" si="182"/>
        <v>6.4202465745602025E-2</v>
      </c>
      <c r="BS220" s="67"/>
      <c r="BT220" s="86"/>
      <c r="BU220" s="183"/>
      <c r="BV220" s="1"/>
      <c r="BW220" s="61">
        <f t="shared" si="184"/>
        <v>211</v>
      </c>
    </row>
    <row r="221" spans="2:75" x14ac:dyDescent="0.3">
      <c r="B221" s="171">
        <f t="shared" si="159"/>
        <v>44121</v>
      </c>
      <c r="C221" s="61"/>
      <c r="D221" s="17">
        <v>54232</v>
      </c>
      <c r="E221" s="16"/>
      <c r="F221" s="16"/>
      <c r="G221" s="16"/>
      <c r="H221" s="16">
        <f t="shared" si="163"/>
        <v>8341064</v>
      </c>
      <c r="I221" s="16"/>
      <c r="J221" s="479">
        <f t="shared" si="164"/>
        <v>6.5443585679062881E-3</v>
      </c>
      <c r="K221" s="16"/>
      <c r="L221" s="16"/>
      <c r="M221" s="16"/>
      <c r="N221" s="16">
        <f t="shared" si="183"/>
        <v>391001</v>
      </c>
      <c r="O221" s="16">
        <f t="shared" si="165"/>
        <v>39344.641509433961</v>
      </c>
      <c r="P221" s="41"/>
      <c r="Q221" s="453"/>
      <c r="R221" s="16"/>
      <c r="S221" s="60"/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6"/>
        <v>224264</v>
      </c>
      <c r="AB221" s="33"/>
      <c r="AC221" s="46">
        <f t="shared" si="167"/>
        <v>2.6886737711160111E-2</v>
      </c>
      <c r="AD221" s="33"/>
      <c r="AE221" s="33">
        <f t="shared" si="168"/>
        <v>1057.8490566037735</v>
      </c>
      <c r="AF221" s="50"/>
      <c r="AG221" s="33">
        <f t="shared" si="169"/>
        <v>4894</v>
      </c>
      <c r="AH221" s="33">
        <f>SUM(D192:D338)</f>
        <v>459745919.35152841</v>
      </c>
      <c r="AI221" s="231">
        <f t="shared" si="170"/>
        <v>-2.25684042340723E-2</v>
      </c>
      <c r="AJ221" s="50"/>
      <c r="AK221" s="10"/>
      <c r="AL221" s="23">
        <f t="shared" si="171"/>
        <v>36791</v>
      </c>
      <c r="AM221" s="24"/>
      <c r="AN221" s="24"/>
      <c r="AO221" s="24">
        <v>178263</v>
      </c>
      <c r="AP221" s="24">
        <v>5432192</v>
      </c>
      <c r="AQ221" s="24"/>
      <c r="AR221" s="504">
        <f t="shared" si="172"/>
        <v>6.8189556253557427E-3</v>
      </c>
      <c r="AS221" s="25"/>
      <c r="AT221" s="25"/>
      <c r="AU221" s="24"/>
      <c r="AV221" s="341">
        <f t="shared" si="173"/>
        <v>0.65125888016205125</v>
      </c>
      <c r="AW221" s="341"/>
      <c r="AX221" s="24">
        <f t="shared" si="174"/>
        <v>25623.547169811322</v>
      </c>
      <c r="AY221" s="351"/>
      <c r="AZ221" s="10"/>
      <c r="BA221" s="66">
        <f t="shared" si="175"/>
        <v>1056221</v>
      </c>
      <c r="BB221" s="67"/>
      <c r="BC221" s="67">
        <v>124792668</v>
      </c>
      <c r="BD221" s="67"/>
      <c r="BE221" s="67">
        <f t="shared" si="176"/>
        <v>54232</v>
      </c>
      <c r="BF221" s="67"/>
      <c r="BG221" s="156">
        <f t="shared" si="177"/>
        <v>5.1345315042969228E-2</v>
      </c>
      <c r="BH221" s="67"/>
      <c r="BI221" s="183"/>
      <c r="BJ221" s="67"/>
      <c r="BK221" s="67">
        <f t="shared" si="178"/>
        <v>7191246</v>
      </c>
      <c r="BL221" s="67"/>
      <c r="BM221" s="156">
        <f t="shared" si="179"/>
        <v>0</v>
      </c>
      <c r="BN221" s="66">
        <f t="shared" si="180"/>
        <v>588644.66037735844</v>
      </c>
      <c r="BO221" s="67"/>
      <c r="BP221" s="67">
        <f t="shared" si="181"/>
        <v>7998417</v>
      </c>
      <c r="BQ221" s="67"/>
      <c r="BR221" s="478">
        <f t="shared" si="182"/>
        <v>6.4093645309354227E-2</v>
      </c>
      <c r="BS221" s="67"/>
      <c r="BT221" s="86"/>
      <c r="BU221" s="183"/>
      <c r="BV221" s="1"/>
      <c r="BW221" s="61">
        <f t="shared" si="184"/>
        <v>212</v>
      </c>
    </row>
    <row r="222" spans="2:75" x14ac:dyDescent="0.3">
      <c r="B222" s="390">
        <f t="shared" si="159"/>
        <v>44122</v>
      </c>
      <c r="C222" s="61"/>
      <c r="D222" s="17">
        <v>44941</v>
      </c>
      <c r="E222" s="16"/>
      <c r="F222" s="16"/>
      <c r="G222" s="16"/>
      <c r="H222" s="16">
        <f t="shared" si="163"/>
        <v>8386005</v>
      </c>
      <c r="I222" s="16"/>
      <c r="J222" s="479">
        <f t="shared" si="164"/>
        <v>5.3879217327669465E-3</v>
      </c>
      <c r="K222" s="16"/>
      <c r="L222" s="16"/>
      <c r="M222" s="16"/>
      <c r="N222" s="16">
        <f t="shared" si="183"/>
        <v>394007</v>
      </c>
      <c r="O222" s="16">
        <f t="shared" si="165"/>
        <v>39370.915492957749</v>
      </c>
      <c r="P222" s="41"/>
      <c r="Q222" s="453"/>
      <c r="R222" s="16"/>
      <c r="S222" s="60"/>
      <c r="T222" s="16"/>
      <c r="U222" s="41"/>
      <c r="V222" s="391">
        <f t="shared" si="109"/>
        <v>114</v>
      </c>
      <c r="W222" s="34">
        <v>448</v>
      </c>
      <c r="X222" s="33"/>
      <c r="Y222" s="33"/>
      <c r="Z222" s="33"/>
      <c r="AA222" s="33">
        <f t="shared" si="166"/>
        <v>224712</v>
      </c>
      <c r="AB222" s="33"/>
      <c r="AC222" s="46">
        <f t="shared" si="167"/>
        <v>2.6796072742622978E-2</v>
      </c>
      <c r="AD222" s="33"/>
      <c r="AE222" s="33">
        <f t="shared" si="168"/>
        <v>1054.9859154929577</v>
      </c>
      <c r="AF222" s="50"/>
      <c r="AG222" s="33">
        <f t="shared" si="169"/>
        <v>5017</v>
      </c>
      <c r="AH222" s="33">
        <f>SUM(D193:D339)</f>
        <v>459694574.35152841</v>
      </c>
      <c r="AI222" s="231">
        <f t="shared" si="170"/>
        <v>3.3999999999999998E-3</v>
      </c>
      <c r="AJ222" s="50"/>
      <c r="AK222" s="10"/>
      <c r="AL222" s="23">
        <f t="shared" si="171"/>
        <v>25492</v>
      </c>
      <c r="AM222" s="24"/>
      <c r="AN222" s="24"/>
      <c r="AO222" s="24">
        <v>178263</v>
      </c>
      <c r="AP222" s="24">
        <v>5457684</v>
      </c>
      <c r="AQ222" s="24"/>
      <c r="AR222" s="504">
        <f t="shared" si="172"/>
        <v>4.6927649096350057E-3</v>
      </c>
      <c r="AS222" s="25"/>
      <c r="AT222" s="25"/>
      <c r="AU222" s="24"/>
      <c r="AV222" s="341">
        <f t="shared" si="173"/>
        <v>0.65080857929371616</v>
      </c>
      <c r="AW222" s="341"/>
      <c r="AX222" s="24">
        <f t="shared" si="174"/>
        <v>25622.929577464787</v>
      </c>
      <c r="AY222" s="351"/>
      <c r="AZ222" s="391"/>
      <c r="BA222" s="66">
        <f t="shared" si="175"/>
        <v>891213</v>
      </c>
      <c r="BB222" s="67"/>
      <c r="BC222" s="67">
        <v>125683881</v>
      </c>
      <c r="BD222" s="67"/>
      <c r="BE222" s="67">
        <f t="shared" si="176"/>
        <v>44941</v>
      </c>
      <c r="BF222" s="67"/>
      <c r="BG222" s="156">
        <f t="shared" si="177"/>
        <v>5.0426777885870154E-2</v>
      </c>
      <c r="BH222" s="67"/>
      <c r="BI222" s="183"/>
      <c r="BJ222" s="67"/>
      <c r="BK222" s="67">
        <f t="shared" si="178"/>
        <v>7196983</v>
      </c>
      <c r="BL222" s="67"/>
      <c r="BM222" s="156">
        <f t="shared" si="179"/>
        <v>0</v>
      </c>
      <c r="BN222" s="66">
        <f t="shared" si="180"/>
        <v>590065.1690140845</v>
      </c>
      <c r="BO222" s="67"/>
      <c r="BP222" s="67">
        <f t="shared" si="181"/>
        <v>8043358</v>
      </c>
      <c r="BQ222" s="67"/>
      <c r="BR222" s="478">
        <f t="shared" si="182"/>
        <v>6.39967347921091E-2</v>
      </c>
      <c r="BS222" s="67"/>
      <c r="BT222" s="86"/>
      <c r="BU222" s="183"/>
      <c r="BV222" s="1"/>
      <c r="BW222" s="61">
        <f t="shared" si="184"/>
        <v>213</v>
      </c>
    </row>
    <row r="223" spans="2:75" x14ac:dyDescent="0.3">
      <c r="B223" s="171">
        <f t="shared" si="159"/>
        <v>44123</v>
      </c>
      <c r="C223" s="61"/>
      <c r="D223" s="17">
        <v>57327</v>
      </c>
      <c r="E223" s="16"/>
      <c r="F223" s="16"/>
      <c r="G223" s="16"/>
      <c r="H223" s="16">
        <f t="shared" ref="H223:H229" si="185">+H222+D223</f>
        <v>8443332</v>
      </c>
      <c r="I223" s="16"/>
      <c r="J223" s="479">
        <f t="shared" ref="J223:J229" si="186">+D223/H222</f>
        <v>6.8360321750344771E-3</v>
      </c>
      <c r="K223" s="16"/>
      <c r="L223" s="16"/>
      <c r="M223" s="16"/>
      <c r="N223" s="16">
        <f t="shared" ref="N223:N229" si="187">SUM(D217:D223)</f>
        <v>405543</v>
      </c>
      <c r="O223" s="16">
        <f t="shared" ref="O223:O229" si="188">+H223/BW223</f>
        <v>39454.82242990654</v>
      </c>
      <c r="P223" s="41"/>
      <c r="Q223" s="453"/>
      <c r="R223" s="16"/>
      <c r="S223" s="60"/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89">+AA222+W223</f>
        <v>225154</v>
      </c>
      <c r="AB223" s="33"/>
      <c r="AC223" s="46">
        <f t="shared" ref="AC223:AC229" si="190">+AA223/H223</f>
        <v>2.6666486642950911E-2</v>
      </c>
      <c r="AD223" s="33"/>
      <c r="AE223" s="33">
        <f t="shared" ref="AE223:AE229" si="191">+AA223/BW223</f>
        <v>1052.1214953271028</v>
      </c>
      <c r="AF223" s="50"/>
      <c r="AG223" s="33">
        <f t="shared" ref="AG223:AG229" si="192">SUM(W217:W223)</f>
        <v>5143</v>
      </c>
      <c r="AH223" s="33">
        <f>SUM(D194:D340)</f>
        <v>459650961.35152841</v>
      </c>
      <c r="AI223" s="231">
        <f t="shared" ref="AI223:AI229" si="193">+(AG223-AG216)/AG216</f>
        <v>3.5225442834138483E-2</v>
      </c>
      <c r="AJ223" s="50"/>
      <c r="AK223" s="10"/>
      <c r="AL223" s="23">
        <f t="shared" ref="AL223:AL229" si="194">+AP223-AP222</f>
        <v>45584</v>
      </c>
      <c r="AM223" s="24"/>
      <c r="AN223" s="24"/>
      <c r="AO223" s="24">
        <v>178263</v>
      </c>
      <c r="AP223" s="24">
        <v>5503268</v>
      </c>
      <c r="AQ223" s="24"/>
      <c r="AR223" s="504">
        <f t="shared" ref="AR223:AR229" si="195">+AL223/AP222</f>
        <v>8.3522607758162622E-3</v>
      </c>
      <c r="AS223" s="25"/>
      <c r="AT223" s="25"/>
      <c r="AU223" s="24"/>
      <c r="AV223" s="341">
        <f t="shared" ref="AV223:AV229" si="196">+AP223/H223</f>
        <v>0.65178865405268915</v>
      </c>
      <c r="AW223" s="341"/>
      <c r="AX223" s="24">
        <f t="shared" ref="AX223:AX229" si="197">+AP223/BW223</f>
        <v>25716.205607476637</v>
      </c>
      <c r="AY223" s="351"/>
      <c r="AZ223" s="10"/>
      <c r="BA223" s="66">
        <f t="shared" ref="BA223:BA229" si="198">+BC223-BC222</f>
        <v>1373226</v>
      </c>
      <c r="BB223" s="67"/>
      <c r="BC223" s="67">
        <v>127057107</v>
      </c>
      <c r="BD223" s="67"/>
      <c r="BE223" s="67">
        <f t="shared" ref="BE223:BE229" si="199">+D223</f>
        <v>57327</v>
      </c>
      <c r="BF223" s="67"/>
      <c r="BG223" s="156">
        <f t="shared" ref="BG223:BG229" si="200">+BE223/BA223</f>
        <v>4.1746223855359567E-2</v>
      </c>
      <c r="BH223" s="67"/>
      <c r="BI223" s="183"/>
      <c r="BJ223" s="67"/>
      <c r="BK223" s="67">
        <f t="shared" ref="BK223:BK229" si="201">SUM(BA217:BA223)</f>
        <v>7559483</v>
      </c>
      <c r="BL223" s="67"/>
      <c r="BM223" s="156">
        <f t="shared" ref="BM223:BM229" si="202">+Q223/BK223</f>
        <v>0</v>
      </c>
      <c r="BN223" s="66">
        <f t="shared" ref="BN223:BN229" si="203">+BC223/BW223</f>
        <v>593724.79906542052</v>
      </c>
      <c r="BO223" s="67"/>
      <c r="BP223" s="67">
        <f t="shared" ref="BP223:BP229" si="204">+BP222+BE223</f>
        <v>8100685</v>
      </c>
      <c r="BQ223" s="67"/>
      <c r="BR223" s="478">
        <f t="shared" ref="BR223:BR229" si="205">+BP223/BC223</f>
        <v>6.3756252532965352E-2</v>
      </c>
      <c r="BS223" s="67"/>
      <c r="BT223" s="86"/>
      <c r="BU223" s="183"/>
      <c r="BV223" s="1"/>
      <c r="BW223" s="61">
        <f t="shared" si="184"/>
        <v>214</v>
      </c>
    </row>
    <row r="224" spans="2:75" x14ac:dyDescent="0.3">
      <c r="B224" s="171">
        <f t="shared" si="159"/>
        <v>44124</v>
      </c>
      <c r="C224" s="61"/>
      <c r="D224" s="17">
        <v>62072</v>
      </c>
      <c r="E224" s="16"/>
      <c r="F224" s="16"/>
      <c r="G224" s="16"/>
      <c r="H224" s="16">
        <f t="shared" si="185"/>
        <v>8505404</v>
      </c>
      <c r="I224" s="16"/>
      <c r="J224" s="479">
        <f t="shared" si="186"/>
        <v>7.3516000555231041E-3</v>
      </c>
      <c r="K224" s="16"/>
      <c r="L224" s="16"/>
      <c r="M224" s="16"/>
      <c r="N224" s="16">
        <f t="shared" si="187"/>
        <v>416081</v>
      </c>
      <c r="O224" s="16">
        <f t="shared" si="188"/>
        <v>39560.018604651166</v>
      </c>
      <c r="P224" s="41"/>
      <c r="Q224" s="453"/>
      <c r="R224" s="16"/>
      <c r="S224" s="60"/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89"/>
        <v>226106</v>
      </c>
      <c r="AB224" s="33"/>
      <c r="AC224" s="46">
        <f t="shared" si="190"/>
        <v>2.6583804837489202E-2</v>
      </c>
      <c r="AD224" s="33"/>
      <c r="AE224" s="33">
        <f t="shared" si="191"/>
        <v>1051.6558139534884</v>
      </c>
      <c r="AF224" s="50"/>
      <c r="AG224" s="33">
        <f t="shared" si="192"/>
        <v>5252</v>
      </c>
      <c r="AH224" s="33">
        <f>SUM(D195:D341)</f>
        <v>459617575.35152841</v>
      </c>
      <c r="AI224" s="231">
        <f t="shared" si="193"/>
        <v>4.977013791724965E-2</v>
      </c>
      <c r="AJ224" s="50"/>
      <c r="AK224" s="10"/>
      <c r="AL224" s="23">
        <f t="shared" si="194"/>
        <v>42351</v>
      </c>
      <c r="AM224" s="24"/>
      <c r="AN224" s="24"/>
      <c r="AO224" s="24">
        <v>178263</v>
      </c>
      <c r="AP224" s="24">
        <v>5545619</v>
      </c>
      <c r="AQ224" s="24"/>
      <c r="AR224" s="504">
        <f t="shared" si="195"/>
        <v>7.6956092270992439E-3</v>
      </c>
      <c r="AS224" s="25"/>
      <c r="AT224" s="25"/>
      <c r="AU224" s="24"/>
      <c r="AV224" s="341">
        <f t="shared" si="196"/>
        <v>0.65201123897230517</v>
      </c>
      <c r="AW224" s="341"/>
      <c r="AX224" s="24">
        <f t="shared" si="197"/>
        <v>25793.576744186048</v>
      </c>
      <c r="AY224" s="351"/>
      <c r="AZ224" s="10"/>
      <c r="BA224" s="66">
        <f t="shared" si="198"/>
        <v>777769</v>
      </c>
      <c r="BB224" s="67"/>
      <c r="BC224" s="67">
        <v>127834876</v>
      </c>
      <c r="BD224" s="67"/>
      <c r="BE224" s="67">
        <f t="shared" si="199"/>
        <v>62072</v>
      </c>
      <c r="BF224" s="67"/>
      <c r="BG224" s="156">
        <f t="shared" si="200"/>
        <v>7.9807757830409803E-2</v>
      </c>
      <c r="BH224" s="67"/>
      <c r="BI224" s="183"/>
      <c r="BJ224" s="67"/>
      <c r="BK224" s="67">
        <f t="shared" si="201"/>
        <v>7311304</v>
      </c>
      <c r="BL224" s="67"/>
      <c r="BM224" s="156">
        <f t="shared" si="202"/>
        <v>0</v>
      </c>
      <c r="BN224" s="66">
        <f t="shared" si="203"/>
        <v>594580.81860465114</v>
      </c>
      <c r="BO224" s="67"/>
      <c r="BP224" s="67">
        <f t="shared" si="204"/>
        <v>8162757</v>
      </c>
      <c r="BQ224" s="67"/>
      <c r="BR224" s="478">
        <f t="shared" si="205"/>
        <v>6.3853912605195476E-2</v>
      </c>
      <c r="BS224" s="67"/>
      <c r="BT224" s="86"/>
      <c r="BU224" s="183"/>
      <c r="BV224" s="1"/>
      <c r="BW224" s="61">
        <f t="shared" si="184"/>
        <v>215</v>
      </c>
    </row>
    <row r="225" spans="2:75" x14ac:dyDescent="0.3">
      <c r="B225" s="171">
        <f t="shared" si="159"/>
        <v>44125</v>
      </c>
      <c r="C225" s="61"/>
      <c r="D225" s="17">
        <v>63663</v>
      </c>
      <c r="E225" s="16"/>
      <c r="F225" s="16"/>
      <c r="G225" s="16"/>
      <c r="H225" s="16">
        <f t="shared" si="185"/>
        <v>8569067</v>
      </c>
      <c r="I225" s="16"/>
      <c r="J225" s="479">
        <f t="shared" si="186"/>
        <v>7.4850060032421737E-3</v>
      </c>
      <c r="K225" s="16"/>
      <c r="L225" s="16"/>
      <c r="M225" s="16"/>
      <c r="N225" s="16">
        <f t="shared" si="187"/>
        <v>420051</v>
      </c>
      <c r="O225" s="16">
        <f t="shared" si="188"/>
        <v>39671.606481481482</v>
      </c>
      <c r="P225" s="41"/>
      <c r="Q225" s="453"/>
      <c r="R225" s="16"/>
      <c r="S225" s="60"/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89"/>
        <v>227331</v>
      </c>
      <c r="AB225" s="33"/>
      <c r="AC225" s="46">
        <f t="shared" si="190"/>
        <v>2.6529259253078544E-2</v>
      </c>
      <c r="AD225" s="33"/>
      <c r="AE225" s="33">
        <f t="shared" si="191"/>
        <v>1052.4583333333333</v>
      </c>
      <c r="AF225" s="50"/>
      <c r="AG225" s="33">
        <f t="shared" si="192"/>
        <v>5507</v>
      </c>
      <c r="AH225" s="33">
        <f>SUM(D196:D342)</f>
        <v>459580771.35152841</v>
      </c>
      <c r="AI225" s="231">
        <f t="shared" si="193"/>
        <v>9.2008724965298438E-2</v>
      </c>
      <c r="AJ225" s="50"/>
      <c r="AK225" s="10"/>
      <c r="AL225" s="23">
        <f t="shared" si="194"/>
        <v>56497</v>
      </c>
      <c r="AM225" s="24"/>
      <c r="AN225" s="24"/>
      <c r="AO225" s="24">
        <v>178263</v>
      </c>
      <c r="AP225" s="24">
        <v>5602116</v>
      </c>
      <c r="AQ225" s="24"/>
      <c r="AR225" s="504">
        <f t="shared" si="195"/>
        <v>1.0187681483347486E-2</v>
      </c>
      <c r="AS225" s="25"/>
      <c r="AT225" s="25"/>
      <c r="AU225" s="24"/>
      <c r="AV225" s="341">
        <f t="shared" si="196"/>
        <v>0.65376032186467903</v>
      </c>
      <c r="AW225" s="341"/>
      <c r="AX225" s="24">
        <f t="shared" si="197"/>
        <v>25935.722222222223</v>
      </c>
      <c r="AY225" s="351"/>
      <c r="AZ225" s="10"/>
      <c r="BA225" s="66">
        <f t="shared" si="198"/>
        <v>815281</v>
      </c>
      <c r="BB225" s="67"/>
      <c r="BC225" s="67">
        <v>128650157</v>
      </c>
      <c r="BD225" s="67"/>
      <c r="BE225" s="67">
        <f t="shared" si="199"/>
        <v>63663</v>
      </c>
      <c r="BF225" s="67"/>
      <c r="BG225" s="156">
        <f t="shared" si="200"/>
        <v>7.8087187117079876E-2</v>
      </c>
      <c r="BH225" s="67"/>
      <c r="BI225" s="183"/>
      <c r="BJ225" s="67"/>
      <c r="BK225" s="67">
        <f t="shared" si="201"/>
        <v>7083019</v>
      </c>
      <c r="BL225" s="67"/>
      <c r="BM225" s="156">
        <f t="shared" si="202"/>
        <v>0</v>
      </c>
      <c r="BN225" s="66">
        <f t="shared" si="203"/>
        <v>595602.57870370371</v>
      </c>
      <c r="BO225" s="67"/>
      <c r="BP225" s="67">
        <f t="shared" si="204"/>
        <v>8226420</v>
      </c>
      <c r="BQ225" s="67"/>
      <c r="BR225" s="478">
        <f t="shared" si="205"/>
        <v>6.3944111626696262E-2</v>
      </c>
      <c r="BS225" s="67"/>
      <c r="BT225" s="86"/>
      <c r="BU225" s="183"/>
      <c r="BV225" s="1"/>
      <c r="BW225" s="61">
        <f t="shared" si="184"/>
        <v>216</v>
      </c>
    </row>
    <row r="226" spans="2:75" x14ac:dyDescent="0.3">
      <c r="B226" s="171">
        <f t="shared" si="159"/>
        <v>44126</v>
      </c>
      <c r="C226" s="61"/>
      <c r="D226" s="17">
        <v>74301</v>
      </c>
      <c r="E226" s="16"/>
      <c r="F226" s="16"/>
      <c r="G226" s="16"/>
      <c r="H226" s="16">
        <f t="shared" si="185"/>
        <v>8643368</v>
      </c>
      <c r="I226" s="16"/>
      <c r="J226" s="479">
        <f t="shared" si="186"/>
        <v>8.6708389606476415E-3</v>
      </c>
      <c r="K226" s="16"/>
      <c r="L226" s="16"/>
      <c r="M226" s="16"/>
      <c r="N226" s="16">
        <f t="shared" si="187"/>
        <v>428223</v>
      </c>
      <c r="O226" s="16">
        <f t="shared" si="188"/>
        <v>39831.188940092165</v>
      </c>
      <c r="P226" s="41"/>
      <c r="Q226" s="453"/>
      <c r="R226" s="16"/>
      <c r="S226" s="60"/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89"/>
        <v>228304</v>
      </c>
      <c r="AB226" s="33"/>
      <c r="AC226" s="46">
        <f t="shared" si="190"/>
        <v>2.6413777592253392E-2</v>
      </c>
      <c r="AD226" s="33"/>
      <c r="AE226" s="33">
        <f t="shared" si="191"/>
        <v>1052.0921658986176</v>
      </c>
      <c r="AF226" s="50"/>
      <c r="AG226" s="33">
        <f t="shared" si="192"/>
        <v>5606</v>
      </c>
      <c r="AH226" s="33">
        <f>SUM(D197:D343)</f>
        <v>459545075.35152841</v>
      </c>
      <c r="AI226" s="231">
        <f t="shared" si="193"/>
        <v>0.13024193548387097</v>
      </c>
      <c r="AJ226" s="50"/>
      <c r="AK226" s="10"/>
      <c r="AL226" s="23">
        <f t="shared" si="194"/>
        <v>53185</v>
      </c>
      <c r="AM226" s="24"/>
      <c r="AN226" s="24"/>
      <c r="AO226" s="24">
        <v>178263</v>
      </c>
      <c r="AP226" s="24">
        <v>5655301</v>
      </c>
      <c r="AQ226" s="24"/>
      <c r="AR226" s="504">
        <f t="shared" si="195"/>
        <v>9.4937341533092145E-3</v>
      </c>
      <c r="AS226" s="25"/>
      <c r="AT226" s="25"/>
      <c r="AU226" s="24"/>
      <c r="AV226" s="341">
        <f t="shared" si="196"/>
        <v>0.65429367348468792</v>
      </c>
      <c r="AW226" s="341"/>
      <c r="AX226" s="24">
        <f t="shared" si="197"/>
        <v>26061.294930875578</v>
      </c>
      <c r="AY226" s="351"/>
      <c r="AZ226" s="10"/>
      <c r="BA226" s="66">
        <f t="shared" si="198"/>
        <v>1154411</v>
      </c>
      <c r="BB226" s="67"/>
      <c r="BC226" s="67">
        <v>129804568</v>
      </c>
      <c r="BD226" s="67"/>
      <c r="BE226" s="67">
        <f t="shared" si="199"/>
        <v>74301</v>
      </c>
      <c r="BF226" s="67"/>
      <c r="BG226" s="156">
        <f t="shared" si="200"/>
        <v>6.4362692316687897E-2</v>
      </c>
      <c r="BH226" s="67"/>
      <c r="BI226" s="183"/>
      <c r="BJ226" s="67"/>
      <c r="BK226" s="67">
        <f t="shared" si="201"/>
        <v>7109220</v>
      </c>
      <c r="BL226" s="67"/>
      <c r="BM226" s="156">
        <f t="shared" si="202"/>
        <v>0</v>
      </c>
      <c r="BN226" s="66">
        <f t="shared" si="203"/>
        <v>598177.73271889403</v>
      </c>
      <c r="BO226" s="67"/>
      <c r="BP226" s="67">
        <f t="shared" si="204"/>
        <v>8300721</v>
      </c>
      <c r="BQ226" s="67"/>
      <c r="BR226" s="478">
        <f t="shared" si="205"/>
        <v>6.3947834254954719E-2</v>
      </c>
      <c r="BS226" s="67"/>
      <c r="BT226" s="86"/>
      <c r="BU226" s="183"/>
      <c r="BV226" s="1"/>
      <c r="BW226" s="61">
        <f t="shared" si="184"/>
        <v>217</v>
      </c>
    </row>
    <row r="227" spans="2:75" x14ac:dyDescent="0.3">
      <c r="B227" s="171">
        <f t="shared" si="159"/>
        <v>44127</v>
      </c>
      <c r="C227" s="61"/>
      <c r="D227" s="17">
        <v>81414</v>
      </c>
      <c r="E227" s="16"/>
      <c r="F227" s="16"/>
      <c r="G227" s="16"/>
      <c r="H227" s="16">
        <f t="shared" si="185"/>
        <v>8724782</v>
      </c>
      <c r="I227" s="16"/>
      <c r="J227" s="479">
        <f t="shared" si="186"/>
        <v>9.4192449054581497E-3</v>
      </c>
      <c r="K227" s="16"/>
      <c r="L227" s="16"/>
      <c r="M227" s="16"/>
      <c r="N227" s="16">
        <f t="shared" si="187"/>
        <v>437950</v>
      </c>
      <c r="O227" s="16">
        <f t="shared" si="188"/>
        <v>40021.935779816515</v>
      </c>
      <c r="P227" s="41"/>
      <c r="Q227" s="453"/>
      <c r="R227" s="16"/>
      <c r="S227" s="60"/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89"/>
        <v>229207</v>
      </c>
      <c r="AB227" s="33"/>
      <c r="AC227" s="46">
        <f t="shared" si="190"/>
        <v>2.627079966009466E-2</v>
      </c>
      <c r="AD227" s="33"/>
      <c r="AE227" s="33">
        <f t="shared" si="191"/>
        <v>1051.4082568807339</v>
      </c>
      <c r="AF227" s="50"/>
      <c r="AG227" s="33">
        <f t="shared" si="192"/>
        <v>5581</v>
      </c>
      <c r="AH227" s="33">
        <f>SUM(D198:D344)</f>
        <v>459503459.35152841</v>
      </c>
      <c r="AI227" s="231">
        <f t="shared" si="193"/>
        <v>0.12090781281381803</v>
      </c>
      <c r="AJ227" s="50"/>
      <c r="AK227" s="10"/>
      <c r="AL227" s="23">
        <f t="shared" si="194"/>
        <v>42860</v>
      </c>
      <c r="AM227" s="24"/>
      <c r="AN227" s="24"/>
      <c r="AO227" s="24">
        <v>178263</v>
      </c>
      <c r="AP227" s="24">
        <v>5698161</v>
      </c>
      <c r="AQ227" s="24"/>
      <c r="AR227" s="504">
        <f t="shared" si="195"/>
        <v>7.5787301153378041E-3</v>
      </c>
      <c r="AS227" s="25"/>
      <c r="AT227" s="25"/>
      <c r="AU227" s="24"/>
      <c r="AV227" s="341">
        <f t="shared" si="196"/>
        <v>0.65310067346095291</v>
      </c>
      <c r="AW227" s="341"/>
      <c r="AX227" s="24">
        <f t="shared" si="197"/>
        <v>26138.353211009173</v>
      </c>
      <c r="AY227" s="351"/>
      <c r="AZ227" s="10"/>
      <c r="BA227" s="66">
        <f t="shared" si="198"/>
        <v>1252145</v>
      </c>
      <c r="BB227" s="67"/>
      <c r="BC227" s="67">
        <v>131056713</v>
      </c>
      <c r="BD227" s="67"/>
      <c r="BE227" s="67">
        <f t="shared" si="199"/>
        <v>81414</v>
      </c>
      <c r="BF227" s="67"/>
      <c r="BG227" s="156">
        <f t="shared" si="200"/>
        <v>6.501962632123276E-2</v>
      </c>
      <c r="BH227" s="67"/>
      <c r="BI227" s="183"/>
      <c r="BJ227" s="67"/>
      <c r="BK227" s="67">
        <f t="shared" si="201"/>
        <v>7320266</v>
      </c>
      <c r="BL227" s="67"/>
      <c r="BM227" s="156">
        <f t="shared" si="202"/>
        <v>0</v>
      </c>
      <c r="BN227" s="66">
        <f t="shared" si="203"/>
        <v>601177.58256880729</v>
      </c>
      <c r="BO227" s="67"/>
      <c r="BP227" s="67">
        <f t="shared" si="204"/>
        <v>8382135</v>
      </c>
      <c r="BQ227" s="67"/>
      <c r="BR227" s="478">
        <f t="shared" si="205"/>
        <v>6.3958074394861411E-2</v>
      </c>
      <c r="BS227" s="67"/>
      <c r="BT227" s="86"/>
      <c r="BU227" s="183"/>
      <c r="BV227" s="1"/>
      <c r="BW227" s="61">
        <f t="shared" si="184"/>
        <v>218</v>
      </c>
    </row>
    <row r="228" spans="2:75" x14ac:dyDescent="0.3">
      <c r="B228" s="171">
        <f t="shared" si="159"/>
        <v>44128</v>
      </c>
      <c r="C228" s="61"/>
      <c r="D228" s="17">
        <v>79449</v>
      </c>
      <c r="E228" s="16"/>
      <c r="F228" s="16"/>
      <c r="G228" s="16"/>
      <c r="H228" s="16">
        <f t="shared" si="185"/>
        <v>8804231</v>
      </c>
      <c r="I228" s="16"/>
      <c r="J228" s="479">
        <f t="shared" si="186"/>
        <v>9.1061301015887847E-3</v>
      </c>
      <c r="K228" s="16"/>
      <c r="L228" s="16"/>
      <c r="M228" s="16"/>
      <c r="N228" s="16">
        <f t="shared" si="187"/>
        <v>463167</v>
      </c>
      <c r="O228" s="16">
        <f t="shared" si="188"/>
        <v>40201.968036529681</v>
      </c>
      <c r="P228" s="41"/>
      <c r="Q228" s="453"/>
      <c r="R228" s="16"/>
      <c r="S228" s="60"/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89"/>
        <v>229991</v>
      </c>
      <c r="AB228" s="33"/>
      <c r="AC228" s="46">
        <f t="shared" si="190"/>
        <v>2.6122781194632443E-2</v>
      </c>
      <c r="AD228" s="33"/>
      <c r="AE228" s="33">
        <f t="shared" si="191"/>
        <v>1050.1872146118722</v>
      </c>
      <c r="AF228" s="50"/>
      <c r="AG228" s="33">
        <f t="shared" si="192"/>
        <v>5727</v>
      </c>
      <c r="AH228" s="33">
        <f>SUM(D199:D345)</f>
        <v>459458104.35152841</v>
      </c>
      <c r="AI228" s="231">
        <f t="shared" si="193"/>
        <v>0.17020841847159787</v>
      </c>
      <c r="AJ228" s="50"/>
      <c r="AK228" s="10"/>
      <c r="AL228" s="23">
        <f t="shared" si="194"/>
        <v>43450</v>
      </c>
      <c r="AM228" s="24"/>
      <c r="AN228" s="24"/>
      <c r="AO228" s="24">
        <v>178263</v>
      </c>
      <c r="AP228" s="24">
        <v>5741611</v>
      </c>
      <c r="AQ228" s="24"/>
      <c r="AR228" s="504">
        <f t="shared" si="195"/>
        <v>7.625267169530661E-3</v>
      </c>
      <c r="AS228" s="25"/>
      <c r="AT228" s="25"/>
      <c r="AU228" s="24"/>
      <c r="AV228" s="341">
        <f t="shared" si="196"/>
        <v>0.65214224842578528</v>
      </c>
      <c r="AW228" s="341"/>
      <c r="AX228" s="24">
        <f t="shared" si="197"/>
        <v>26217.40182648402</v>
      </c>
      <c r="AY228" s="351"/>
      <c r="AZ228" s="10"/>
      <c r="BA228" s="66">
        <f t="shared" si="198"/>
        <v>1151780</v>
      </c>
      <c r="BB228" s="67"/>
      <c r="BC228" s="67">
        <v>132208493</v>
      </c>
      <c r="BD228" s="67"/>
      <c r="BE228" s="67">
        <f t="shared" si="199"/>
        <v>79449</v>
      </c>
      <c r="BF228" s="67"/>
      <c r="BG228" s="156">
        <f t="shared" si="200"/>
        <v>6.8979318967163875E-2</v>
      </c>
      <c r="BH228" s="67"/>
      <c r="BI228" s="183"/>
      <c r="BJ228" s="67"/>
      <c r="BK228" s="67">
        <f t="shared" si="201"/>
        <v>7415825</v>
      </c>
      <c r="BL228" s="67"/>
      <c r="BM228" s="156">
        <f t="shared" si="202"/>
        <v>0</v>
      </c>
      <c r="BN228" s="66">
        <f t="shared" si="203"/>
        <v>603691.74885844754</v>
      </c>
      <c r="BO228" s="67"/>
      <c r="BP228" s="67">
        <f t="shared" si="204"/>
        <v>8461584</v>
      </c>
      <c r="BQ228" s="67"/>
      <c r="BR228" s="478">
        <f t="shared" si="205"/>
        <v>6.4001818703129765E-2</v>
      </c>
      <c r="BS228" s="67"/>
      <c r="BT228" s="86"/>
      <c r="BU228" s="183"/>
      <c r="BV228" s="1"/>
      <c r="BW228" s="61">
        <f t="shared" si="184"/>
        <v>219</v>
      </c>
    </row>
    <row r="229" spans="2:75" x14ac:dyDescent="0.3">
      <c r="B229" s="390">
        <f t="shared" si="159"/>
        <v>44129</v>
      </c>
      <c r="C229" s="61"/>
      <c r="D229" s="17">
        <v>60889</v>
      </c>
      <c r="E229" s="16"/>
      <c r="F229" s="16"/>
      <c r="G229" s="16"/>
      <c r="H229" s="16">
        <f t="shared" si="185"/>
        <v>8865120</v>
      </c>
      <c r="I229" s="16"/>
      <c r="J229" s="479">
        <f t="shared" si="186"/>
        <v>6.9158794220642323E-3</v>
      </c>
      <c r="K229" s="16"/>
      <c r="L229" s="16"/>
      <c r="M229" s="16"/>
      <c r="N229" s="16">
        <f t="shared" si="187"/>
        <v>479115</v>
      </c>
      <c r="O229" s="16">
        <f t="shared" si="188"/>
        <v>40296</v>
      </c>
      <c r="P229" s="41"/>
      <c r="Q229" s="453"/>
      <c r="R229" s="16"/>
      <c r="S229" s="60"/>
      <c r="T229" s="16"/>
      <c r="U229" s="41"/>
      <c r="V229" s="391">
        <f t="shared" si="109"/>
        <v>121</v>
      </c>
      <c r="W229" s="34">
        <v>442</v>
      </c>
      <c r="X229" s="33"/>
      <c r="Y229" s="33"/>
      <c r="Z229" s="33"/>
      <c r="AA229" s="33">
        <f t="shared" si="189"/>
        <v>230433</v>
      </c>
      <c r="AB229" s="33"/>
      <c r="AC229" s="46">
        <f t="shared" si="190"/>
        <v>2.5993218365910443E-2</v>
      </c>
      <c r="AD229" s="33"/>
      <c r="AE229" s="33">
        <f t="shared" si="191"/>
        <v>1047.4227272727273</v>
      </c>
      <c r="AF229" s="50"/>
      <c r="AG229" s="33">
        <f t="shared" si="192"/>
        <v>5721</v>
      </c>
      <c r="AH229" s="33">
        <f>SUM(D200:D346)</f>
        <v>459404475.35152841</v>
      </c>
      <c r="AI229" s="231">
        <f t="shared" si="193"/>
        <v>0.14032290213274864</v>
      </c>
      <c r="AJ229" s="50"/>
      <c r="AK229" s="10"/>
      <c r="AL229" s="23">
        <f t="shared" si="194"/>
        <v>30887</v>
      </c>
      <c r="AM229" s="24"/>
      <c r="AN229" s="24"/>
      <c r="AO229" s="24">
        <v>178263</v>
      </c>
      <c r="AP229" s="24">
        <v>5772498</v>
      </c>
      <c r="AQ229" s="24"/>
      <c r="AR229" s="504">
        <f t="shared" si="195"/>
        <v>5.379500631442987E-3</v>
      </c>
      <c r="AS229" s="25"/>
      <c r="AT229" s="25"/>
      <c r="AU229" s="24"/>
      <c r="AV229" s="341">
        <f t="shared" si="196"/>
        <v>0.6511471925929937</v>
      </c>
      <c r="AW229" s="341"/>
      <c r="AX229" s="24">
        <f t="shared" si="197"/>
        <v>26238.627272727274</v>
      </c>
      <c r="AY229" s="351"/>
      <c r="AZ229" s="391"/>
      <c r="BA229" s="66">
        <f t="shared" si="198"/>
        <v>1020835</v>
      </c>
      <c r="BB229" s="67"/>
      <c r="BC229" s="67">
        <v>133229328</v>
      </c>
      <c r="BD229" s="67"/>
      <c r="BE229" s="67">
        <f t="shared" si="199"/>
        <v>60889</v>
      </c>
      <c r="BF229" s="67"/>
      <c r="BG229" s="156">
        <f t="shared" si="200"/>
        <v>5.964626996527353E-2</v>
      </c>
      <c r="BH229" s="67"/>
      <c r="BI229" s="183"/>
      <c r="BJ229" s="67"/>
      <c r="BK229" s="67">
        <f t="shared" si="201"/>
        <v>7545447</v>
      </c>
      <c r="BL229" s="67"/>
      <c r="BM229" s="156">
        <f t="shared" si="202"/>
        <v>0</v>
      </c>
      <c r="BN229" s="66">
        <f t="shared" si="203"/>
        <v>605587.85454545449</v>
      </c>
      <c r="BO229" s="67"/>
      <c r="BP229" s="67">
        <f t="shared" si="204"/>
        <v>8522473</v>
      </c>
      <c r="BQ229" s="67"/>
      <c r="BR229" s="478">
        <f t="shared" si="205"/>
        <v>6.3968445446185837E-2</v>
      </c>
      <c r="BS229" s="67"/>
      <c r="BT229" s="86"/>
      <c r="BU229" s="183"/>
      <c r="BV229" s="1"/>
      <c r="BW229" s="61">
        <f t="shared" si="184"/>
        <v>220</v>
      </c>
    </row>
    <row r="230" spans="2:75" x14ac:dyDescent="0.3">
      <c r="B230" s="171">
        <f t="shared" si="159"/>
        <v>44130</v>
      </c>
      <c r="C230" s="61"/>
      <c r="D230" s="17">
        <v>69841</v>
      </c>
      <c r="E230" s="16"/>
      <c r="F230" s="16"/>
      <c r="G230" s="16"/>
      <c r="H230" s="16">
        <f t="shared" ref="H230" si="206">+H229+D230</f>
        <v>8934961</v>
      </c>
      <c r="I230" s="16"/>
      <c r="J230" s="479">
        <f t="shared" ref="J230" si="207">+D230/H229</f>
        <v>7.8781787499774391E-3</v>
      </c>
      <c r="K230" s="16"/>
      <c r="L230" s="16"/>
      <c r="M230" s="16"/>
      <c r="N230" s="16">
        <f t="shared" ref="N230" si="208">SUM(D224:D230)</f>
        <v>491629</v>
      </c>
      <c r="O230" s="16">
        <f t="shared" ref="O230" si="209">+H230/BW230</f>
        <v>40429.687782805428</v>
      </c>
      <c r="P230" s="41"/>
      <c r="Q230" s="453"/>
      <c r="R230" s="16"/>
      <c r="S230" s="60"/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" si="210">+AA229+W230</f>
        <v>230962</v>
      </c>
      <c r="AB230" s="33"/>
      <c r="AC230" s="46">
        <f t="shared" ref="AC230" si="211">+AA230/H230</f>
        <v>2.5849245452778138E-2</v>
      </c>
      <c r="AD230" s="33"/>
      <c r="AE230" s="33">
        <f t="shared" ref="AE230" si="212">+AA230/BW230</f>
        <v>1045.0769230769231</v>
      </c>
      <c r="AF230" s="50"/>
      <c r="AG230" s="33">
        <f t="shared" ref="AG230" si="213">SUM(W224:W230)</f>
        <v>5808</v>
      </c>
      <c r="AH230" s="33">
        <f>SUM(D201:D347)</f>
        <v>459361269.35152841</v>
      </c>
      <c r="AI230" s="231">
        <f t="shared" ref="AI230" si="214">+(AG230-AG223)/AG223</f>
        <v>0.12930196383433792</v>
      </c>
      <c r="AJ230" s="50"/>
      <c r="AK230" s="10"/>
      <c r="AL230" s="23">
        <f t="shared" ref="AL230" si="215">+AP230-AP229</f>
        <v>61326</v>
      </c>
      <c r="AM230" s="24"/>
      <c r="AN230" s="24"/>
      <c r="AO230" s="24">
        <v>178263</v>
      </c>
      <c r="AP230" s="24">
        <v>5833824</v>
      </c>
      <c r="AQ230" s="24"/>
      <c r="AR230" s="504">
        <f t="shared" ref="AR230" si="216">+AL230/AP229</f>
        <v>1.0623823516266269E-2</v>
      </c>
      <c r="AS230" s="25"/>
      <c r="AT230" s="25"/>
      <c r="AU230" s="24"/>
      <c r="AV230" s="341">
        <f t="shared" ref="AV230" si="217">+AP230/H230</f>
        <v>0.65292103681258373</v>
      </c>
      <c r="AW230" s="341"/>
      <c r="AX230" s="24">
        <f t="shared" ref="AX230" si="218">+AP230/BW230</f>
        <v>26397.393665158372</v>
      </c>
      <c r="AY230" s="351"/>
      <c r="AZ230" s="10"/>
      <c r="BA230" s="66">
        <f t="shared" ref="BA230" si="219">+BC230-BC229</f>
        <v>1246764</v>
      </c>
      <c r="BB230" s="67"/>
      <c r="BC230" s="67">
        <v>134476092</v>
      </c>
      <c r="BD230" s="67"/>
      <c r="BE230" s="67">
        <f t="shared" ref="BE230" si="220">+D230</f>
        <v>69841</v>
      </c>
      <c r="BF230" s="67"/>
      <c r="BG230" s="156">
        <f t="shared" ref="BG230" si="221">+BE230/BA230</f>
        <v>5.6017818929645066E-2</v>
      </c>
      <c r="BH230" s="67"/>
      <c r="BI230" s="183"/>
      <c r="BJ230" s="67"/>
      <c r="BK230" s="67">
        <f t="shared" ref="BK230" si="222">SUM(BA224:BA230)</f>
        <v>7418985</v>
      </c>
      <c r="BL230" s="67"/>
      <c r="BM230" s="156">
        <f t="shared" ref="BM230" si="223">+Q230/BK230</f>
        <v>0</v>
      </c>
      <c r="BN230" s="66">
        <f t="shared" ref="BN230" si="224">+BC230/BW230</f>
        <v>608489.10407239816</v>
      </c>
      <c r="BO230" s="67"/>
      <c r="BP230" s="67">
        <f t="shared" ref="BP230" si="225">+BP229+BE230</f>
        <v>8592314</v>
      </c>
      <c r="BQ230" s="67"/>
      <c r="BR230" s="478">
        <f t="shared" ref="BR230" si="226">+BP230/BC230</f>
        <v>6.3894733050392338E-2</v>
      </c>
      <c r="BS230" s="67"/>
      <c r="BT230" s="86"/>
      <c r="BU230" s="183"/>
      <c r="BV230" s="1"/>
      <c r="BW230" s="61">
        <f t="shared" si="184"/>
        <v>221</v>
      </c>
    </row>
    <row r="231" spans="2:75" x14ac:dyDescent="0.3">
      <c r="B231" s="171">
        <f t="shared" si="159"/>
        <v>44131</v>
      </c>
      <c r="C231" s="61"/>
      <c r="D231" s="17">
        <v>75072</v>
      </c>
      <c r="E231" s="16"/>
      <c r="F231" s="16"/>
      <c r="G231" s="16"/>
      <c r="H231" s="16">
        <f t="shared" ref="H231" si="227">+H230+D231</f>
        <v>9010033</v>
      </c>
      <c r="I231" s="16"/>
      <c r="J231" s="479">
        <f t="shared" ref="J231" si="228">+D231/H230</f>
        <v>8.4020512232789828E-3</v>
      </c>
      <c r="K231" s="16"/>
      <c r="L231" s="16"/>
      <c r="M231" s="16"/>
      <c r="N231" s="16">
        <f t="shared" ref="N231" si="229">SUM(D225:D231)</f>
        <v>504629</v>
      </c>
      <c r="O231" s="16">
        <f t="shared" ref="O231" si="230">+H231/BW231</f>
        <v>40585.734234234231</v>
      </c>
      <c r="P231" s="41"/>
      <c r="Q231" s="453"/>
      <c r="R231" s="16"/>
      <c r="S231" s="60"/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ref="AA231" si="231">+AA230+W231</f>
        <v>232001</v>
      </c>
      <c r="AB231" s="33"/>
      <c r="AC231" s="46">
        <f t="shared" ref="AC231" si="232">+AA231/H231</f>
        <v>2.5749184270468267E-2</v>
      </c>
      <c r="AD231" s="33"/>
      <c r="AE231" s="33">
        <f t="shared" ref="AE231" si="233">+AA231/BW231</f>
        <v>1045.0495495495495</v>
      </c>
      <c r="AF231" s="50"/>
      <c r="AG231" s="33">
        <f t="shared" ref="AG231" si="234">SUM(W225:W231)</f>
        <v>5895</v>
      </c>
      <c r="AH231" s="33">
        <f>SUM(D202:D348)</f>
        <v>459327487.35152841</v>
      </c>
      <c r="AI231" s="231">
        <f t="shared" ref="AI231" si="235">+(AG231-AG224)/AG224</f>
        <v>0.12242955064737243</v>
      </c>
      <c r="AJ231" s="50"/>
      <c r="AK231" s="10"/>
      <c r="AL231" s="23">
        <f t="shared" ref="AL231" si="236">+AP231-AP230</f>
        <v>44140</v>
      </c>
      <c r="AM231" s="24"/>
      <c r="AN231" s="24"/>
      <c r="AO231" s="24">
        <v>178263</v>
      </c>
      <c r="AP231" s="24">
        <v>5877964</v>
      </c>
      <c r="AQ231" s="24"/>
      <c r="AR231" s="504">
        <f t="shared" ref="AR231" si="237">+AL231/AP230</f>
        <v>7.5662207156060928E-3</v>
      </c>
      <c r="AS231" s="25"/>
      <c r="AT231" s="25"/>
      <c r="AU231" s="24"/>
      <c r="AV231" s="341">
        <f t="shared" ref="AV231" si="238">+AP231/H231</f>
        <v>0.65237985254881969</v>
      </c>
      <c r="AW231" s="341"/>
      <c r="AX231" s="24">
        <f t="shared" ref="AX231" si="239">+AP231/BW231</f>
        <v>26477.315315315314</v>
      </c>
      <c r="AY231" s="351"/>
      <c r="AZ231" s="10"/>
      <c r="BA231" s="66">
        <f t="shared" ref="BA231" si="240">+BC231-BC230</f>
        <v>948841</v>
      </c>
      <c r="BB231" s="67"/>
      <c r="BC231" s="67">
        <v>135424933</v>
      </c>
      <c r="BD231" s="67"/>
      <c r="BE231" s="67">
        <f t="shared" ref="BE231" si="241">+D231</f>
        <v>75072</v>
      </c>
      <c r="BF231" s="67"/>
      <c r="BG231" s="156">
        <f t="shared" ref="BG231" si="242">+BE231/BA231</f>
        <v>7.9119683909105953E-2</v>
      </c>
      <c r="BH231" s="67"/>
      <c r="BI231" s="183"/>
      <c r="BJ231" s="67"/>
      <c r="BK231" s="67">
        <f t="shared" ref="BK231" si="243">SUM(BA225:BA231)</f>
        <v>7590057</v>
      </c>
      <c r="BL231" s="67"/>
      <c r="BM231" s="156">
        <f t="shared" ref="BM231" si="244">+Q231/BK231</f>
        <v>0</v>
      </c>
      <c r="BN231" s="66">
        <f t="shared" ref="BN231" si="245">+BC231/BW231</f>
        <v>610022.22072072071</v>
      </c>
      <c r="BO231" s="67"/>
      <c r="BP231" s="67">
        <f t="shared" ref="BP231" si="246">+BP230+BE231</f>
        <v>8667386</v>
      </c>
      <c r="BQ231" s="67"/>
      <c r="BR231" s="478">
        <f t="shared" ref="BR231" si="247">+BP231/BC231</f>
        <v>6.4001405117918728E-2</v>
      </c>
      <c r="BS231" s="67"/>
      <c r="BT231" s="86"/>
      <c r="BU231" s="183"/>
      <c r="BV231" s="1"/>
      <c r="BW231" s="61">
        <f t="shared" si="184"/>
        <v>222</v>
      </c>
    </row>
    <row r="232" spans="2:75" x14ac:dyDescent="0.3">
      <c r="B232" s="171">
        <f t="shared" si="159"/>
        <v>44132</v>
      </c>
      <c r="C232" s="61"/>
      <c r="D232" s="17">
        <v>81581</v>
      </c>
      <c r="E232" s="16"/>
      <c r="F232" s="16"/>
      <c r="G232" s="16"/>
      <c r="H232" s="16">
        <f t="shared" ref="H232" si="248">+H231+D232</f>
        <v>9091614</v>
      </c>
      <c r="I232" s="16"/>
      <c r="J232" s="479">
        <f t="shared" ref="J232" si="249">+D232/H231</f>
        <v>9.0544618427035733E-3</v>
      </c>
      <c r="K232" s="16"/>
      <c r="L232" s="16"/>
      <c r="M232" s="16"/>
      <c r="N232" s="16">
        <f t="shared" ref="N232" si="250">SUM(D226:D232)</f>
        <v>522547</v>
      </c>
      <c r="O232" s="16">
        <f t="shared" ref="O232" si="251">+H232/BW232</f>
        <v>40769.569506726461</v>
      </c>
      <c r="P232" s="41"/>
      <c r="Q232" s="453"/>
      <c r="R232" s="16"/>
      <c r="S232" s="60"/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ref="AA232" si="252">+AA231+W232</f>
        <v>233031</v>
      </c>
      <c r="AB232" s="33"/>
      <c r="AC232" s="46">
        <f t="shared" ref="AC232" si="253">+AA232/H232</f>
        <v>2.5631422539496289E-2</v>
      </c>
      <c r="AD232" s="33"/>
      <c r="AE232" s="33">
        <f t="shared" ref="AE232" si="254">+AA232/BW232</f>
        <v>1044.982062780269</v>
      </c>
      <c r="AF232" s="50"/>
      <c r="AG232" s="33">
        <f t="shared" ref="AG232" si="255">SUM(W226:W232)</f>
        <v>5700</v>
      </c>
      <c r="AH232" s="33">
        <f>SUM(D203:D349)</f>
        <v>459290069.35152841</v>
      </c>
      <c r="AI232" s="231">
        <f t="shared" ref="AI232" si="256">+(AG232-AG225)/AG225</f>
        <v>3.5046304703105137E-2</v>
      </c>
      <c r="AJ232" s="50"/>
      <c r="AK232" s="10"/>
      <c r="AL232" s="23">
        <f t="shared" ref="AL232" si="257">+AP232-AP231</f>
        <v>55248</v>
      </c>
      <c r="AM232" s="24"/>
      <c r="AN232" s="24"/>
      <c r="AO232" s="24">
        <v>178263</v>
      </c>
      <c r="AP232" s="24">
        <v>5933212</v>
      </c>
      <c r="AQ232" s="24"/>
      <c r="AR232" s="504">
        <f t="shared" ref="AR232" si="258">+AL232/AP231</f>
        <v>9.3991729108922756E-3</v>
      </c>
      <c r="AS232" s="25"/>
      <c r="AT232" s="25"/>
      <c r="AU232" s="24"/>
      <c r="AV232" s="341">
        <f t="shared" ref="AV232" si="259">+AP232/H232</f>
        <v>0.65260271718530949</v>
      </c>
      <c r="AW232" s="341"/>
      <c r="AX232" s="24">
        <f t="shared" ref="AX232" si="260">+AP232/BW232</f>
        <v>26606.331838565024</v>
      </c>
      <c r="AY232" s="351"/>
      <c r="AZ232" s="10"/>
      <c r="BA232" s="66">
        <f t="shared" ref="BA232" si="261">+BC232-BC231</f>
        <v>4769881</v>
      </c>
      <c r="BB232" s="67"/>
      <c r="BC232" s="67">
        <v>140194814</v>
      </c>
      <c r="BD232" s="67"/>
      <c r="BE232" s="67">
        <f t="shared" ref="BE232" si="262">+D232</f>
        <v>81581</v>
      </c>
      <c r="BF232" s="67"/>
      <c r="BG232" s="156">
        <f t="shared" ref="BG232" si="263">+BE232/BA232</f>
        <v>1.710336169812203E-2</v>
      </c>
      <c r="BH232" s="67"/>
      <c r="BI232" s="183"/>
      <c r="BJ232" s="67"/>
      <c r="BK232" s="67">
        <f t="shared" ref="BK232" si="264">SUM(BA226:BA232)</f>
        <v>11544657</v>
      </c>
      <c r="BL232" s="67"/>
      <c r="BM232" s="156">
        <f t="shared" ref="BM232" si="265">+Q232/BK232</f>
        <v>0</v>
      </c>
      <c r="BN232" s="66">
        <f t="shared" ref="BN232" si="266">+BC232/BW232</f>
        <v>628676.29596412554</v>
      </c>
      <c r="BO232" s="67"/>
      <c r="BP232" s="67">
        <f t="shared" ref="BP232" si="267">+BP231+BE232</f>
        <v>8748967</v>
      </c>
      <c r="BQ232" s="67"/>
      <c r="BR232" s="478">
        <f t="shared" ref="BR232" si="268">+BP232/BC232</f>
        <v>6.2405781999896229E-2</v>
      </c>
      <c r="BS232" s="67"/>
      <c r="BT232" s="86"/>
      <c r="BU232" s="183"/>
      <c r="BV232" s="1"/>
      <c r="BW232" s="61">
        <f t="shared" si="184"/>
        <v>223</v>
      </c>
    </row>
    <row r="233" spans="2:75" x14ac:dyDescent="0.3">
      <c r="B233" s="171">
        <f t="shared" si="159"/>
        <v>44133</v>
      </c>
      <c r="C233" s="61"/>
      <c r="D233" s="17">
        <v>91530</v>
      </c>
      <c r="E233" s="16"/>
      <c r="F233" s="16"/>
      <c r="G233" s="16"/>
      <c r="H233" s="16">
        <f t="shared" ref="H233" si="269">+H232+D233</f>
        <v>9183144</v>
      </c>
      <c r="I233" s="16"/>
      <c r="J233" s="479">
        <f t="shared" ref="J233" si="270">+D233/H232</f>
        <v>1.0067519364548473E-2</v>
      </c>
      <c r="K233" s="16"/>
      <c r="L233" s="16"/>
      <c r="M233" s="16"/>
      <c r="N233" s="16">
        <f t="shared" ref="N233" si="271">SUM(D227:D233)</f>
        <v>539776</v>
      </c>
      <c r="O233" s="16">
        <f t="shared" ref="O233" si="272">+H233/BW233</f>
        <v>40996.178571428572</v>
      </c>
      <c r="P233" s="41"/>
      <c r="Q233" s="453"/>
      <c r="R233" s="16"/>
      <c r="S233" s="60"/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ref="AA233" si="273">+AA232+W233</f>
        <v>234078</v>
      </c>
      <c r="AB233" s="33"/>
      <c r="AC233" s="46">
        <f t="shared" ref="AC233" si="274">+AA233/H233</f>
        <v>2.5489962914661907E-2</v>
      </c>
      <c r="AD233" s="33"/>
      <c r="AE233" s="33">
        <f t="shared" ref="AE233" si="275">+AA233/BW233</f>
        <v>1044.9910714285713</v>
      </c>
      <c r="AF233" s="50"/>
      <c r="AG233" s="33">
        <f t="shared" ref="AG233" si="276">SUM(W227:W233)</f>
        <v>5774</v>
      </c>
      <c r="AH233" s="33">
        <f t="shared" ref="AH233" si="277">SUM(D204:D350)</f>
        <v>459245842.35152841</v>
      </c>
      <c r="AI233" s="231">
        <f t="shared" ref="AI233" si="278">+(AG233-AG226)/AG226</f>
        <v>2.9967891544773455E-2</v>
      </c>
      <c r="AJ233" s="50"/>
      <c r="AK233" s="10"/>
      <c r="AL233" s="23">
        <f t="shared" ref="AL233" si="279">+AP233-AP232</f>
        <v>50133</v>
      </c>
      <c r="AM233" s="24"/>
      <c r="AN233" s="24"/>
      <c r="AO233" s="24">
        <v>178263</v>
      </c>
      <c r="AP233" s="24">
        <v>5983345</v>
      </c>
      <c r="AQ233" s="24"/>
      <c r="AR233" s="504">
        <f t="shared" ref="AR233" si="280">+AL233/AP232</f>
        <v>8.449554811120856E-3</v>
      </c>
      <c r="AS233" s="25"/>
      <c r="AT233" s="25"/>
      <c r="AU233" s="24"/>
      <c r="AV233" s="341">
        <f t="shared" ref="AV233" si="281">+AP233/H233</f>
        <v>0.65155735334216691</v>
      </c>
      <c r="AW233" s="341"/>
      <c r="AX233" s="24">
        <f t="shared" ref="AX233" si="282">+AP233/BW233</f>
        <v>26711.361607142859</v>
      </c>
      <c r="AY233" s="351"/>
      <c r="AZ233" s="10"/>
      <c r="BA233" s="66">
        <f t="shared" ref="BA233" si="283">+BC233-BC232</f>
        <v>1474514</v>
      </c>
      <c r="BB233" s="67"/>
      <c r="BC233" s="67">
        <v>141669328</v>
      </c>
      <c r="BD233" s="67"/>
      <c r="BE233" s="67">
        <f t="shared" ref="BE233" si="284">+D233</f>
        <v>91530</v>
      </c>
      <c r="BF233" s="67"/>
      <c r="BG233" s="156">
        <f t="shared" ref="BG233" si="285">+BE233/BA233</f>
        <v>6.2074690372556654E-2</v>
      </c>
      <c r="BH233" s="67"/>
      <c r="BI233" s="183"/>
      <c r="BJ233" s="67"/>
      <c r="BK233" s="67">
        <f t="shared" ref="BK233" si="286">SUM(BA227:BA233)</f>
        <v>11864760</v>
      </c>
      <c r="BL233" s="67"/>
      <c r="BM233" s="156">
        <f t="shared" ref="BM233" si="287">+Q233/BK233</f>
        <v>0</v>
      </c>
      <c r="BN233" s="66">
        <f t="shared" ref="BN233" si="288">+BC233/BW233</f>
        <v>632452.35714285716</v>
      </c>
      <c r="BO233" s="67"/>
      <c r="BP233" s="67">
        <f t="shared" ref="BP233" si="289">+BP232+BE233</f>
        <v>8840497</v>
      </c>
      <c r="BQ233" s="67"/>
      <c r="BR233" s="478">
        <f t="shared" ref="BR233" si="290">+BP233/BC233</f>
        <v>6.2402335952352367E-2</v>
      </c>
      <c r="BS233" s="67"/>
      <c r="BT233" s="86"/>
      <c r="BU233" s="183"/>
      <c r="BV233" s="1"/>
      <c r="BW233" s="61">
        <f t="shared" si="184"/>
        <v>224</v>
      </c>
    </row>
    <row r="234" spans="2:75" x14ac:dyDescent="0.3">
      <c r="B234" s="171">
        <f t="shared" si="159"/>
        <v>44134</v>
      </c>
      <c r="C234" s="61"/>
      <c r="D234" s="17">
        <v>101461</v>
      </c>
      <c r="E234" s="16"/>
      <c r="F234" s="16"/>
      <c r="G234" s="16"/>
      <c r="H234" s="16">
        <f t="shared" ref="H234" si="291">+H233+D234</f>
        <v>9284605</v>
      </c>
      <c r="I234" s="16"/>
      <c r="J234" s="479">
        <f t="shared" ref="J234" si="292">+D234/H233</f>
        <v>1.1048612544897477E-2</v>
      </c>
      <c r="K234" s="16"/>
      <c r="L234" s="16"/>
      <c r="M234" s="16"/>
      <c r="N234" s="16">
        <f t="shared" ref="N234" si="293">SUM(D228:D234)</f>
        <v>559823</v>
      </c>
      <c r="O234" s="16">
        <f t="shared" ref="O234" si="294">+H234/BW234</f>
        <v>41264.911111111112</v>
      </c>
      <c r="P234" s="41"/>
      <c r="Q234" s="453"/>
      <c r="R234" s="16"/>
      <c r="S234" s="60"/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ref="AA234" si="295">+AA233+W234</f>
        <v>235066</v>
      </c>
      <c r="AB234" s="33"/>
      <c r="AC234" s="46">
        <f t="shared" ref="AC234" si="296">+AA234/H234</f>
        <v>2.5317824506266018E-2</v>
      </c>
      <c r="AD234" s="33"/>
      <c r="AE234" s="33">
        <f t="shared" ref="AE234" si="297">+AA234/BW234</f>
        <v>1044.7377777777779</v>
      </c>
      <c r="AF234" s="50"/>
      <c r="AG234" s="33">
        <f t="shared" ref="AG234" si="298">SUM(W228:W234)</f>
        <v>5859</v>
      </c>
      <c r="AH234" s="33">
        <f t="shared" ref="AH234" si="299">SUM(D205:D351)</f>
        <v>459204913.35152841</v>
      </c>
      <c r="AI234" s="231">
        <f t="shared" ref="AI234" si="300">+(AG234-AG227)/AG227</f>
        <v>4.9811861673535206E-2</v>
      </c>
      <c r="AJ234" s="50"/>
      <c r="AK234" s="10"/>
      <c r="AL234" s="23">
        <f t="shared" ref="AL234" si="301">+AP234-AP233</f>
        <v>41167</v>
      </c>
      <c r="AM234" s="24"/>
      <c r="AN234" s="24"/>
      <c r="AO234" s="24">
        <v>178263</v>
      </c>
      <c r="AP234" s="24">
        <v>6024512</v>
      </c>
      <c r="AQ234" s="24"/>
      <c r="AR234" s="504">
        <f t="shared" ref="AR234" si="302">+AL234/AP233</f>
        <v>6.8802651359732726E-3</v>
      </c>
      <c r="AS234" s="25"/>
      <c r="AT234" s="25"/>
      <c r="AU234" s="24"/>
      <c r="AV234" s="341">
        <f t="shared" ref="AV234" si="303">+AP234/H234</f>
        <v>0.64887111514167806</v>
      </c>
      <c r="AW234" s="341"/>
      <c r="AX234" s="24">
        <f t="shared" ref="AX234" si="304">+AP234/BW234</f>
        <v>26775.608888888888</v>
      </c>
      <c r="AY234" s="351"/>
      <c r="AZ234" s="10"/>
      <c r="BA234" s="66">
        <f t="shared" ref="BA234" si="305">+BC234-BC233</f>
        <v>1281025</v>
      </c>
      <c r="BB234" s="67"/>
      <c r="BC234" s="67">
        <v>142950353</v>
      </c>
      <c r="BD234" s="67"/>
      <c r="BE234" s="67">
        <f t="shared" ref="BE234" si="306">+D234</f>
        <v>101461</v>
      </c>
      <c r="BF234" s="67"/>
      <c r="BG234" s="156">
        <f t="shared" ref="BG234" si="307">+BE234/BA234</f>
        <v>7.9202981987080659E-2</v>
      </c>
      <c r="BH234" s="67"/>
      <c r="BI234" s="183"/>
      <c r="BJ234" s="67"/>
      <c r="BK234" s="67">
        <f t="shared" ref="BK234" si="308">SUM(BA228:BA234)</f>
        <v>11893640</v>
      </c>
      <c r="BL234" s="67"/>
      <c r="BM234" s="156">
        <f t="shared" ref="BM234" si="309">+Q234/BK234</f>
        <v>0</v>
      </c>
      <c r="BN234" s="66">
        <f t="shared" ref="BN234" si="310">+BC234/BW234</f>
        <v>635334.90222222218</v>
      </c>
      <c r="BO234" s="67"/>
      <c r="BP234" s="67">
        <f t="shared" ref="BP234" si="311">+BP233+BE234</f>
        <v>8941958</v>
      </c>
      <c r="BQ234" s="67"/>
      <c r="BR234" s="478">
        <f t="shared" ref="BR234" si="312">+BP234/BC234</f>
        <v>6.2552892051969955E-2</v>
      </c>
      <c r="BS234" s="67"/>
      <c r="BT234" s="86"/>
      <c r="BU234" s="183"/>
      <c r="BV234" s="1"/>
      <c r="BW234" s="61">
        <f t="shared" si="184"/>
        <v>225</v>
      </c>
    </row>
    <row r="235" spans="2:75" x14ac:dyDescent="0.3">
      <c r="B235" s="171">
        <f t="shared" si="159"/>
        <v>44135</v>
      </c>
      <c r="C235" s="61"/>
      <c r="D235" s="17">
        <v>86293</v>
      </c>
      <c r="E235" s="16"/>
      <c r="F235" s="16"/>
      <c r="G235" s="16"/>
      <c r="H235" s="16">
        <f t="shared" ref="H235" si="313">+H234+D235</f>
        <v>9370898</v>
      </c>
      <c r="I235" s="16"/>
      <c r="J235" s="479">
        <f t="shared" ref="J235" si="314">+D235/H234</f>
        <v>9.2942026074345659E-3</v>
      </c>
      <c r="K235" s="16"/>
      <c r="L235" s="16"/>
      <c r="M235" s="16"/>
      <c r="N235" s="16">
        <f t="shared" ref="N235" si="315">SUM(D229:D235)</f>
        <v>566667</v>
      </c>
      <c r="O235" s="16">
        <f t="shared" ref="O235" si="316">+H235/BW235</f>
        <v>41464.150442477876</v>
      </c>
      <c r="P235" s="41"/>
      <c r="Q235" s="453"/>
      <c r="R235" s="16"/>
      <c r="S235" s="60"/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ref="AA235" si="317">+AA234+W235</f>
        <v>235980</v>
      </c>
      <c r="AB235" s="33"/>
      <c r="AC235" s="46">
        <f t="shared" ref="AC235" si="318">+AA235/H235</f>
        <v>2.5182218395718318E-2</v>
      </c>
      <c r="AD235" s="33"/>
      <c r="AE235" s="33">
        <f t="shared" ref="AE235" si="319">+AA235/BW235</f>
        <v>1044.1592920353983</v>
      </c>
      <c r="AF235" s="50"/>
      <c r="AG235" s="33">
        <f t="shared" ref="AG235" si="320">SUM(W229:W235)</f>
        <v>5989</v>
      </c>
      <c r="AH235" s="33">
        <f t="shared" ref="AH235" si="321">SUM(D206:D352)</f>
        <v>459157524.35152841</v>
      </c>
      <c r="AI235" s="231">
        <f t="shared" ref="AI235" si="322">+(AG235-AG228)/AG228</f>
        <v>4.5748210232233279E-2</v>
      </c>
      <c r="AJ235" s="50"/>
      <c r="AK235" s="10"/>
      <c r="AL235" s="23">
        <f t="shared" ref="AL235" si="323">+AP235-AP234</f>
        <v>37926</v>
      </c>
      <c r="AM235" s="24"/>
      <c r="AN235" s="24"/>
      <c r="AO235" s="24">
        <v>178263</v>
      </c>
      <c r="AP235" s="24">
        <v>6062438</v>
      </c>
      <c r="AQ235" s="24"/>
      <c r="AR235" s="504">
        <f t="shared" ref="AR235" si="324">+AL235/AP234</f>
        <v>6.2952816759266148E-3</v>
      </c>
      <c r="AS235" s="25"/>
      <c r="AT235" s="25"/>
      <c r="AU235" s="24"/>
      <c r="AV235" s="341">
        <f t="shared" ref="AV235" si="325">+AP235/H235</f>
        <v>0.6469431211395108</v>
      </c>
      <c r="AW235" s="341"/>
      <c r="AX235" s="24">
        <f t="shared" ref="AX235" si="326">+AP235/BW235</f>
        <v>26824.946902654869</v>
      </c>
      <c r="AY235" s="351"/>
      <c r="AZ235" s="10"/>
      <c r="BA235" s="66">
        <f t="shared" ref="BA235" si="327">+BC235-BC234</f>
        <v>1235921</v>
      </c>
      <c r="BB235" s="67"/>
      <c r="BC235" s="67">
        <v>144186274</v>
      </c>
      <c r="BD235" s="67"/>
      <c r="BE235" s="67">
        <f t="shared" ref="BE235" si="328">+D235</f>
        <v>86293</v>
      </c>
      <c r="BF235" s="67"/>
      <c r="BG235" s="156">
        <f t="shared" ref="BG235" si="329">+BE235/BA235</f>
        <v>6.9820805698746116E-2</v>
      </c>
      <c r="BH235" s="67"/>
      <c r="BI235" s="183"/>
      <c r="BJ235" s="67"/>
      <c r="BK235" s="67">
        <f t="shared" ref="BK235:BK236" si="330">SUM(BA229:BA235)</f>
        <v>11977781</v>
      </c>
      <c r="BL235" s="67"/>
      <c r="BM235" s="156">
        <f t="shared" ref="BM235" si="331">+Q235/BK235</f>
        <v>0</v>
      </c>
      <c r="BN235" s="66">
        <f t="shared" ref="BN235" si="332">+BC235/BW235</f>
        <v>637992.36283185845</v>
      </c>
      <c r="BO235" s="67"/>
      <c r="BP235" s="67">
        <f t="shared" ref="BP235" si="333">+BP234+BE235</f>
        <v>9028251</v>
      </c>
      <c r="BQ235" s="67"/>
      <c r="BR235" s="478">
        <f t="shared" ref="BR235" si="334">+BP235/BC235</f>
        <v>6.2615190402936685E-2</v>
      </c>
      <c r="BS235" s="67"/>
      <c r="BT235" s="86"/>
      <c r="BU235" s="183"/>
      <c r="BV235" s="1"/>
      <c r="BW235" s="61">
        <f t="shared" si="184"/>
        <v>226</v>
      </c>
    </row>
    <row r="236" spans="2:75" x14ac:dyDescent="0.3">
      <c r="B236" s="390">
        <f t="shared" si="159"/>
        <v>44136</v>
      </c>
      <c r="C236" s="61"/>
      <c r="D236" s="17">
        <v>71321</v>
      </c>
      <c r="E236" s="16"/>
      <c r="F236" s="16"/>
      <c r="G236" s="16"/>
      <c r="H236" s="16">
        <f t="shared" ref="H236" si="335">+H235+D236</f>
        <v>9442219</v>
      </c>
      <c r="I236" s="16"/>
      <c r="J236" s="479">
        <f t="shared" ref="J236" si="336">+D236/H235</f>
        <v>7.6109034587720408E-3</v>
      </c>
      <c r="K236" s="16"/>
      <c r="L236" s="16"/>
      <c r="M236" s="16"/>
      <c r="N236" s="16">
        <f t="shared" ref="N236" si="337">SUM(D230:D236)</f>
        <v>577099</v>
      </c>
      <c r="O236" s="16">
        <f t="shared" ref="O236" si="338">+H236/BW236</f>
        <v>41595.678414096918</v>
      </c>
      <c r="P236" s="41"/>
      <c r="Q236" s="453"/>
      <c r="R236" s="16"/>
      <c r="S236" s="60"/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ref="AA236" si="339">+AA235+W236</f>
        <v>236379</v>
      </c>
      <c r="AB236" s="33"/>
      <c r="AC236" s="46">
        <f t="shared" ref="AC236" si="340">+AA236/H236</f>
        <v>2.5034263661963357E-2</v>
      </c>
      <c r="AD236" s="33"/>
      <c r="AE236" s="33">
        <f t="shared" ref="AE236" si="341">+AA236/BW236</f>
        <v>1041.3171806167402</v>
      </c>
      <c r="AF236" s="50"/>
      <c r="AG236" s="33">
        <f t="shared" ref="AG236" si="342">SUM(W230:W236)</f>
        <v>5946</v>
      </c>
      <c r="AH236" s="33">
        <f t="shared" ref="AH236" si="343">SUM(D207:D353)</f>
        <v>459106121.35152841</v>
      </c>
      <c r="AI236" s="231">
        <f t="shared" ref="AI236" si="344">+(AG236-AG229)/AG229</f>
        <v>3.9328788673308863E-2</v>
      </c>
      <c r="AJ236" s="50"/>
      <c r="AK236" s="10"/>
      <c r="AL236" s="23">
        <f t="shared" ref="AL236" si="345">+AP236-AP235</f>
        <v>41167</v>
      </c>
      <c r="AM236" s="24"/>
      <c r="AN236" s="24"/>
      <c r="AO236" s="24">
        <v>178263</v>
      </c>
      <c r="AP236" s="24">
        <v>6103605</v>
      </c>
      <c r="AQ236" s="24"/>
      <c r="AR236" s="504">
        <f t="shared" ref="AR236" si="346">+AL236/AP235</f>
        <v>6.7905024348290238E-3</v>
      </c>
      <c r="AS236" s="25"/>
      <c r="AT236" s="25"/>
      <c r="AU236" s="24"/>
      <c r="AV236" s="341">
        <f t="shared" ref="AV236" si="347">+AP236/H236</f>
        <v>0.64641637733672563</v>
      </c>
      <c r="AW236" s="341"/>
      <c r="AX236" s="24">
        <f t="shared" ref="AX236" si="348">+AP236/BW236</f>
        <v>26888.127753303965</v>
      </c>
      <c r="AY236" s="351"/>
      <c r="AZ236" s="10"/>
      <c r="BA236" s="66">
        <f t="shared" ref="BA236" si="349">+BC236-BC235</f>
        <v>851151</v>
      </c>
      <c r="BB236" s="67"/>
      <c r="BC236" s="67">
        <v>145037425</v>
      </c>
      <c r="BD236" s="67"/>
      <c r="BE236" s="67">
        <f t="shared" ref="BE236" si="350">+D236</f>
        <v>71321</v>
      </c>
      <c r="BF236" s="67"/>
      <c r="BG236" s="156">
        <f t="shared" ref="BG236" si="351">+BE236/BA236</f>
        <v>8.3793592441294196E-2</v>
      </c>
      <c r="BH236" s="67"/>
      <c r="BI236" s="183"/>
      <c r="BJ236" s="67"/>
      <c r="BK236" s="67">
        <f t="shared" ref="BK236" si="352">SUM(BA230:BA236)</f>
        <v>11808097</v>
      </c>
      <c r="BL236" s="67"/>
      <c r="BM236" s="156">
        <f t="shared" ref="BM236" si="353">+Q236/BK236</f>
        <v>0</v>
      </c>
      <c r="BN236" s="66">
        <f t="shared" ref="BN236" si="354">+BC236/BW236</f>
        <v>638931.38766519818</v>
      </c>
      <c r="BO236" s="67"/>
      <c r="BP236" s="67">
        <f t="shared" ref="BP236" si="355">+BP235+BE236</f>
        <v>9099572</v>
      </c>
      <c r="BQ236" s="67"/>
      <c r="BR236" s="478">
        <f t="shared" ref="BR236" si="356">+BP236/BC236</f>
        <v>6.2739475690498508E-2</v>
      </c>
      <c r="BS236" s="67"/>
      <c r="BT236" s="86"/>
      <c r="BU236" s="183"/>
      <c r="BV236" s="1"/>
      <c r="BW236" s="61">
        <f t="shared" si="184"/>
        <v>227</v>
      </c>
    </row>
    <row r="237" spans="2:75" x14ac:dyDescent="0.3">
      <c r="B237" s="171">
        <f t="shared" si="159"/>
        <v>44137</v>
      </c>
      <c r="C237" s="61"/>
      <c r="D237" s="17"/>
      <c r="E237" s="16"/>
      <c r="F237" s="16"/>
      <c r="G237" s="16"/>
      <c r="H237" s="16"/>
      <c r="I237" s="16"/>
      <c r="J237" s="479"/>
      <c r="K237" s="16"/>
      <c r="L237" s="16"/>
      <c r="M237" s="16"/>
      <c r="N237" s="16"/>
      <c r="O237" s="16"/>
      <c r="P237" s="41"/>
      <c r="Q237" s="453"/>
      <c r="R237" s="16"/>
      <c r="S237" s="60"/>
      <c r="T237" s="16"/>
      <c r="U237" s="41"/>
      <c r="V237" s="10"/>
      <c r="W237" s="34"/>
      <c r="X237" s="33"/>
      <c r="Y237" s="33"/>
      <c r="Z237" s="33"/>
      <c r="AA237" s="33"/>
      <c r="AB237" s="33"/>
      <c r="AC237" s="46"/>
      <c r="AD237" s="33"/>
      <c r="AE237" s="33"/>
      <c r="AF237" s="50"/>
      <c r="AG237" s="33"/>
      <c r="AH237" s="33"/>
      <c r="AI237" s="231"/>
      <c r="AJ237" s="50"/>
      <c r="AK237" s="10"/>
      <c r="AL237" s="23"/>
      <c r="AM237" s="24"/>
      <c r="AN237" s="24"/>
      <c r="AO237" s="24"/>
      <c r="AP237" s="24"/>
      <c r="AQ237" s="24"/>
      <c r="AR237" s="504"/>
      <c r="AS237" s="25"/>
      <c r="AT237" s="25"/>
      <c r="AU237" s="24"/>
      <c r="AV237" s="341"/>
      <c r="AW237" s="341"/>
      <c r="AX237" s="24"/>
      <c r="AY237" s="351"/>
      <c r="AZ237" s="10"/>
      <c r="BA237" s="66"/>
      <c r="BB237" s="67"/>
      <c r="BC237" s="67"/>
      <c r="BD237" s="67"/>
      <c r="BE237" s="67"/>
      <c r="BF237" s="67"/>
      <c r="BG237" s="156"/>
      <c r="BH237" s="67"/>
      <c r="BI237" s="183"/>
      <c r="BJ237" s="67"/>
      <c r="BK237" s="67"/>
      <c r="BL237" s="67"/>
      <c r="BM237" s="156"/>
      <c r="BN237" s="66"/>
      <c r="BO237" s="67"/>
      <c r="BP237" s="67"/>
      <c r="BQ237" s="67"/>
      <c r="BR237" s="478"/>
      <c r="BS237" s="67"/>
      <c r="BT237" s="86"/>
      <c r="BU237" s="183"/>
      <c r="BV237" s="1"/>
      <c r="BW237" s="61">
        <f t="shared" si="184"/>
        <v>228</v>
      </c>
    </row>
    <row r="238" spans="2:75" x14ac:dyDescent="0.3">
      <c r="B238" s="171">
        <f t="shared" si="159"/>
        <v>44138</v>
      </c>
      <c r="C238" s="61"/>
      <c r="D238" s="17"/>
      <c r="E238" s="16"/>
      <c r="F238" s="16"/>
      <c r="G238" s="16"/>
      <c r="H238" s="16"/>
      <c r="I238" s="16"/>
      <c r="J238" s="479"/>
      <c r="K238" s="16"/>
      <c r="L238" s="16"/>
      <c r="M238" s="16"/>
      <c r="N238" s="16"/>
      <c r="O238" s="16"/>
      <c r="P238" s="41"/>
      <c r="Q238" s="453"/>
      <c r="R238" s="16"/>
      <c r="S238" s="60"/>
      <c r="T238" s="16"/>
      <c r="U238" s="41"/>
      <c r="V238" s="10"/>
      <c r="W238" s="34"/>
      <c r="X238" s="33"/>
      <c r="Y238" s="33"/>
      <c r="Z238" s="33"/>
      <c r="AA238" s="33"/>
      <c r="AB238" s="33"/>
      <c r="AC238" s="46"/>
      <c r="AD238" s="33"/>
      <c r="AE238" s="33"/>
      <c r="AF238" s="50"/>
      <c r="AG238" s="33"/>
      <c r="AH238" s="33"/>
      <c r="AI238" s="231"/>
      <c r="AJ238" s="50"/>
      <c r="AK238" s="10"/>
      <c r="AL238" s="23"/>
      <c r="AM238" s="24"/>
      <c r="AN238" s="24"/>
      <c r="AO238" s="24"/>
      <c r="AP238" s="24"/>
      <c r="AQ238" s="24"/>
      <c r="AR238" s="504"/>
      <c r="AS238" s="25"/>
      <c r="AT238" s="25"/>
      <c r="AU238" s="24"/>
      <c r="AV238" s="341"/>
      <c r="AW238" s="341"/>
      <c r="AX238" s="24"/>
      <c r="AY238" s="351"/>
      <c r="AZ238" s="10"/>
      <c r="BA238" s="66"/>
      <c r="BB238" s="67"/>
      <c r="BC238" s="67"/>
      <c r="BD238" s="67"/>
      <c r="BE238" s="67"/>
      <c r="BF238" s="67"/>
      <c r="BG238" s="156"/>
      <c r="BH238" s="67"/>
      <c r="BI238" s="183"/>
      <c r="BJ238" s="67"/>
      <c r="BK238" s="67"/>
      <c r="BL238" s="67"/>
      <c r="BM238" s="156"/>
      <c r="BN238" s="66"/>
      <c r="BO238" s="67"/>
      <c r="BP238" s="67"/>
      <c r="BQ238" s="67"/>
      <c r="BR238" s="478"/>
      <c r="BS238" s="67"/>
      <c r="BT238" s="86"/>
      <c r="BU238" s="183"/>
      <c r="BV238" s="1"/>
      <c r="BW238" s="61">
        <f t="shared" si="184"/>
        <v>229</v>
      </c>
    </row>
    <row r="239" spans="2:75" x14ac:dyDescent="0.3">
      <c r="B239" s="171">
        <f t="shared" si="159"/>
        <v>44139</v>
      </c>
      <c r="C239" s="61"/>
      <c r="D239" s="17"/>
      <c r="E239" s="16"/>
      <c r="F239" s="16"/>
      <c r="G239" s="16"/>
      <c r="H239" s="16"/>
      <c r="I239" s="16"/>
      <c r="J239" s="479"/>
      <c r="K239" s="16"/>
      <c r="L239" s="16"/>
      <c r="M239" s="16"/>
      <c r="N239" s="16"/>
      <c r="O239" s="16"/>
      <c r="P239" s="41"/>
      <c r="Q239" s="453"/>
      <c r="R239" s="16"/>
      <c r="S239" s="60"/>
      <c r="T239" s="16"/>
      <c r="U239" s="41"/>
      <c r="V239" s="10"/>
      <c r="W239" s="34"/>
      <c r="X239" s="33"/>
      <c r="Y239" s="33"/>
      <c r="Z239" s="33"/>
      <c r="AA239" s="33"/>
      <c r="AB239" s="33"/>
      <c r="AC239" s="46"/>
      <c r="AD239" s="33"/>
      <c r="AE239" s="33"/>
      <c r="AF239" s="50"/>
      <c r="AG239" s="33"/>
      <c r="AH239" s="33"/>
      <c r="AI239" s="231"/>
      <c r="AJ239" s="50"/>
      <c r="AK239" s="10"/>
      <c r="AL239" s="23"/>
      <c r="AM239" s="24"/>
      <c r="AN239" s="24"/>
      <c r="AO239" s="24"/>
      <c r="AP239" s="24"/>
      <c r="AQ239" s="24"/>
      <c r="AR239" s="504"/>
      <c r="AS239" s="25"/>
      <c r="AT239" s="25"/>
      <c r="AU239" s="24"/>
      <c r="AV239" s="341"/>
      <c r="AW239" s="341"/>
      <c r="AX239" s="24"/>
      <c r="AY239" s="351"/>
      <c r="AZ239" s="10"/>
      <c r="BA239" s="66"/>
      <c r="BB239" s="67"/>
      <c r="BC239" s="67"/>
      <c r="BD239" s="67"/>
      <c r="BE239" s="67"/>
      <c r="BF239" s="67"/>
      <c r="BG239" s="156"/>
      <c r="BH239" s="67"/>
      <c r="BI239" s="183"/>
      <c r="BJ239" s="67"/>
      <c r="BK239" s="67"/>
      <c r="BL239" s="67"/>
      <c r="BM239" s="156"/>
      <c r="BN239" s="66"/>
      <c r="BO239" s="67"/>
      <c r="BP239" s="67"/>
      <c r="BQ239" s="67"/>
      <c r="BR239" s="478"/>
      <c r="BS239" s="67"/>
      <c r="BT239" s="86"/>
      <c r="BU239" s="183"/>
      <c r="BV239" s="1"/>
      <c r="BW239" s="61">
        <f t="shared" si="184"/>
        <v>230</v>
      </c>
    </row>
    <row r="240" spans="2:75" x14ac:dyDescent="0.3">
      <c r="B240" s="171">
        <f t="shared" si="159"/>
        <v>44140</v>
      </c>
      <c r="C240" s="61"/>
      <c r="D240" s="17"/>
      <c r="E240" s="16"/>
      <c r="F240" s="16"/>
      <c r="G240" s="16"/>
      <c r="H240" s="16"/>
      <c r="I240" s="16"/>
      <c r="J240" s="479"/>
      <c r="K240" s="16"/>
      <c r="L240" s="16"/>
      <c r="M240" s="16"/>
      <c r="N240" s="16"/>
      <c r="O240" s="16"/>
      <c r="P240" s="41"/>
      <c r="Q240" s="453"/>
      <c r="R240" s="16"/>
      <c r="S240" s="60"/>
      <c r="T240" s="16"/>
      <c r="U240" s="41"/>
      <c r="V240" s="10"/>
      <c r="W240" s="34"/>
      <c r="X240" s="33"/>
      <c r="Y240" s="33"/>
      <c r="Z240" s="33"/>
      <c r="AA240" s="33"/>
      <c r="AB240" s="33"/>
      <c r="AC240" s="46"/>
      <c r="AD240" s="33"/>
      <c r="AE240" s="33"/>
      <c r="AF240" s="50"/>
      <c r="AG240" s="33"/>
      <c r="AH240" s="33"/>
      <c r="AI240" s="231"/>
      <c r="AJ240" s="50"/>
      <c r="AK240" s="10"/>
      <c r="AL240" s="23"/>
      <c r="AM240" s="24"/>
      <c r="AN240" s="24"/>
      <c r="AO240" s="24"/>
      <c r="AP240" s="24"/>
      <c r="AQ240" s="24"/>
      <c r="AR240" s="504"/>
      <c r="AS240" s="25"/>
      <c r="AT240" s="25"/>
      <c r="AU240" s="24"/>
      <c r="AV240" s="341"/>
      <c r="AW240" s="341"/>
      <c r="AX240" s="24"/>
      <c r="AY240" s="351"/>
      <c r="AZ240" s="10"/>
      <c r="BA240" s="66"/>
      <c r="BB240" s="67"/>
      <c r="BC240" s="67"/>
      <c r="BD240" s="67"/>
      <c r="BE240" s="67"/>
      <c r="BF240" s="67"/>
      <c r="BG240" s="156"/>
      <c r="BH240" s="67"/>
      <c r="BI240" s="183"/>
      <c r="BJ240" s="67"/>
      <c r="BK240" s="67">
        <f>+BK236-BK229</f>
        <v>4262650</v>
      </c>
      <c r="BL240" s="67"/>
      <c r="BM240" s="156"/>
      <c r="BN240" s="66"/>
      <c r="BO240" s="67"/>
      <c r="BP240" s="67"/>
      <c r="BQ240" s="67"/>
      <c r="BR240" s="478"/>
      <c r="BS240" s="67"/>
      <c r="BT240" s="86"/>
      <c r="BU240" s="183"/>
      <c r="BV240" s="1"/>
      <c r="BW240" s="61">
        <f t="shared" si="184"/>
        <v>231</v>
      </c>
    </row>
    <row r="241" spans="2:85" x14ac:dyDescent="0.3">
      <c r="B241" s="171">
        <f t="shared" si="159"/>
        <v>44141</v>
      </c>
      <c r="C241" s="61"/>
      <c r="D241" s="17"/>
      <c r="E241" s="16"/>
      <c r="F241" s="16"/>
      <c r="G241" s="16"/>
      <c r="H241" s="16"/>
      <c r="I241" s="16"/>
      <c r="J241" s="479"/>
      <c r="K241" s="16"/>
      <c r="L241" s="16"/>
      <c r="M241" s="16"/>
      <c r="N241" s="16"/>
      <c r="O241" s="16"/>
      <c r="P241" s="41"/>
      <c r="Q241" s="453"/>
      <c r="R241" s="16"/>
      <c r="S241" s="60"/>
      <c r="T241" s="16"/>
      <c r="U241" s="41"/>
      <c r="V241" s="10"/>
      <c r="W241" s="34"/>
      <c r="X241" s="33"/>
      <c r="Y241" s="33"/>
      <c r="Z241" s="33"/>
      <c r="AA241" s="33"/>
      <c r="AB241" s="33"/>
      <c r="AC241" s="46"/>
      <c r="AD241" s="33"/>
      <c r="AE241" s="33"/>
      <c r="AF241" s="50"/>
      <c r="AG241" s="33"/>
      <c r="AH241" s="33"/>
      <c r="AI241" s="231"/>
      <c r="AJ241" s="50"/>
      <c r="AK241" s="10"/>
      <c r="AL241" s="23"/>
      <c r="AM241" s="24"/>
      <c r="AN241" s="24"/>
      <c r="AO241" s="24"/>
      <c r="AP241" s="24"/>
      <c r="AQ241" s="24"/>
      <c r="AR241" s="504"/>
      <c r="AS241" s="25"/>
      <c r="AT241" s="25"/>
      <c r="AU241" s="24"/>
      <c r="AV241" s="341"/>
      <c r="AW241" s="341"/>
      <c r="AX241" s="24"/>
      <c r="AY241" s="351"/>
      <c r="AZ241" s="10"/>
      <c r="BA241" s="66"/>
      <c r="BB241" s="67"/>
      <c r="BC241" s="67"/>
      <c r="BD241" s="67"/>
      <c r="BE241" s="67"/>
      <c r="BF241" s="67"/>
      <c r="BG241" s="156"/>
      <c r="BH241" s="67"/>
      <c r="BI241" s="183"/>
      <c r="BJ241" s="67"/>
      <c r="BK241" s="156">
        <f>+BK240/BK229</f>
        <v>0.56493008300237213</v>
      </c>
      <c r="BL241" s="67"/>
      <c r="BM241" s="156"/>
      <c r="BN241" s="66"/>
      <c r="BO241" s="67"/>
      <c r="BP241" s="67"/>
      <c r="BQ241" s="67"/>
      <c r="BR241" s="478"/>
      <c r="BS241" s="67"/>
      <c r="BT241" s="86"/>
      <c r="BU241" s="183"/>
      <c r="BV241" s="1"/>
      <c r="BW241" s="61">
        <f t="shared" si="184"/>
        <v>232</v>
      </c>
    </row>
    <row r="242" spans="2:85" x14ac:dyDescent="0.3">
      <c r="B242" s="171">
        <f t="shared" si="159"/>
        <v>44142</v>
      </c>
      <c r="C242" s="61"/>
      <c r="D242" s="17"/>
      <c r="E242" s="16"/>
      <c r="F242" s="16"/>
      <c r="G242" s="16"/>
      <c r="H242" s="16"/>
      <c r="I242" s="16"/>
      <c r="J242" s="479"/>
      <c r="K242" s="16"/>
      <c r="L242" s="16"/>
      <c r="M242" s="16"/>
      <c r="N242" s="16"/>
      <c r="O242" s="16"/>
      <c r="P242" s="41"/>
      <c r="Q242" s="453"/>
      <c r="R242" s="16"/>
      <c r="S242" s="60"/>
      <c r="T242" s="16"/>
      <c r="U242" s="41"/>
      <c r="V242" s="10"/>
      <c r="W242" s="34"/>
      <c r="X242" s="33"/>
      <c r="Y242" s="33"/>
      <c r="Z242" s="33"/>
      <c r="AA242" s="33"/>
      <c r="AB242" s="33"/>
      <c r="AC242" s="46"/>
      <c r="AD242" s="33"/>
      <c r="AE242" s="33"/>
      <c r="AF242" s="50"/>
      <c r="AG242" s="33"/>
      <c r="AH242" s="33"/>
      <c r="AI242" s="231"/>
      <c r="AJ242" s="50"/>
      <c r="AK242" s="10"/>
      <c r="AL242" s="23"/>
      <c r="AM242" s="24"/>
      <c r="AN242" s="24"/>
      <c r="AO242" s="24"/>
      <c r="AP242" s="24"/>
      <c r="AQ242" s="24"/>
      <c r="AR242" s="504"/>
      <c r="AS242" s="25"/>
      <c r="AT242" s="25"/>
      <c r="AU242" s="24"/>
      <c r="AV242" s="341"/>
      <c r="AW242" s="341"/>
      <c r="AX242" s="24"/>
      <c r="AY242" s="351"/>
      <c r="AZ242" s="10"/>
      <c r="BA242" s="66"/>
      <c r="BB242" s="67"/>
      <c r="BC242" s="156"/>
      <c r="BD242" s="67"/>
      <c r="BE242" s="67"/>
      <c r="BF242" s="67"/>
      <c r="BG242" s="156"/>
      <c r="BH242" s="67"/>
      <c r="BI242" s="183"/>
      <c r="BJ242" s="67"/>
      <c r="BK242" s="67"/>
      <c r="BL242" s="67"/>
      <c r="BM242" s="156"/>
      <c r="BN242" s="66"/>
      <c r="BO242" s="67"/>
      <c r="BP242" s="67"/>
      <c r="BQ242" s="67"/>
      <c r="BR242" s="478"/>
      <c r="BS242" s="67"/>
      <c r="BT242" s="86"/>
      <c r="BU242" s="183"/>
      <c r="BV242" s="1"/>
      <c r="BW242" s="61">
        <f t="shared" si="184"/>
        <v>233</v>
      </c>
    </row>
    <row r="243" spans="2:85" x14ac:dyDescent="0.3">
      <c r="B243" s="171">
        <f t="shared" si="159"/>
        <v>44143</v>
      </c>
      <c r="C243" s="61"/>
      <c r="D243" s="17"/>
      <c r="E243" s="16"/>
      <c r="F243" s="16"/>
      <c r="G243" s="16"/>
      <c r="H243" s="16"/>
      <c r="I243" s="16"/>
      <c r="J243" s="479"/>
      <c r="K243" s="16"/>
      <c r="L243" s="16"/>
      <c r="M243" s="16"/>
      <c r="N243" s="16"/>
      <c r="O243" s="16"/>
      <c r="P243" s="41"/>
      <c r="Q243" s="453"/>
      <c r="R243" s="16"/>
      <c r="S243" s="60"/>
      <c r="T243" s="16"/>
      <c r="U243" s="41"/>
      <c r="V243" s="10"/>
      <c r="W243" s="34"/>
      <c r="X243" s="33"/>
      <c r="Y243" s="33"/>
      <c r="Z243" s="33"/>
      <c r="AA243" s="33"/>
      <c r="AB243" s="33"/>
      <c r="AC243" s="46"/>
      <c r="AD243" s="33"/>
      <c r="AE243" s="33"/>
      <c r="AF243" s="50"/>
      <c r="AG243" s="33"/>
      <c r="AH243" s="33"/>
      <c r="AI243" s="231"/>
      <c r="AJ243" s="50"/>
      <c r="AK243" s="10"/>
      <c r="AL243" s="23"/>
      <c r="AM243" s="24"/>
      <c r="AN243" s="24"/>
      <c r="AO243" s="24"/>
      <c r="AP243" s="24"/>
      <c r="AQ243" s="24"/>
      <c r="AR243" s="504"/>
      <c r="AS243" s="25"/>
      <c r="AT243" s="25"/>
      <c r="AU243" s="24"/>
      <c r="AV243" s="341"/>
      <c r="AW243" s="341"/>
      <c r="AX243" s="24"/>
      <c r="AY243" s="351"/>
      <c r="AZ243" s="10"/>
      <c r="BA243" s="66"/>
      <c r="BB243" s="67"/>
      <c r="BC243" s="67"/>
      <c r="BD243" s="67"/>
      <c r="BE243" s="67"/>
      <c r="BF243" s="67"/>
      <c r="BG243" s="156"/>
      <c r="BH243" s="67"/>
      <c r="BI243" s="183"/>
      <c r="BJ243" s="67"/>
      <c r="BK243" s="67"/>
      <c r="BL243" s="67"/>
      <c r="BM243" s="156"/>
      <c r="BN243" s="66"/>
      <c r="BO243" s="67"/>
      <c r="BP243" s="67"/>
      <c r="BQ243" s="67"/>
      <c r="BR243" s="478"/>
      <c r="BS243" s="67"/>
      <c r="BT243" s="86"/>
      <c r="BU243" s="183"/>
      <c r="BV243" s="1"/>
      <c r="BW243" s="61">
        <f t="shared" si="184"/>
        <v>234</v>
      </c>
    </row>
    <row r="244" spans="2:85" x14ac:dyDescent="0.3">
      <c r="B244" s="171">
        <f t="shared" si="159"/>
        <v>44144</v>
      </c>
      <c r="D244" s="18"/>
      <c r="E244" s="19"/>
      <c r="F244" s="19"/>
      <c r="G244" s="19"/>
      <c r="H244" s="19"/>
      <c r="I244" s="19"/>
      <c r="J244" s="39"/>
      <c r="K244" s="19"/>
      <c r="L244" s="19"/>
      <c r="M244" s="19"/>
      <c r="N244" s="19"/>
      <c r="O244" s="19"/>
      <c r="P244" s="43"/>
      <c r="Q244" s="18"/>
      <c r="R244" s="19"/>
      <c r="S244" s="19"/>
      <c r="T244" s="19"/>
      <c r="U244" s="43"/>
      <c r="V244" s="1"/>
      <c r="W244" s="35"/>
      <c r="X244" s="36"/>
      <c r="Y244" s="36"/>
      <c r="Z244" s="36"/>
      <c r="AA244" s="36"/>
      <c r="AB244" s="36"/>
      <c r="AC244" s="47"/>
      <c r="AD244" s="36"/>
      <c r="AE244" s="36"/>
      <c r="AF244" s="51"/>
      <c r="AG244" s="36"/>
      <c r="AH244" s="36"/>
      <c r="AI244" s="36"/>
      <c r="AJ244" s="51"/>
      <c r="AK244" s="1"/>
      <c r="AL244" s="26"/>
      <c r="AM244" s="27"/>
      <c r="AN244" s="27"/>
      <c r="AO244" s="27"/>
      <c r="AP244" s="27"/>
      <c r="AQ244" s="27"/>
      <c r="AR244" s="27"/>
      <c r="AS244" s="27"/>
      <c r="AT244" s="27"/>
      <c r="AU244" s="27"/>
      <c r="AV244" s="343"/>
      <c r="AW244" s="343"/>
      <c r="AX244" s="27"/>
      <c r="AY244" s="350"/>
      <c r="AZ244" s="1"/>
      <c r="BA244" s="68"/>
      <c r="BB244" s="69"/>
      <c r="BC244" s="69"/>
      <c r="BD244" s="69"/>
      <c r="BE244" s="69"/>
      <c r="BF244" s="69"/>
      <c r="BG244" s="69"/>
      <c r="BH244" s="69"/>
      <c r="BI244" s="184"/>
      <c r="BJ244" s="69"/>
      <c r="BK244" s="69"/>
      <c r="BL244" s="69"/>
      <c r="BM244" s="69"/>
      <c r="BN244" s="68"/>
      <c r="BO244" s="69"/>
      <c r="BP244" s="69"/>
      <c r="BQ244" s="69"/>
      <c r="BR244" s="71"/>
      <c r="BS244" s="69"/>
      <c r="BT244" s="69"/>
      <c r="BU244" s="184"/>
      <c r="BV244" s="1"/>
      <c r="BW244" s="61">
        <f t="shared" si="184"/>
        <v>235</v>
      </c>
    </row>
    <row r="245" spans="2:85" x14ac:dyDescent="0.3">
      <c r="B245" s="56"/>
      <c r="D245" s="1"/>
      <c r="E245" s="1"/>
      <c r="F245" s="1"/>
      <c r="G245" s="1"/>
      <c r="H245" s="59"/>
      <c r="I245" s="1"/>
      <c r="J245" s="59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59"/>
      <c r="X245" s="1"/>
      <c r="Y245" s="1"/>
      <c r="Z245" s="1"/>
      <c r="AA245" s="1"/>
      <c r="AB245" s="1"/>
      <c r="AC245" s="59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59"/>
      <c r="BD245" s="1"/>
      <c r="BE245" s="59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2:85" x14ac:dyDescent="0.3">
      <c r="B246" s="179" t="s">
        <v>82</v>
      </c>
      <c r="D246" s="56">
        <f>+D236</f>
        <v>71321</v>
      </c>
      <c r="E246" s="56">
        <f>+E193</f>
        <v>0</v>
      </c>
      <c r="F246" s="56">
        <f>+F193</f>
        <v>0</v>
      </c>
      <c r="G246" s="56">
        <f>+G193</f>
        <v>0</v>
      </c>
      <c r="H246" s="56">
        <f t="shared" ref="H246:BR246" si="357">+H236</f>
        <v>9442219</v>
      </c>
      <c r="I246" s="56">
        <f t="shared" si="357"/>
        <v>0</v>
      </c>
      <c r="J246" s="56">
        <f t="shared" si="357"/>
        <v>7.6109034587720408E-3</v>
      </c>
      <c r="K246" s="56">
        <f t="shared" si="357"/>
        <v>0</v>
      </c>
      <c r="L246" s="56">
        <f t="shared" si="357"/>
        <v>0</v>
      </c>
      <c r="M246" s="56">
        <f t="shared" si="357"/>
        <v>0</v>
      </c>
      <c r="N246" s="56">
        <f t="shared" si="357"/>
        <v>577099</v>
      </c>
      <c r="O246" s="56">
        <f t="shared" si="357"/>
        <v>41595.678414096918</v>
      </c>
      <c r="P246" s="56">
        <f t="shared" si="357"/>
        <v>0</v>
      </c>
      <c r="Q246" s="56">
        <f t="shared" si="357"/>
        <v>0</v>
      </c>
      <c r="R246" s="56">
        <f t="shared" si="357"/>
        <v>0</v>
      </c>
      <c r="S246" s="56">
        <f t="shared" si="357"/>
        <v>0</v>
      </c>
      <c r="T246" s="56">
        <f t="shared" si="357"/>
        <v>0</v>
      </c>
      <c r="U246" s="56">
        <f t="shared" si="357"/>
        <v>0</v>
      </c>
      <c r="V246" s="56">
        <f t="shared" si="357"/>
        <v>128</v>
      </c>
      <c r="W246" s="56">
        <f t="shared" si="357"/>
        <v>399</v>
      </c>
      <c r="X246" s="56">
        <f t="shared" si="357"/>
        <v>0</v>
      </c>
      <c r="Y246" s="56">
        <f t="shared" si="357"/>
        <v>0</v>
      </c>
      <c r="Z246" s="56">
        <f t="shared" si="357"/>
        <v>0</v>
      </c>
      <c r="AA246" s="56">
        <f t="shared" si="357"/>
        <v>236379</v>
      </c>
      <c r="AB246" s="56">
        <f t="shared" si="357"/>
        <v>0</v>
      </c>
      <c r="AC246" s="56">
        <f t="shared" si="357"/>
        <v>2.5034263661963357E-2</v>
      </c>
      <c r="AD246" s="56">
        <f t="shared" si="357"/>
        <v>0</v>
      </c>
      <c r="AE246" s="56">
        <f t="shared" si="357"/>
        <v>1041.3171806167402</v>
      </c>
      <c r="AF246" s="56">
        <f t="shared" si="357"/>
        <v>0</v>
      </c>
      <c r="AG246" s="56">
        <f t="shared" si="357"/>
        <v>5946</v>
      </c>
      <c r="AH246" s="56">
        <f t="shared" si="357"/>
        <v>459106121.35152841</v>
      </c>
      <c r="AI246" s="56">
        <f t="shared" si="357"/>
        <v>3.9328788673308863E-2</v>
      </c>
      <c r="AJ246" s="56">
        <f t="shared" si="357"/>
        <v>0</v>
      </c>
      <c r="AK246" s="56">
        <f t="shared" si="357"/>
        <v>0</v>
      </c>
      <c r="AL246" s="56">
        <f t="shared" si="357"/>
        <v>41167</v>
      </c>
      <c r="AM246" s="56">
        <f t="shared" si="357"/>
        <v>0</v>
      </c>
      <c r="AN246" s="56">
        <f t="shared" si="357"/>
        <v>0</v>
      </c>
      <c r="AO246" s="56">
        <f t="shared" si="357"/>
        <v>178263</v>
      </c>
      <c r="AP246" s="56">
        <f t="shared" si="357"/>
        <v>6103605</v>
      </c>
      <c r="AQ246" s="56">
        <f t="shared" si="357"/>
        <v>0</v>
      </c>
      <c r="AR246" s="56">
        <f t="shared" si="357"/>
        <v>6.7905024348290238E-3</v>
      </c>
      <c r="AS246" s="56">
        <f t="shared" si="357"/>
        <v>0</v>
      </c>
      <c r="AT246" s="56">
        <f t="shared" si="357"/>
        <v>0</v>
      </c>
      <c r="AU246" s="56">
        <f t="shared" si="357"/>
        <v>0</v>
      </c>
      <c r="AV246" s="56">
        <f t="shared" si="357"/>
        <v>0.64641637733672563</v>
      </c>
      <c r="AW246" s="56">
        <f t="shared" si="357"/>
        <v>0</v>
      </c>
      <c r="AX246" s="56">
        <f t="shared" si="357"/>
        <v>26888.127753303965</v>
      </c>
      <c r="AY246" s="56">
        <f t="shared" si="357"/>
        <v>0</v>
      </c>
      <c r="AZ246" s="56">
        <f t="shared" si="357"/>
        <v>0</v>
      </c>
      <c r="BA246" s="56">
        <f t="shared" si="357"/>
        <v>851151</v>
      </c>
      <c r="BB246" s="56">
        <f t="shared" si="357"/>
        <v>0</v>
      </c>
      <c r="BC246" s="56">
        <f t="shared" si="357"/>
        <v>145037425</v>
      </c>
      <c r="BD246" s="56">
        <f t="shared" si="357"/>
        <v>0</v>
      </c>
      <c r="BE246" s="56">
        <f t="shared" si="357"/>
        <v>71321</v>
      </c>
      <c r="BF246" s="56">
        <f t="shared" si="357"/>
        <v>0</v>
      </c>
      <c r="BG246" s="56">
        <f t="shared" si="357"/>
        <v>8.3793592441294196E-2</v>
      </c>
      <c r="BH246" s="56">
        <f t="shared" si="357"/>
        <v>0</v>
      </c>
      <c r="BI246" s="56">
        <f t="shared" si="357"/>
        <v>0</v>
      </c>
      <c r="BJ246" s="56">
        <f t="shared" si="357"/>
        <v>0</v>
      </c>
      <c r="BK246" s="56">
        <f t="shared" si="357"/>
        <v>11808097</v>
      </c>
      <c r="BL246" s="56">
        <f t="shared" si="357"/>
        <v>0</v>
      </c>
      <c r="BM246" s="56">
        <f t="shared" si="357"/>
        <v>0</v>
      </c>
      <c r="BN246" s="56">
        <f t="shared" si="357"/>
        <v>638931.38766519818</v>
      </c>
      <c r="BO246" s="56">
        <f t="shared" si="357"/>
        <v>0</v>
      </c>
      <c r="BP246" s="56">
        <f t="shared" si="357"/>
        <v>9099572</v>
      </c>
      <c r="BQ246" s="56">
        <f t="shared" si="357"/>
        <v>0</v>
      </c>
      <c r="BR246" s="56">
        <f t="shared" si="357"/>
        <v>6.2739475690498508E-2</v>
      </c>
      <c r="BS246" s="56">
        <f>+BS215</f>
        <v>0</v>
      </c>
      <c r="BT246" s="10"/>
      <c r="BU246" s="10"/>
      <c r="BV246" s="10"/>
      <c r="BW246" s="160"/>
      <c r="BX246" s="10"/>
      <c r="BY246" s="62"/>
      <c r="BZ246" s="10"/>
      <c r="CA246" s="160"/>
      <c r="CB246" s="61"/>
      <c r="CC246" s="61"/>
      <c r="CD246" s="61"/>
      <c r="CE246" s="61"/>
      <c r="CF246" s="61"/>
      <c r="CG246" s="157"/>
    </row>
    <row r="247" spans="2:85" x14ac:dyDescent="0.3">
      <c r="B247" t="s">
        <v>118</v>
      </c>
      <c r="D247" s="56">
        <f>+D235-D246</f>
        <v>14972</v>
      </c>
      <c r="E247" s="56">
        <f>+E192-E246</f>
        <v>0</v>
      </c>
      <c r="F247" s="56">
        <f>+F192-F246</f>
        <v>0</v>
      </c>
      <c r="G247" s="56">
        <f>+G192-G246</f>
        <v>0</v>
      </c>
      <c r="H247" s="56">
        <f t="shared" ref="H247:BR247" si="358">+H235-H246</f>
        <v>-71321</v>
      </c>
      <c r="I247" s="56">
        <f t="shared" si="358"/>
        <v>0</v>
      </c>
      <c r="J247" s="56">
        <f t="shared" si="358"/>
        <v>1.6832991486625251E-3</v>
      </c>
      <c r="K247" s="56">
        <f t="shared" si="358"/>
        <v>0</v>
      </c>
      <c r="L247" s="56">
        <f t="shared" si="358"/>
        <v>0</v>
      </c>
      <c r="M247" s="56">
        <f t="shared" si="358"/>
        <v>0</v>
      </c>
      <c r="N247" s="56">
        <f t="shared" si="358"/>
        <v>-10432</v>
      </c>
      <c r="O247" s="56">
        <f t="shared" si="358"/>
        <v>-131.52797161904164</v>
      </c>
      <c r="P247" s="56">
        <f t="shared" si="358"/>
        <v>0</v>
      </c>
      <c r="Q247" s="56">
        <f t="shared" si="358"/>
        <v>0</v>
      </c>
      <c r="R247" s="56">
        <f t="shared" si="358"/>
        <v>0</v>
      </c>
      <c r="S247" s="56">
        <f t="shared" si="358"/>
        <v>0</v>
      </c>
      <c r="T247" s="56">
        <f t="shared" si="358"/>
        <v>0</v>
      </c>
      <c r="U247" s="56">
        <f t="shared" si="358"/>
        <v>0</v>
      </c>
      <c r="V247" s="56">
        <f t="shared" si="358"/>
        <v>-1</v>
      </c>
      <c r="W247" s="56">
        <f t="shared" si="358"/>
        <v>515</v>
      </c>
      <c r="X247" s="56">
        <f t="shared" si="358"/>
        <v>0</v>
      </c>
      <c r="Y247" s="56">
        <f t="shared" si="358"/>
        <v>0</v>
      </c>
      <c r="Z247" s="56">
        <f t="shared" si="358"/>
        <v>0</v>
      </c>
      <c r="AA247" s="56">
        <f t="shared" si="358"/>
        <v>-399</v>
      </c>
      <c r="AB247" s="56">
        <f t="shared" si="358"/>
        <v>0</v>
      </c>
      <c r="AC247" s="56">
        <f t="shared" si="358"/>
        <v>1.4795473375496179E-4</v>
      </c>
      <c r="AD247" s="56">
        <f t="shared" si="358"/>
        <v>0</v>
      </c>
      <c r="AE247" s="56">
        <f t="shared" si="358"/>
        <v>2.842111418658078</v>
      </c>
      <c r="AF247" s="56">
        <f t="shared" si="358"/>
        <v>0</v>
      </c>
      <c r="AG247" s="56">
        <f t="shared" si="358"/>
        <v>43</v>
      </c>
      <c r="AH247" s="56">
        <f t="shared" si="358"/>
        <v>51403</v>
      </c>
      <c r="AI247" s="56">
        <f t="shared" si="358"/>
        <v>6.4194215589244152E-3</v>
      </c>
      <c r="AJ247" s="56">
        <f t="shared" si="358"/>
        <v>0</v>
      </c>
      <c r="AK247" s="56">
        <f t="shared" si="358"/>
        <v>0</v>
      </c>
      <c r="AL247" s="56">
        <f t="shared" si="358"/>
        <v>-3241</v>
      </c>
      <c r="AM247" s="56">
        <f t="shared" si="358"/>
        <v>0</v>
      </c>
      <c r="AN247" s="56">
        <f t="shared" si="358"/>
        <v>0</v>
      </c>
      <c r="AO247" s="56">
        <f t="shared" si="358"/>
        <v>0</v>
      </c>
      <c r="AP247" s="56">
        <f t="shared" si="358"/>
        <v>-41167</v>
      </c>
      <c r="AQ247" s="56">
        <f t="shared" si="358"/>
        <v>0</v>
      </c>
      <c r="AR247" s="56">
        <f t="shared" si="358"/>
        <v>-4.9522075890240901E-4</v>
      </c>
      <c r="AS247" s="56">
        <f t="shared" si="358"/>
        <v>0</v>
      </c>
      <c r="AT247" s="56">
        <f t="shared" si="358"/>
        <v>0</v>
      </c>
      <c r="AU247" s="56">
        <f t="shared" si="358"/>
        <v>0</v>
      </c>
      <c r="AV247" s="56">
        <f t="shared" si="358"/>
        <v>5.2674380278516786E-4</v>
      </c>
      <c r="AW247" s="56">
        <f t="shared" si="358"/>
        <v>0</v>
      </c>
      <c r="AX247" s="56">
        <f t="shared" si="358"/>
        <v>-63.180850649096101</v>
      </c>
      <c r="AY247" s="56">
        <f t="shared" si="358"/>
        <v>0</v>
      </c>
      <c r="AZ247" s="56">
        <f t="shared" si="358"/>
        <v>0</v>
      </c>
      <c r="BA247" s="56">
        <f t="shared" si="358"/>
        <v>384770</v>
      </c>
      <c r="BB247" s="56">
        <f t="shared" si="358"/>
        <v>0</v>
      </c>
      <c r="BC247" s="56">
        <f t="shared" si="358"/>
        <v>-851151</v>
      </c>
      <c r="BD247" s="56">
        <f t="shared" si="358"/>
        <v>0</v>
      </c>
      <c r="BE247" s="56">
        <f t="shared" si="358"/>
        <v>14972</v>
      </c>
      <c r="BF247" s="56">
        <f t="shared" si="358"/>
        <v>0</v>
      </c>
      <c r="BG247" s="56">
        <f t="shared" si="358"/>
        <v>-1.397278674254808E-2</v>
      </c>
      <c r="BH247" s="56">
        <f t="shared" si="358"/>
        <v>0</v>
      </c>
      <c r="BI247" s="56">
        <f t="shared" si="358"/>
        <v>0</v>
      </c>
      <c r="BJ247" s="56">
        <f t="shared" si="358"/>
        <v>0</v>
      </c>
      <c r="BK247" s="56">
        <f t="shared" si="358"/>
        <v>169684</v>
      </c>
      <c r="BL247" s="56">
        <f t="shared" si="358"/>
        <v>0</v>
      </c>
      <c r="BM247" s="56">
        <f t="shared" si="358"/>
        <v>0</v>
      </c>
      <c r="BN247" s="56">
        <f t="shared" si="358"/>
        <v>-939.02483333973214</v>
      </c>
      <c r="BO247" s="56">
        <f t="shared" si="358"/>
        <v>0</v>
      </c>
      <c r="BP247" s="56">
        <f t="shared" si="358"/>
        <v>-71321</v>
      </c>
      <c r="BQ247" s="56">
        <f t="shared" si="358"/>
        <v>0</v>
      </c>
      <c r="BR247" s="56">
        <f t="shared" si="358"/>
        <v>-1.2428528756182333E-4</v>
      </c>
      <c r="BS247" s="56">
        <f>+BS214-BS246</f>
        <v>0</v>
      </c>
      <c r="BT247" s="10"/>
      <c r="BU247" s="10"/>
      <c r="BV247" s="10"/>
      <c r="BW247" s="62"/>
      <c r="BX247" s="10"/>
      <c r="BY247" s="10"/>
      <c r="BZ247" s="10"/>
      <c r="CA247" s="62"/>
      <c r="CB247" s="61"/>
      <c r="CC247" s="61"/>
      <c r="CD247" s="61"/>
      <c r="CE247" s="61"/>
      <c r="CF247" s="61"/>
      <c r="CG247" s="117"/>
    </row>
    <row r="248" spans="2:85" x14ac:dyDescent="0.3">
      <c r="B248" s="56"/>
      <c r="D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10"/>
      <c r="BT248" s="10"/>
      <c r="BU248" s="10"/>
      <c r="BV248" s="10"/>
      <c r="BW248" s="10"/>
      <c r="BX248" s="10"/>
      <c r="BY248" s="10"/>
      <c r="BZ248" s="10"/>
      <c r="CA248" s="10"/>
      <c r="CB248" s="61"/>
      <c r="CC248" s="117"/>
      <c r="CD248" s="117"/>
      <c r="CE248" s="117"/>
      <c r="CF248" s="117"/>
    </row>
    <row r="249" spans="2:85" x14ac:dyDescent="0.3">
      <c r="B249" s="56"/>
      <c r="D249" s="56">
        <f>SUM(D144:D173)</f>
        <v>1455371</v>
      </c>
      <c r="H249" s="1"/>
      <c r="J249" t="s">
        <v>157</v>
      </c>
      <c r="O249" s="1">
        <f>SUM(W194:W203)</f>
        <v>6954</v>
      </c>
      <c r="W249" s="56">
        <f>SUM(W175:W203)</f>
        <v>23087</v>
      </c>
      <c r="AA249" s="576">
        <f>SUM(W190:W203)</f>
        <v>10600</v>
      </c>
      <c r="BA249" s="59"/>
      <c r="BC249" s="56"/>
      <c r="BE249" s="59"/>
      <c r="BJ249" s="61"/>
      <c r="BK249" s="10">
        <f>+BK187</f>
        <v>4928581</v>
      </c>
      <c r="BL249" s="61"/>
      <c r="BM249" s="61"/>
      <c r="BN249" s="61"/>
      <c r="BO249" s="61"/>
      <c r="BP249" s="61"/>
      <c r="BQ249" s="61"/>
      <c r="BR249" s="61"/>
      <c r="BS249" s="10"/>
      <c r="BT249" s="10"/>
    </row>
    <row r="250" spans="2:85" x14ac:dyDescent="0.3">
      <c r="B250" s="56"/>
      <c r="D250" s="56">
        <f>SUM(D178:D209)</f>
        <v>1293177</v>
      </c>
      <c r="H250" s="56">
        <f>SUM(D113:D143)</f>
        <v>1970617</v>
      </c>
      <c r="W250" s="56">
        <f>+W249/29</f>
        <v>796.10344827586209</v>
      </c>
      <c r="AA250" s="1">
        <f>+AA249/14</f>
        <v>757.14285714285711</v>
      </c>
      <c r="AD250" s="1"/>
      <c r="AE250" s="1"/>
      <c r="AF250" s="1"/>
      <c r="AG250" s="1">
        <f>+AG246/7</f>
        <v>849.42857142857144</v>
      </c>
      <c r="AH250" s="1"/>
      <c r="AI250" s="1"/>
      <c r="AJ250" s="1"/>
      <c r="AK250" s="1"/>
      <c r="AL250" s="1"/>
      <c r="AM250" s="1"/>
      <c r="AN250" s="1"/>
      <c r="AO250" s="1"/>
      <c r="BC250" s="1">
        <f>SUM(BA144:BA174)</f>
        <v>24131128</v>
      </c>
      <c r="BE250" s="59">
        <f>+D249/BC250</f>
        <v>6.0310939463749894E-2</v>
      </c>
      <c r="BG250" t="s">
        <v>168</v>
      </c>
      <c r="BH250" s="108"/>
      <c r="BI250" s="108"/>
      <c r="BJ250" s="108"/>
      <c r="BK250" s="537"/>
      <c r="BL250" s="108"/>
      <c r="BM250" s="108"/>
      <c r="BN250" s="108"/>
      <c r="BO250" s="108"/>
      <c r="BP250" s="108"/>
      <c r="BQ250" s="108"/>
      <c r="BR250" s="90"/>
      <c r="BS250" s="1"/>
      <c r="BT250" s="1"/>
    </row>
    <row r="251" spans="2:85" x14ac:dyDescent="0.3">
      <c r="D251" s="1"/>
      <c r="E251" s="123" t="s">
        <v>28</v>
      </c>
      <c r="F251" s="124"/>
      <c r="H251" s="124" t="s">
        <v>67</v>
      </c>
      <c r="I251" s="116"/>
      <c r="J251" s="116"/>
      <c r="K251" s="61"/>
      <c r="L251" s="10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BC251" s="56">
        <f>SUM(BA178:BA209)</f>
        <v>27490645</v>
      </c>
      <c r="BE251" s="59">
        <f>+D250/BC251</f>
        <v>4.7040620545643799E-2</v>
      </c>
      <c r="BG251" t="s">
        <v>166</v>
      </c>
      <c r="BH251" s="108"/>
      <c r="BI251" s="108"/>
      <c r="BJ251" s="108"/>
      <c r="BK251" s="537">
        <f>+BK194-BK246</f>
        <v>-6044988</v>
      </c>
      <c r="BL251" s="108"/>
      <c r="BM251" s="108"/>
      <c r="BN251" s="108"/>
      <c r="BO251" s="108"/>
      <c r="BP251" s="108"/>
      <c r="BQ251" s="108"/>
      <c r="BR251" s="90"/>
      <c r="BS251" s="1"/>
      <c r="BT251" s="1"/>
    </row>
    <row r="252" spans="2:85" x14ac:dyDescent="0.3">
      <c r="B252" s="56"/>
      <c r="D252" s="1"/>
      <c r="E252" s="123" t="s">
        <v>40</v>
      </c>
      <c r="F252" s="124"/>
      <c r="H252" s="124" t="s">
        <v>42</v>
      </c>
      <c r="I252" s="10"/>
      <c r="J252" s="10"/>
      <c r="K252" s="61"/>
      <c r="L252" s="10"/>
      <c r="AD252" s="1"/>
      <c r="AE252" s="1"/>
      <c r="AF252" s="1"/>
      <c r="AG252" s="1"/>
      <c r="AH252" s="1"/>
      <c r="AI252" s="1"/>
      <c r="AJ252" s="1"/>
      <c r="AK252" s="1"/>
      <c r="AL252" s="1" t="s">
        <v>17</v>
      </c>
      <c r="AM252" s="1"/>
      <c r="AN252" s="1"/>
      <c r="AO252" s="1"/>
      <c r="BC252" s="56">
        <f>SUM(BA113:BB143)</f>
        <v>24295686</v>
      </c>
      <c r="BE252" s="59">
        <f>+H250/BC252</f>
        <v>8.1109749278122867E-2</v>
      </c>
      <c r="BG252" t="s">
        <v>167</v>
      </c>
      <c r="BH252" s="109"/>
      <c r="BI252" s="109"/>
      <c r="BJ252" s="109"/>
      <c r="BK252" s="537">
        <f>+BK187-BK246</f>
        <v>-6879516</v>
      </c>
      <c r="BL252" s="109"/>
      <c r="BM252" s="109"/>
      <c r="BN252" s="109"/>
      <c r="BO252" s="109"/>
      <c r="BP252" s="109"/>
      <c r="BQ252" s="109"/>
      <c r="BR252" s="90"/>
      <c r="BS252" s="1"/>
      <c r="BT252" s="1"/>
    </row>
    <row r="253" spans="2:85" x14ac:dyDescent="0.3">
      <c r="B253" s="273"/>
      <c r="D253" s="1"/>
      <c r="E253" s="123" t="s">
        <v>47</v>
      </c>
      <c r="F253" s="124"/>
      <c r="H253" s="124" t="s">
        <v>57</v>
      </c>
      <c r="I253" s="10"/>
      <c r="J253" s="10"/>
      <c r="K253" s="61"/>
      <c r="L253" s="10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BC253" s="56"/>
      <c r="BE253" s="59"/>
      <c r="BH253" s="109"/>
      <c r="BI253" s="109"/>
      <c r="BJ253" s="109"/>
      <c r="BK253" s="537"/>
      <c r="BL253" s="109"/>
      <c r="BM253" s="109"/>
      <c r="BN253" s="109"/>
      <c r="BO253" s="109"/>
      <c r="BP253" s="109"/>
      <c r="BQ253" s="109"/>
      <c r="BR253" s="90"/>
      <c r="BS253" s="1"/>
      <c r="BT253" s="1"/>
    </row>
    <row r="254" spans="2:85" x14ac:dyDescent="0.3">
      <c r="D254" s="1"/>
      <c r="E254" s="123" t="s">
        <v>68</v>
      </c>
      <c r="F254" s="61"/>
      <c r="H254" s="93" t="s">
        <v>149</v>
      </c>
      <c r="I254" s="61"/>
      <c r="J254" s="61"/>
      <c r="K254" s="61"/>
      <c r="L254" s="6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BA254">
        <v>400000</v>
      </c>
      <c r="BH254" s="109"/>
      <c r="BI254" s="109"/>
      <c r="BJ254" s="109"/>
      <c r="BK254" s="540"/>
      <c r="BL254" s="109"/>
      <c r="BM254" s="109"/>
      <c r="BN254" s="109"/>
      <c r="BO254" s="109"/>
      <c r="BP254" s="109"/>
      <c r="BQ254" s="109"/>
      <c r="BR254" s="90"/>
      <c r="BS254" s="1"/>
      <c r="BT254" s="1"/>
    </row>
    <row r="255" spans="2:85" x14ac:dyDescent="0.3">
      <c r="E255" s="123" t="s">
        <v>150</v>
      </c>
      <c r="H255" s="93" t="s">
        <v>151</v>
      </c>
      <c r="AD255" s="1"/>
      <c r="AE255" s="1"/>
      <c r="AF255" s="1"/>
      <c r="AG255" s="1"/>
      <c r="AH255" s="1"/>
      <c r="AI255" s="1"/>
      <c r="BA255">
        <v>0.05</v>
      </c>
      <c r="BD255" s="90"/>
      <c r="BE255" s="90"/>
      <c r="BF255" s="90"/>
      <c r="BG255" s="90"/>
      <c r="BH255" s="90"/>
      <c r="BI255" s="90"/>
      <c r="BJ255" s="90"/>
      <c r="BK255" s="538"/>
      <c r="BL255" s="90"/>
      <c r="BM255" s="90"/>
      <c r="BN255" s="90"/>
      <c r="BO255" s="90"/>
      <c r="BP255" s="90"/>
      <c r="BQ255" s="90"/>
      <c r="BR255" s="90"/>
      <c r="BS255" s="1"/>
      <c r="BT255" s="1"/>
    </row>
    <row r="256" spans="2:85" x14ac:dyDescent="0.3">
      <c r="B256" s="56">
        <f>SUM(D144:D174)</f>
        <v>1493931</v>
      </c>
      <c r="AD256" s="1"/>
      <c r="AE256" s="1"/>
      <c r="AF256" s="1"/>
      <c r="AG256" s="1"/>
      <c r="AH256" s="1"/>
      <c r="AI256" s="1"/>
      <c r="BA256">
        <f>+BA254*BA255</f>
        <v>20000</v>
      </c>
      <c r="BK256" s="539"/>
    </row>
    <row r="257" spans="2:87" ht="15" thickBot="1" x14ac:dyDescent="0.35">
      <c r="D257" s="56"/>
      <c r="AD257" s="1"/>
      <c r="AE257" s="1"/>
      <c r="AF257" s="1"/>
      <c r="AG257" s="1"/>
      <c r="AH257" s="1"/>
      <c r="AI257" s="528"/>
      <c r="AJ257" s="529"/>
      <c r="AK257" s="529"/>
      <c r="AL257" s="529"/>
      <c r="AM257" s="529"/>
      <c r="AN257" s="529"/>
      <c r="AO257" s="529"/>
      <c r="AP257" s="529"/>
      <c r="AQ257" s="529"/>
      <c r="AR257" s="529"/>
      <c r="AS257" s="529"/>
      <c r="AT257" s="529"/>
      <c r="AU257" s="529"/>
      <c r="AV257" s="529"/>
      <c r="AW257" s="529"/>
      <c r="AX257" s="529"/>
      <c r="AZ257" s="118"/>
      <c r="BA257" s="118"/>
      <c r="BB257" s="118"/>
      <c r="BC257" s="118"/>
      <c r="BK257" s="1"/>
    </row>
    <row r="258" spans="2:87" x14ac:dyDescent="0.3">
      <c r="D258" s="575">
        <v>4900</v>
      </c>
      <c r="J258" s="530">
        <f>+BR125</f>
        <v>7.4075240343216359E-2</v>
      </c>
      <c r="V258" s="118"/>
      <c r="AA258" s="56"/>
      <c r="AD258" s="1"/>
      <c r="AE258" s="1"/>
      <c r="AF258" s="1"/>
      <c r="AG258" s="1"/>
      <c r="AH258" s="1"/>
      <c r="AI258" s="528"/>
      <c r="AJ258" s="507"/>
      <c r="AK258" s="508"/>
      <c r="AL258" s="508"/>
      <c r="AM258" s="508"/>
      <c r="AN258" s="508"/>
      <c r="AO258" s="508"/>
      <c r="AP258" s="508"/>
      <c r="AQ258" s="508"/>
      <c r="AR258" s="508"/>
      <c r="AS258" s="508"/>
      <c r="AT258" s="508"/>
      <c r="AU258" s="508"/>
      <c r="AV258" s="508"/>
      <c r="AW258" s="509"/>
      <c r="AX258" s="529"/>
      <c r="AZ258" s="118"/>
      <c r="BA258" s="89">
        <v>5000000</v>
      </c>
      <c r="BB258" s="118"/>
      <c r="BC258" s="118">
        <f>5/7</f>
        <v>0.7142857142857143</v>
      </c>
      <c r="BK258" s="56"/>
    </row>
    <row r="259" spans="2:87" x14ac:dyDescent="0.3">
      <c r="D259" s="1">
        <v>1000000</v>
      </c>
      <c r="J259" s="232">
        <f>+AC125</f>
        <v>3.9339809186854716E-2</v>
      </c>
      <c r="AD259" s="1"/>
      <c r="AE259" s="1"/>
      <c r="AF259" s="1"/>
      <c r="AG259" s="1"/>
      <c r="AH259" s="1"/>
      <c r="AI259" s="528"/>
      <c r="AJ259" s="510"/>
      <c r="AK259" s="611" t="s">
        <v>156</v>
      </c>
      <c r="AL259" s="611"/>
      <c r="AM259" s="611"/>
      <c r="AN259" s="611"/>
      <c r="AO259" s="611"/>
      <c r="AP259" s="611"/>
      <c r="AQ259" s="611"/>
      <c r="AR259" s="611"/>
      <c r="AS259" s="611"/>
      <c r="AT259" s="611"/>
      <c r="AU259" s="611"/>
      <c r="AV259" s="611"/>
      <c r="AW259" s="511"/>
      <c r="AX259" s="529"/>
      <c r="AZ259" s="118"/>
      <c r="BA259" s="118"/>
      <c r="BB259" s="118"/>
      <c r="BC259" s="118"/>
    </row>
    <row r="260" spans="2:87" ht="15.6" x14ac:dyDescent="0.3">
      <c r="J260" s="57">
        <f>+J258*J259</f>
        <v>2.9141058205725341E-3</v>
      </c>
      <c r="AD260" s="1"/>
      <c r="AE260" s="1"/>
      <c r="AF260" s="1"/>
      <c r="AG260" s="1"/>
      <c r="AH260" s="1"/>
      <c r="AI260" s="528"/>
      <c r="AJ260" s="510"/>
      <c r="AK260" s="611" t="s">
        <v>155</v>
      </c>
      <c r="AL260" s="611"/>
      <c r="AM260" s="611"/>
      <c r="AN260" s="611"/>
      <c r="AO260" s="516"/>
      <c r="AP260" s="517" t="s">
        <v>20</v>
      </c>
      <c r="AQ260" s="516"/>
      <c r="AR260" s="517" t="s">
        <v>4</v>
      </c>
      <c r="AS260" s="518"/>
      <c r="AT260" s="518"/>
      <c r="AU260" s="518"/>
      <c r="AV260" s="522" t="s">
        <v>10</v>
      </c>
      <c r="AW260" s="511"/>
      <c r="AX260" s="529"/>
      <c r="AZ260" s="118"/>
      <c r="BA260" s="118">
        <v>0.05</v>
      </c>
      <c r="BB260" s="118"/>
      <c r="BC260" s="118"/>
    </row>
    <row r="261" spans="2:87" ht="15.6" x14ac:dyDescent="0.3">
      <c r="AD261" s="1"/>
      <c r="AE261" s="1"/>
      <c r="AF261" s="1"/>
      <c r="AG261" s="1"/>
      <c r="AH261" s="1"/>
      <c r="AI261" s="528"/>
      <c r="AJ261" s="510"/>
      <c r="AK261" s="610" t="s">
        <v>152</v>
      </c>
      <c r="AL261" s="610"/>
      <c r="AM261" s="610"/>
      <c r="AN261" s="610"/>
      <c r="AO261" s="516"/>
      <c r="AP261" s="519">
        <f>+AH50</f>
        <v>898992</v>
      </c>
      <c r="AQ261" s="520"/>
      <c r="AR261" s="519">
        <f>+AH51</f>
        <v>55687</v>
      </c>
      <c r="AS261" s="521"/>
      <c r="AT261" s="521"/>
      <c r="AU261" s="521"/>
      <c r="AV261" s="535">
        <f t="shared" ref="AV261:AV267" si="359">+AR261/AP261</f>
        <v>6.194382152455194E-2</v>
      </c>
      <c r="AW261" s="511"/>
      <c r="AX261" s="529"/>
      <c r="AZ261" s="118"/>
      <c r="BA261" s="89">
        <f>+BA258*BA260</f>
        <v>250000</v>
      </c>
      <c r="BB261" s="118"/>
      <c r="BC261" s="118"/>
    </row>
    <row r="262" spans="2:87" ht="15.6" x14ac:dyDescent="0.3">
      <c r="D262" s="277">
        <f>+D258/D259</f>
        <v>4.8999999999999998E-3</v>
      </c>
      <c r="AD262" s="1"/>
      <c r="AE262" s="1"/>
      <c r="AF262" s="1"/>
      <c r="AG262" s="1"/>
      <c r="AH262" s="1"/>
      <c r="AI262" s="528"/>
      <c r="AJ262" s="510"/>
      <c r="AK262" s="593" t="s">
        <v>153</v>
      </c>
      <c r="AL262" s="594"/>
      <c r="AM262" s="594"/>
      <c r="AN262" s="594"/>
      <c r="AO262" s="65"/>
      <c r="AP262" s="512">
        <f>+AG83</f>
        <v>742147</v>
      </c>
      <c r="AQ262" s="65"/>
      <c r="AR262" s="512">
        <f>+AG84</f>
        <v>42339</v>
      </c>
      <c r="AS262" s="65"/>
      <c r="AT262" s="65"/>
      <c r="AU262" s="65"/>
      <c r="AV262" s="533">
        <f t="shared" si="359"/>
        <v>5.7049344671608188E-2</v>
      </c>
      <c r="AW262" s="511"/>
      <c r="AX262" s="529"/>
      <c r="AZ262" s="118"/>
      <c r="BA262" s="89">
        <f>+BA261/7</f>
        <v>35714.285714285717</v>
      </c>
      <c r="BB262" s="118"/>
      <c r="BC262" s="118"/>
    </row>
    <row r="263" spans="2:87" ht="15.6" x14ac:dyDescent="0.3">
      <c r="AD263" s="1"/>
      <c r="AE263" s="1"/>
      <c r="AF263" s="1"/>
      <c r="AG263" s="1"/>
      <c r="AH263" s="1"/>
      <c r="AI263" s="528"/>
      <c r="AJ263" s="510"/>
      <c r="AK263" s="594" t="s">
        <v>154</v>
      </c>
      <c r="AL263" s="594"/>
      <c r="AM263" s="594"/>
      <c r="AN263" s="594"/>
      <c r="AO263" s="65"/>
      <c r="AP263" s="512">
        <f>+AH113</f>
        <v>869627</v>
      </c>
      <c r="AQ263" s="65"/>
      <c r="AR263" s="512">
        <f>+AH114</f>
        <v>21252</v>
      </c>
      <c r="AS263" s="65"/>
      <c r="AT263" s="65"/>
      <c r="AU263" s="65"/>
      <c r="AV263" s="533">
        <f t="shared" si="359"/>
        <v>2.4438063675575852E-2</v>
      </c>
      <c r="AW263" s="511"/>
      <c r="AX263" s="529"/>
      <c r="AZ263" s="118"/>
      <c r="BA263" s="118"/>
      <c r="BB263" s="118"/>
      <c r="BC263" s="118"/>
    </row>
    <row r="264" spans="2:87" ht="15.6" x14ac:dyDescent="0.3">
      <c r="D264" s="471">
        <v>32000</v>
      </c>
      <c r="AD264" s="1"/>
      <c r="AE264" s="1"/>
      <c r="AF264" s="1"/>
      <c r="AG264" s="1"/>
      <c r="AH264" s="1"/>
      <c r="AI264" s="528"/>
      <c r="AJ264" s="510"/>
      <c r="AK264" s="594" t="s">
        <v>158</v>
      </c>
      <c r="AL264" s="594"/>
      <c r="AM264" s="594"/>
      <c r="AN264" s="594"/>
      <c r="AO264" s="65"/>
      <c r="AP264" s="512">
        <f>+AG270</f>
        <v>1970617</v>
      </c>
      <c r="AQ264" s="65"/>
      <c r="AR264" s="512">
        <f>+AG272</f>
        <v>25901</v>
      </c>
      <c r="AS264" s="65"/>
      <c r="AT264" s="65"/>
      <c r="AU264" s="65"/>
      <c r="AV264" s="533">
        <f t="shared" si="359"/>
        <v>1.3143599187462607E-2</v>
      </c>
      <c r="AW264" s="511"/>
      <c r="AX264" s="529"/>
    </row>
    <row r="265" spans="2:87" ht="15.6" x14ac:dyDescent="0.3">
      <c r="D265" s="471"/>
      <c r="AD265" s="1"/>
      <c r="AE265" s="1"/>
      <c r="AF265" s="1"/>
      <c r="AG265" s="1"/>
      <c r="AH265" s="1"/>
      <c r="AI265" s="528"/>
      <c r="AJ265" s="510"/>
      <c r="AK265" s="588"/>
      <c r="AL265" s="588" t="s">
        <v>169</v>
      </c>
      <c r="AM265" s="588"/>
      <c r="AN265" s="588"/>
      <c r="AO265" s="65"/>
      <c r="AP265" s="512">
        <f>SUM(D144:D174)</f>
        <v>1493931</v>
      </c>
      <c r="AQ265" s="65"/>
      <c r="AR265" s="512">
        <f>SUM(W144:W174)</f>
        <v>30354</v>
      </c>
      <c r="AS265" s="65"/>
      <c r="AT265" s="65"/>
      <c r="AU265" s="65"/>
      <c r="AV265" s="533">
        <f t="shared" si="359"/>
        <v>2.0318207467413155E-2</v>
      </c>
      <c r="AW265" s="511"/>
      <c r="AX265" s="529"/>
    </row>
    <row r="266" spans="2:87" ht="15.6" x14ac:dyDescent="0.3">
      <c r="D266" s="471"/>
      <c r="AD266" s="1"/>
      <c r="AE266" s="1"/>
      <c r="AF266" s="1"/>
      <c r="AG266" s="1"/>
      <c r="AH266" s="1"/>
      <c r="AI266" s="528"/>
      <c r="AJ266" s="510"/>
      <c r="AK266" s="588"/>
      <c r="AL266" s="588" t="s">
        <v>170</v>
      </c>
      <c r="AM266" s="588"/>
      <c r="AN266" s="588"/>
      <c r="AO266" s="65"/>
      <c r="AP266" s="512">
        <f>SUM(D175:D204)</f>
        <v>1202331</v>
      </c>
      <c r="AQ266" s="65"/>
      <c r="AR266" s="589">
        <f>SUM(W175:W204)</f>
        <v>24042</v>
      </c>
      <c r="AS266" s="65"/>
      <c r="AT266" s="65"/>
      <c r="AU266" s="65"/>
      <c r="AV266" s="533">
        <f t="shared" si="359"/>
        <v>1.9996157464125936E-2</v>
      </c>
      <c r="AW266" s="511"/>
      <c r="AX266" s="529"/>
    </row>
    <row r="267" spans="2:87" ht="15.6" x14ac:dyDescent="0.3">
      <c r="D267" s="471"/>
      <c r="AD267" s="1"/>
      <c r="AE267" s="1"/>
      <c r="AF267" s="1"/>
      <c r="AG267" s="1"/>
      <c r="AH267" s="1"/>
      <c r="AI267" s="528"/>
      <c r="AJ267" s="510"/>
      <c r="AK267" s="588"/>
      <c r="AL267" s="588" t="s">
        <v>171</v>
      </c>
      <c r="AM267" s="588"/>
      <c r="AN267" s="588"/>
      <c r="AO267" s="65"/>
      <c r="AP267" s="512">
        <f>SUM(D205:D230)</f>
        <v>1470960</v>
      </c>
      <c r="AQ267" s="65"/>
      <c r="AR267" s="512">
        <f>SUM(W205:W230)</f>
        <v>19138</v>
      </c>
      <c r="AS267" s="65"/>
      <c r="AT267" s="65"/>
      <c r="AU267" s="65"/>
      <c r="AV267" s="533">
        <f t="shared" si="359"/>
        <v>1.3010550932724208E-2</v>
      </c>
      <c r="AW267" s="511"/>
      <c r="AX267" s="529"/>
      <c r="BA267" s="530">
        <f>+AV261-AV267</f>
        <v>4.8933270591827734E-2</v>
      </c>
    </row>
    <row r="268" spans="2:87" ht="15" thickBot="1" x14ac:dyDescent="0.35">
      <c r="B268" s="470"/>
      <c r="D268" s="277"/>
      <c r="AD268" s="1"/>
      <c r="AE268" s="1"/>
      <c r="AF268" s="1"/>
      <c r="AG268" s="1"/>
      <c r="AH268" s="1"/>
      <c r="AI268" s="528"/>
      <c r="AJ268" s="510"/>
      <c r="AK268" s="523"/>
      <c r="AL268" s="523"/>
      <c r="AM268" s="523"/>
      <c r="AN268" s="523"/>
      <c r="AO268" s="524"/>
      <c r="AP268" s="525"/>
      <c r="AQ268" s="524"/>
      <c r="AR268" s="525"/>
      <c r="AS268" s="524"/>
      <c r="AT268" s="524"/>
      <c r="AU268" s="524"/>
      <c r="AV268" s="526"/>
      <c r="AW268" s="511"/>
      <c r="AX268" s="529"/>
      <c r="BA268">
        <f>+BA267/AV261</f>
        <v>0.78996208802572232</v>
      </c>
    </row>
    <row r="269" spans="2:87" ht="15.6" x14ac:dyDescent="0.3">
      <c r="B269" s="470"/>
      <c r="D269" s="277"/>
      <c r="AD269" s="1"/>
      <c r="AE269" s="1"/>
      <c r="AF269" s="1"/>
      <c r="AG269" s="1"/>
      <c r="AH269" s="1"/>
      <c r="AI269" s="528"/>
      <c r="AJ269" s="510"/>
      <c r="AK269" s="610" t="s">
        <v>152</v>
      </c>
      <c r="AL269" s="610"/>
      <c r="AM269" s="610"/>
      <c r="AN269" s="610"/>
      <c r="AO269" s="65"/>
      <c r="AP269" s="512"/>
      <c r="AQ269" s="65"/>
      <c r="AR269" s="512">
        <f>+AR261</f>
        <v>55687</v>
      </c>
      <c r="AS269" s="65"/>
      <c r="AT269" s="65"/>
      <c r="AU269" s="65"/>
      <c r="AV269" s="156"/>
      <c r="AW269" s="511"/>
      <c r="AX269" s="529"/>
    </row>
    <row r="270" spans="2:87" ht="15.6" x14ac:dyDescent="0.3">
      <c r="B270" s="470"/>
      <c r="D270" s="277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10"/>
      <c r="AE270" s="10"/>
      <c r="AF270" s="1"/>
      <c r="AG270" s="33">
        <f>SUM(D113:D143)</f>
        <v>1970617</v>
      </c>
      <c r="AH270" s="1"/>
      <c r="AI270" s="528"/>
      <c r="AJ270" s="510"/>
      <c r="AK270" s="590" t="s">
        <v>175</v>
      </c>
      <c r="AL270" s="591"/>
      <c r="AM270" s="591"/>
      <c r="AN270" s="64"/>
      <c r="AO270" s="65"/>
      <c r="AP270" s="512"/>
      <c r="AQ270" s="65"/>
      <c r="AR270" s="512">
        <f>+(AR267)*1.2</f>
        <v>22965.599999999999</v>
      </c>
      <c r="AS270" s="65"/>
      <c r="AT270" s="65"/>
      <c r="AU270" s="65"/>
      <c r="AV270" s="156"/>
      <c r="AW270" s="511"/>
      <c r="AX270" s="529"/>
    </row>
    <row r="271" spans="2:87" ht="15.6" x14ac:dyDescent="0.3">
      <c r="B271" s="470"/>
      <c r="D271" s="277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10"/>
      <c r="AE271" s="10"/>
      <c r="AF271" s="1"/>
      <c r="AG271" s="33">
        <f>SUM(W125:W138)</f>
        <v>12117</v>
      </c>
      <c r="AH271" s="1"/>
      <c r="AI271" s="528"/>
      <c r="AJ271" s="510"/>
      <c r="AK271" s="64"/>
      <c r="AL271" s="541" t="s">
        <v>3</v>
      </c>
      <c r="AM271" s="64"/>
      <c r="AN271" s="64"/>
      <c r="AO271" s="65"/>
      <c r="AP271" s="512"/>
      <c r="AQ271" s="65"/>
      <c r="AR271" s="512">
        <f>+AR269-AR270</f>
        <v>32721.4</v>
      </c>
      <c r="AS271" s="65"/>
      <c r="AT271" s="65"/>
      <c r="AU271" s="65"/>
      <c r="AV271" s="527">
        <f>+AR271/AR269</f>
        <v>0.58759495034747788</v>
      </c>
      <c r="AW271" s="511"/>
      <c r="AX271" s="529"/>
    </row>
    <row r="272" spans="2:87" ht="15" thickBot="1" x14ac:dyDescent="0.35">
      <c r="D272" s="470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10"/>
      <c r="AE272" s="10"/>
      <c r="AF272" s="1"/>
      <c r="AG272" s="33">
        <f>SUM(W113:W143)</f>
        <v>25901</v>
      </c>
      <c r="AH272" s="1"/>
      <c r="AI272" s="528"/>
      <c r="AJ272" s="513"/>
      <c r="AK272" s="514"/>
      <c r="AL272" s="514"/>
      <c r="AM272" s="514"/>
      <c r="AN272" s="514"/>
      <c r="AO272" s="514"/>
      <c r="AP272" s="514"/>
      <c r="AQ272" s="514"/>
      <c r="AR272" s="514"/>
      <c r="AS272" s="514"/>
      <c r="AT272" s="514"/>
      <c r="AU272" s="514"/>
      <c r="AV272" s="514"/>
      <c r="AW272" s="515"/>
      <c r="AX272" s="529"/>
      <c r="BD272" s="90"/>
      <c r="BE272" s="90"/>
      <c r="BF272" s="90"/>
      <c r="BG272" s="90"/>
      <c r="BH272" s="90"/>
      <c r="BI272" s="90"/>
      <c r="BJ272" s="90"/>
      <c r="BK272" s="90"/>
      <c r="BL272" s="90"/>
      <c r="BM272" s="90"/>
      <c r="BN272" s="90"/>
      <c r="BO272" s="90"/>
      <c r="BP272" s="90"/>
      <c r="BQ272" s="90"/>
      <c r="BR272" s="90"/>
      <c r="BS272" s="1"/>
      <c r="BT272" s="1"/>
      <c r="BU272" s="1"/>
      <c r="BV272" s="1"/>
      <c r="BW272" s="90"/>
      <c r="BX272" s="90"/>
      <c r="BY272" s="90"/>
      <c r="BZ272" s="90"/>
      <c r="CA272" s="90"/>
      <c r="CB272" s="90"/>
      <c r="CC272" s="90"/>
      <c r="CD272" s="90"/>
      <c r="CE272" s="90"/>
      <c r="CF272" s="90"/>
      <c r="CG272" s="90"/>
      <c r="CH272" s="90"/>
      <c r="CI272" s="90"/>
    </row>
    <row r="273" spans="4:87" x14ac:dyDescent="0.3"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10"/>
      <c r="AE273" s="10"/>
      <c r="AF273" s="10"/>
      <c r="AG273" s="10"/>
      <c r="AH273" s="10"/>
      <c r="AI273" s="528"/>
      <c r="AJ273" s="529"/>
      <c r="AK273" s="529"/>
      <c r="AL273" s="529"/>
      <c r="AM273" s="529"/>
      <c r="AN273" s="529"/>
      <c r="AO273" s="529"/>
      <c r="AP273" s="529"/>
      <c r="AQ273" s="529"/>
      <c r="AR273" s="529"/>
      <c r="AS273" s="529"/>
      <c r="AT273" s="529"/>
      <c r="AU273" s="529"/>
      <c r="AV273" s="529"/>
      <c r="AW273" s="529"/>
      <c r="AX273" s="529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89"/>
      <c r="BX273" s="89"/>
      <c r="BY273" s="89"/>
      <c r="BZ273" s="89"/>
      <c r="CA273" s="121"/>
      <c r="CB273" s="1"/>
      <c r="CC273" s="1"/>
      <c r="CD273" s="1"/>
      <c r="CE273" s="1"/>
      <c r="CF273" s="1"/>
      <c r="CG273" s="1"/>
      <c r="CH273" s="1"/>
      <c r="CI273" s="1"/>
    </row>
    <row r="274" spans="4:87" x14ac:dyDescent="0.3">
      <c r="D274">
        <v>10</v>
      </c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10"/>
      <c r="AE274" s="10"/>
      <c r="AF274" s="10"/>
      <c r="AG274" s="10"/>
      <c r="AH274" s="10"/>
      <c r="AI274" s="10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89"/>
      <c r="BX274" s="89"/>
      <c r="BY274" s="89"/>
      <c r="BZ274" s="89"/>
      <c r="CA274" s="89"/>
      <c r="CB274" s="1"/>
      <c r="CC274" s="1"/>
      <c r="CD274" s="1"/>
      <c r="CE274" s="1"/>
      <c r="CF274" s="1"/>
      <c r="CG274" s="1"/>
      <c r="CH274" s="1"/>
      <c r="CI274" s="1"/>
    </row>
    <row r="275" spans="4:87" x14ac:dyDescent="0.3">
      <c r="D275" s="1">
        <v>77000000</v>
      </c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10"/>
      <c r="AE275" s="10"/>
      <c r="AF275" s="10"/>
      <c r="AG275" s="10"/>
      <c r="AH275" s="10"/>
      <c r="AI275" s="10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89"/>
      <c r="BX275" s="89"/>
      <c r="BY275" s="89"/>
      <c r="BZ275" s="89"/>
      <c r="CA275" s="89"/>
      <c r="CB275" s="1"/>
      <c r="CC275" s="1"/>
      <c r="CD275" s="1"/>
      <c r="CE275" s="1"/>
      <c r="CF275" s="1"/>
      <c r="CG275" s="1"/>
    </row>
    <row r="276" spans="4:87" x14ac:dyDescent="0.3">
      <c r="D276" s="57">
        <f>+D275/D278</f>
        <v>0.23262839879154079</v>
      </c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10"/>
      <c r="AE276" s="10"/>
      <c r="AF276" s="10"/>
      <c r="AG276" s="545"/>
      <c r="AH276" s="10"/>
      <c r="AI276" s="10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89"/>
      <c r="BX276" s="89"/>
      <c r="BY276" s="89"/>
      <c r="BZ276" s="89"/>
      <c r="CA276" s="89"/>
      <c r="CB276" s="1"/>
      <c r="CC276" s="1"/>
      <c r="CD276" s="1"/>
      <c r="CE276" s="1"/>
      <c r="CF276" s="1"/>
      <c r="CG276" s="1"/>
    </row>
    <row r="277" spans="4:87" x14ac:dyDescent="0.3"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10"/>
      <c r="AE277" s="10"/>
      <c r="AF277" s="551"/>
      <c r="AG277" s="570"/>
      <c r="AH277" s="551"/>
      <c r="AI277" s="551"/>
      <c r="AJ277" s="544"/>
      <c r="AK277" s="544"/>
      <c r="AL277" s="544"/>
      <c r="AM277" s="544"/>
      <c r="AN277" s="544"/>
      <c r="AO277" s="544"/>
      <c r="AP277" s="544"/>
      <c r="AQ277" s="544"/>
      <c r="AR277" s="544"/>
      <c r="AS277" s="544"/>
      <c r="AT277" s="544"/>
      <c r="AU277" s="544"/>
      <c r="AV277" s="544"/>
      <c r="AW277" s="544"/>
      <c r="AX277" s="544"/>
      <c r="AY277" s="544"/>
      <c r="AZ277" s="544"/>
      <c r="BA277" s="544"/>
      <c r="BB277" s="544"/>
      <c r="BC277" s="544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89"/>
      <c r="BX277" s="89"/>
      <c r="BY277" s="122"/>
      <c r="BZ277" s="89"/>
      <c r="CA277" s="89"/>
    </row>
    <row r="278" spans="4:87" x14ac:dyDescent="0.3">
      <c r="D278" s="1">
        <v>331000000</v>
      </c>
      <c r="H278">
        <v>0.13400000000000001</v>
      </c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10"/>
      <c r="AE278" s="10"/>
      <c r="AF278" s="551"/>
      <c r="AG278" s="571"/>
      <c r="AH278" s="551"/>
      <c r="AI278" s="551"/>
      <c r="AJ278" s="568"/>
      <c r="AK278" s="568"/>
      <c r="AL278" s="569"/>
      <c r="AM278" s="569"/>
      <c r="AN278" s="569"/>
      <c r="AO278" s="569"/>
      <c r="AP278" s="569"/>
      <c r="AQ278" s="569"/>
      <c r="AR278" s="569"/>
      <c r="AS278" s="569"/>
      <c r="AT278" s="569"/>
      <c r="AU278" s="569"/>
      <c r="AV278" s="569"/>
      <c r="AW278" s="569"/>
      <c r="AX278" s="569"/>
      <c r="AY278" s="569"/>
      <c r="AZ278" s="569"/>
      <c r="BA278" s="569"/>
      <c r="BB278" s="568"/>
      <c r="BC278" s="568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89"/>
      <c r="BX278" s="89"/>
      <c r="BY278" s="89"/>
      <c r="BZ278" s="89"/>
      <c r="CA278" s="89"/>
    </row>
    <row r="279" spans="4:87" x14ac:dyDescent="0.3">
      <c r="D279" s="1">
        <f>+D278*H278</f>
        <v>44354000</v>
      </c>
      <c r="H279" s="1">
        <f>+D279*0.001</f>
        <v>44354</v>
      </c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10"/>
      <c r="AE279" s="10"/>
      <c r="AF279" s="551"/>
      <c r="AG279" s="570"/>
      <c r="AH279" s="551"/>
      <c r="AI279" s="551"/>
      <c r="AJ279" s="568"/>
      <c r="AK279" s="568"/>
      <c r="AL279" s="150"/>
      <c r="AM279" s="150"/>
      <c r="AN279" s="150"/>
      <c r="AO279" s="150"/>
      <c r="AP279" s="150"/>
      <c r="AQ279" s="150"/>
      <c r="AR279" s="150"/>
      <c r="AS279" s="90"/>
      <c r="AT279" s="90"/>
      <c r="AU279" s="90"/>
      <c r="AV279" s="110"/>
      <c r="AW279" s="110"/>
      <c r="AX279" s="110"/>
      <c r="AY279" s="110"/>
      <c r="AZ279" s="568"/>
      <c r="BA279" s="568"/>
      <c r="BB279" s="574"/>
      <c r="BC279" s="568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89"/>
      <c r="BX279" s="89"/>
      <c r="BY279" s="89"/>
      <c r="BZ279" s="89"/>
      <c r="CA279" s="89"/>
    </row>
    <row r="280" spans="4:87" x14ac:dyDescent="0.3">
      <c r="D280" s="468">
        <v>7.1999999999999995E-2</v>
      </c>
      <c r="H280" s="1">
        <f>+AA204*H278</f>
        <v>28384.416000000001</v>
      </c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10"/>
      <c r="AE280" s="10"/>
      <c r="AF280" s="551"/>
      <c r="AG280" s="570">
        <v>44031</v>
      </c>
      <c r="AH280" s="551"/>
      <c r="AI280" s="551"/>
      <c r="AJ280" s="568"/>
      <c r="AK280" s="568"/>
      <c r="AL280" s="150"/>
      <c r="AM280" s="150"/>
      <c r="AN280" s="150"/>
      <c r="AO280" s="150"/>
      <c r="AP280" s="150"/>
      <c r="AQ280" s="150"/>
      <c r="AR280" s="150"/>
      <c r="AS280" s="150"/>
      <c r="AT280" s="110"/>
      <c r="AU280" s="90"/>
      <c r="AV280" s="110"/>
      <c r="AW280" s="110"/>
      <c r="AX280" s="110"/>
      <c r="AY280" s="110"/>
      <c r="AZ280" s="568"/>
      <c r="BA280" s="568"/>
      <c r="BB280" s="574"/>
      <c r="BC280" s="568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89"/>
      <c r="BX280" s="89"/>
      <c r="BY280" s="89"/>
      <c r="BZ280" s="89"/>
      <c r="CA280" s="89"/>
    </row>
    <row r="281" spans="4:87" x14ac:dyDescent="0.3"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10"/>
      <c r="AE281" s="10"/>
      <c r="AF281" s="551"/>
      <c r="AG281" s="570">
        <v>44038</v>
      </c>
      <c r="AH281" s="551"/>
      <c r="AI281" s="551"/>
      <c r="AJ281" s="568"/>
      <c r="AK281" s="568"/>
      <c r="AL281" s="90"/>
      <c r="AM281" s="90"/>
      <c r="AN281" s="151"/>
      <c r="AO281" s="151"/>
      <c r="AP281" s="151"/>
      <c r="AQ281" s="151"/>
      <c r="AR281" s="151"/>
      <c r="AS281" s="90"/>
      <c r="AT281" s="90"/>
      <c r="AU281" s="90"/>
      <c r="AV281" s="110"/>
      <c r="AW281" s="110"/>
      <c r="AX281" s="110"/>
      <c r="AY281" s="110"/>
      <c r="AZ281" s="568"/>
      <c r="BA281" s="568"/>
      <c r="BB281" s="574"/>
      <c r="BC281" s="568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89"/>
      <c r="BX281" s="89"/>
      <c r="BY281" s="89"/>
      <c r="BZ281" s="89"/>
      <c r="CA281" s="89"/>
    </row>
    <row r="282" spans="4:87" x14ac:dyDescent="0.3">
      <c r="D282" s="277">
        <v>4.2000000000000003E-2</v>
      </c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10"/>
      <c r="AE282" s="10"/>
      <c r="AF282" s="551"/>
      <c r="AG282" s="570">
        <v>44045</v>
      </c>
      <c r="AH282" s="551"/>
      <c r="AI282" s="551"/>
      <c r="AJ282" s="568"/>
      <c r="AK282" s="568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10"/>
      <c r="AW282" s="110"/>
      <c r="AX282" s="110"/>
      <c r="AY282" s="110"/>
      <c r="AZ282" s="568"/>
      <c r="BA282" s="568"/>
      <c r="BB282" s="574"/>
      <c r="BC282" s="568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4:87" x14ac:dyDescent="0.3">
      <c r="D283" s="575">
        <f>+D278*D280*D282</f>
        <v>1000944.0000000001</v>
      </c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10"/>
      <c r="AE283" s="10"/>
      <c r="AF283" s="551"/>
      <c r="AG283" s="570">
        <v>44052</v>
      </c>
      <c r="AH283" s="551"/>
      <c r="AI283" s="551"/>
      <c r="AJ283" s="568"/>
      <c r="AK283" s="568"/>
      <c r="AL283" s="90"/>
      <c r="AM283" s="90"/>
      <c r="AN283" s="151"/>
      <c r="AO283" s="151"/>
      <c r="AP283" s="151"/>
      <c r="AQ283" s="151"/>
      <c r="AR283" s="151"/>
      <c r="AS283" s="151"/>
      <c r="AT283" s="151"/>
      <c r="AU283" s="90"/>
      <c r="AV283" s="110"/>
      <c r="AW283" s="110"/>
      <c r="AX283" s="110"/>
      <c r="AY283" s="110"/>
      <c r="AZ283" s="568"/>
      <c r="BA283" s="568"/>
      <c r="BB283" s="574"/>
      <c r="BC283" s="568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4:87" x14ac:dyDescent="0.3"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10"/>
      <c r="AE284" s="10"/>
      <c r="AF284" s="551"/>
      <c r="AG284" s="570"/>
      <c r="AH284" s="551"/>
      <c r="AI284" s="551"/>
      <c r="AJ284" s="568"/>
      <c r="AK284" s="568"/>
      <c r="AL284" s="90"/>
      <c r="AM284" s="90"/>
      <c r="AN284" s="151"/>
      <c r="AO284" s="151"/>
      <c r="AP284" s="151"/>
      <c r="AQ284" s="151"/>
      <c r="AR284" s="151"/>
      <c r="AS284" s="151"/>
      <c r="AT284" s="151"/>
      <c r="AU284" s="90"/>
      <c r="AV284" s="110"/>
      <c r="AW284" s="110"/>
      <c r="AX284" s="110"/>
      <c r="AY284" s="110"/>
      <c r="AZ284" s="568"/>
      <c r="BA284" s="568"/>
      <c r="BB284" s="574"/>
      <c r="BC284" s="568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4:87" x14ac:dyDescent="0.3"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10"/>
      <c r="AE285" s="10"/>
      <c r="AF285" s="551"/>
      <c r="AG285" s="570"/>
      <c r="AH285" s="551"/>
      <c r="AI285" s="551"/>
      <c r="AJ285" s="568"/>
      <c r="AK285" s="568"/>
      <c r="AL285" s="90"/>
      <c r="AM285" s="90"/>
      <c r="AN285" s="151"/>
      <c r="AO285" s="151"/>
      <c r="AP285" s="151"/>
      <c r="AQ285" s="151"/>
      <c r="AR285" s="151"/>
      <c r="AS285" s="151"/>
      <c r="AT285" s="151"/>
      <c r="AU285" s="90"/>
      <c r="AV285" s="110"/>
      <c r="AW285" s="110"/>
      <c r="AX285" s="110"/>
      <c r="AY285" s="110"/>
      <c r="AZ285" s="568"/>
      <c r="BA285" s="568"/>
      <c r="BB285" s="574"/>
      <c r="BC285" s="568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4:87" x14ac:dyDescent="0.3"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10"/>
      <c r="AE286" s="10"/>
      <c r="AF286" s="551"/>
      <c r="AG286" s="572"/>
      <c r="AH286" s="551"/>
      <c r="AI286" s="551"/>
      <c r="AJ286" s="568"/>
      <c r="AK286" s="568"/>
      <c r="AL286" s="90"/>
      <c r="AM286" s="90"/>
      <c r="AN286" s="151"/>
      <c r="AO286" s="151"/>
      <c r="AP286" s="151"/>
      <c r="AQ286" s="151"/>
      <c r="AR286" s="151"/>
      <c r="AS286" s="151"/>
      <c r="AT286" s="151"/>
      <c r="AU286" s="90"/>
      <c r="AV286" s="110"/>
      <c r="AW286" s="110"/>
      <c r="AX286" s="110"/>
      <c r="AY286" s="110"/>
      <c r="AZ286" s="568"/>
      <c r="BA286" s="568"/>
      <c r="BB286" s="574"/>
      <c r="BC286" s="568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4:87" x14ac:dyDescent="0.3"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10"/>
      <c r="AE287" s="10"/>
      <c r="AF287" s="551"/>
      <c r="AG287" s="551"/>
      <c r="AH287" s="551"/>
      <c r="AI287" s="551"/>
      <c r="AJ287" s="568"/>
      <c r="AK287" s="568"/>
      <c r="AL287" s="90"/>
      <c r="AM287" s="90"/>
      <c r="AN287" s="151"/>
      <c r="AO287" s="151"/>
      <c r="AP287" s="151"/>
      <c r="AQ287" s="151"/>
      <c r="AR287" s="151"/>
      <c r="AS287" s="151"/>
      <c r="AT287" s="151"/>
      <c r="AU287" s="90"/>
      <c r="AV287" s="110"/>
      <c r="AW287" s="110"/>
      <c r="AX287" s="110"/>
      <c r="AY287" s="110"/>
      <c r="AZ287" s="568"/>
      <c r="BA287" s="568"/>
      <c r="BB287" s="574"/>
      <c r="BC287" s="568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4:87" x14ac:dyDescent="0.3"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10"/>
      <c r="AE288" s="10"/>
      <c r="AF288" s="551"/>
      <c r="AG288" s="551"/>
      <c r="AH288" s="551"/>
      <c r="AI288" s="551"/>
      <c r="AJ288" s="568"/>
      <c r="AK288" s="568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90"/>
      <c r="AW288" s="90"/>
      <c r="AX288" s="90"/>
      <c r="AY288" s="90"/>
      <c r="AZ288" s="568"/>
      <c r="BA288" s="574"/>
      <c r="BB288" s="574"/>
      <c r="BC288" s="568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2:79" x14ac:dyDescent="0.3">
      <c r="AD289" s="10"/>
      <c r="AE289" s="10"/>
      <c r="AF289" s="551"/>
      <c r="AG289" s="551"/>
      <c r="AH289" s="551"/>
      <c r="AI289" s="551"/>
      <c r="AJ289" s="568"/>
      <c r="AK289" s="568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90"/>
      <c r="AW289" s="90"/>
      <c r="AX289" s="90"/>
      <c r="AY289" s="90"/>
      <c r="AZ289" s="568"/>
      <c r="BA289" s="574"/>
      <c r="BB289" s="574"/>
      <c r="BC289" s="568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2:79" ht="15" thickBot="1" x14ac:dyDescent="0.35">
      <c r="B290" s="544"/>
      <c r="C290" s="544"/>
      <c r="D290" s="544"/>
      <c r="E290" s="544"/>
      <c r="F290" s="544"/>
      <c r="G290" s="544"/>
      <c r="H290" s="544"/>
      <c r="I290" s="544"/>
      <c r="J290" s="544"/>
      <c r="K290" s="544"/>
      <c r="L290" s="544"/>
      <c r="M290" s="544"/>
      <c r="N290" s="544"/>
      <c r="O290" s="544"/>
      <c r="P290" s="544"/>
      <c r="Q290" s="544"/>
      <c r="R290" s="544"/>
      <c r="S290" s="544"/>
      <c r="T290" s="544"/>
      <c r="U290" s="544"/>
      <c r="V290" s="544"/>
      <c r="AD290" s="10"/>
      <c r="AE290" s="10"/>
      <c r="AF290" s="551"/>
      <c r="AG290" s="551"/>
      <c r="AH290" s="551"/>
      <c r="AI290" s="551"/>
      <c r="AJ290" s="568"/>
      <c r="AK290" s="568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90"/>
      <c r="AW290" s="90"/>
      <c r="AX290" s="90"/>
      <c r="AY290" s="90"/>
      <c r="AZ290" s="568"/>
      <c r="BA290" s="574"/>
      <c r="BB290" s="574"/>
      <c r="BC290" s="568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2:79" x14ac:dyDescent="0.3">
      <c r="B291" s="544"/>
      <c r="C291" s="554"/>
      <c r="D291" s="400"/>
      <c r="E291" s="400"/>
      <c r="F291" s="400"/>
      <c r="G291" s="400"/>
      <c r="H291" s="400"/>
      <c r="I291" s="400"/>
      <c r="J291" s="400"/>
      <c r="K291" s="400"/>
      <c r="L291" s="400"/>
      <c r="M291" s="400"/>
      <c r="N291" s="400"/>
      <c r="O291" s="400"/>
      <c r="P291" s="555"/>
      <c r="V291" s="544"/>
      <c r="AD291" s="10"/>
      <c r="AE291" s="10"/>
      <c r="AF291" s="551"/>
      <c r="AG291" s="551"/>
      <c r="AH291" s="551"/>
      <c r="AI291" s="551"/>
      <c r="AJ291" s="568"/>
      <c r="AK291" s="568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90"/>
      <c r="AW291" s="90"/>
      <c r="AX291" s="90"/>
      <c r="AY291" s="90"/>
      <c r="AZ291" s="568"/>
      <c r="BA291" s="574"/>
      <c r="BB291" s="574"/>
      <c r="BC291" s="568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2:79" x14ac:dyDescent="0.3">
      <c r="B292" s="544"/>
      <c r="C292" s="556"/>
      <c r="D292" s="546" t="s">
        <v>164</v>
      </c>
      <c r="E292" s="430"/>
      <c r="F292" s="430"/>
      <c r="G292" s="430"/>
      <c r="H292" s="609" t="s">
        <v>20</v>
      </c>
      <c r="I292" s="609"/>
      <c r="J292" s="609"/>
      <c r="K292" s="430"/>
      <c r="L292" s="430"/>
      <c r="M292" s="430"/>
      <c r="N292" s="430"/>
      <c r="O292" s="430"/>
      <c r="P292" s="557"/>
      <c r="V292" s="544"/>
      <c r="AD292" s="10"/>
      <c r="AE292" s="10"/>
      <c r="AF292" s="551"/>
      <c r="AG292" s="551"/>
      <c r="AH292" s="551"/>
      <c r="AI292" s="551"/>
      <c r="AJ292" s="568"/>
      <c r="AK292" s="568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90"/>
      <c r="AW292" s="90"/>
      <c r="AX292" s="90"/>
      <c r="AY292" s="90"/>
      <c r="AZ292" s="568"/>
      <c r="BA292" s="574"/>
      <c r="BB292" s="574"/>
      <c r="BC292" s="568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2:79" x14ac:dyDescent="0.3">
      <c r="B293" s="544"/>
      <c r="C293" s="556"/>
      <c r="D293" s="558" t="s">
        <v>165</v>
      </c>
      <c r="E293" s="430"/>
      <c r="F293" s="430"/>
      <c r="G293" s="430"/>
      <c r="H293" s="559" t="s">
        <v>162</v>
      </c>
      <c r="I293" s="546"/>
      <c r="J293" s="560" t="s">
        <v>163</v>
      </c>
      <c r="K293" s="546"/>
      <c r="L293" s="546"/>
      <c r="M293" s="546"/>
      <c r="N293" s="546"/>
      <c r="O293" s="561" t="s">
        <v>3</v>
      </c>
      <c r="P293" s="557"/>
      <c r="V293" s="544"/>
      <c r="AD293" s="10"/>
      <c r="AE293" s="10"/>
      <c r="AF293" s="551"/>
      <c r="AG293" s="551"/>
      <c r="AH293" s="551"/>
      <c r="AI293" s="551"/>
      <c r="AJ293" s="568"/>
      <c r="AK293" s="568"/>
      <c r="AL293" s="573"/>
      <c r="AM293" s="573"/>
      <c r="AN293" s="573"/>
      <c r="AO293" s="573"/>
      <c r="AP293" s="573"/>
      <c r="AQ293" s="573"/>
      <c r="AR293" s="573"/>
      <c r="AS293" s="573"/>
      <c r="AT293" s="573"/>
      <c r="AU293" s="573"/>
      <c r="AV293" s="568"/>
      <c r="AW293" s="568"/>
      <c r="AX293" s="568"/>
      <c r="AY293" s="568"/>
      <c r="AZ293" s="568"/>
      <c r="BA293" s="574"/>
      <c r="BB293" s="574"/>
      <c r="BC293" s="568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2:79" x14ac:dyDescent="0.3">
      <c r="B294" s="544"/>
      <c r="C294" s="556"/>
      <c r="D294" s="547" t="s">
        <v>161</v>
      </c>
      <c r="E294" s="15"/>
      <c r="F294" s="15"/>
      <c r="G294" s="15"/>
      <c r="H294" s="562">
        <f>SUM(D133:D139)</f>
        <v>471981</v>
      </c>
      <c r="I294" s="15"/>
      <c r="J294" s="16">
        <f>+H294/7</f>
        <v>67425.857142857145</v>
      </c>
      <c r="K294" s="15"/>
      <c r="L294" s="15"/>
      <c r="M294" s="15"/>
      <c r="N294" s="15"/>
      <c r="O294" s="15"/>
      <c r="P294" s="557"/>
      <c r="V294" s="544"/>
      <c r="AD294" s="10"/>
      <c r="AE294" s="10"/>
      <c r="AF294" s="551"/>
      <c r="AG294" s="551"/>
      <c r="AH294" s="551"/>
      <c r="AI294" s="551"/>
      <c r="AJ294" s="568"/>
      <c r="AK294" s="568"/>
      <c r="AL294" s="573"/>
      <c r="AM294" s="573"/>
      <c r="AN294" s="573"/>
      <c r="AO294" s="573"/>
      <c r="AP294" s="573"/>
      <c r="AQ294" s="573"/>
      <c r="AR294" s="573"/>
      <c r="AS294" s="573"/>
      <c r="AT294" s="573"/>
      <c r="AU294" s="573"/>
      <c r="AV294" s="573"/>
      <c r="AW294" s="573"/>
      <c r="AX294" s="573"/>
      <c r="AY294" s="573"/>
      <c r="AZ294" s="568"/>
      <c r="BA294" s="568"/>
      <c r="BB294" s="574"/>
      <c r="BC294" s="568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2:79" x14ac:dyDescent="0.3">
      <c r="B295" s="544"/>
      <c r="C295" s="556"/>
      <c r="D295" s="547" t="s">
        <v>160</v>
      </c>
      <c r="E295" s="15"/>
      <c r="F295" s="15"/>
      <c r="G295" s="15"/>
      <c r="H295" s="16">
        <f>SUM(D140:D146)</f>
        <v>427527</v>
      </c>
      <c r="I295" s="15"/>
      <c r="J295" s="16">
        <f>+H295/7</f>
        <v>61075.285714285717</v>
      </c>
      <c r="K295" s="15"/>
      <c r="L295" s="15"/>
      <c r="M295" s="15"/>
      <c r="N295" s="15"/>
      <c r="O295" s="15"/>
      <c r="P295" s="557"/>
      <c r="V295" s="544"/>
      <c r="AJ295" s="110"/>
      <c r="AK295" s="110"/>
      <c r="AL295" s="110"/>
      <c r="AM295" s="110"/>
      <c r="AN295" s="110"/>
      <c r="AO295" s="110"/>
      <c r="AP295" s="110"/>
      <c r="AQ295" s="110"/>
      <c r="AR295" s="110"/>
      <c r="AS295" s="110"/>
      <c r="AT295" s="90"/>
      <c r="AU295" s="110"/>
      <c r="AV295" s="152"/>
      <c r="AW295" s="152"/>
      <c r="AX295" s="152"/>
      <c r="AY295" s="152"/>
      <c r="AZ295" s="110"/>
      <c r="BA295" s="110"/>
      <c r="BB295" s="110"/>
      <c r="BC295" s="110"/>
    </row>
    <row r="296" spans="2:79" x14ac:dyDescent="0.3">
      <c r="B296" s="550"/>
      <c r="C296" s="556"/>
      <c r="D296" s="547" t="s">
        <v>159</v>
      </c>
      <c r="E296" s="15"/>
      <c r="F296" s="15"/>
      <c r="G296" s="15"/>
      <c r="H296" s="16">
        <f>SUM(D147:D153)</f>
        <v>383516</v>
      </c>
      <c r="I296" s="15"/>
      <c r="J296" s="16">
        <f>+H296/7</f>
        <v>54788</v>
      </c>
      <c r="K296" s="15"/>
      <c r="L296" s="15"/>
      <c r="M296" s="15"/>
      <c r="N296" s="15"/>
      <c r="O296" s="562">
        <f>+H294-H296</f>
        <v>88465</v>
      </c>
      <c r="P296" s="557"/>
      <c r="V296" s="544"/>
      <c r="AA296">
        <f>+O296/7</f>
        <v>12637.857142857143</v>
      </c>
      <c r="AJ296" s="110"/>
      <c r="AK296" s="110"/>
      <c r="AL296" s="110"/>
      <c r="AM296" s="110"/>
      <c r="AN296" s="110"/>
      <c r="AO296" s="110"/>
      <c r="AP296" s="110"/>
      <c r="AQ296" s="110"/>
      <c r="AR296" s="110"/>
      <c r="AS296" s="110"/>
      <c r="AT296" s="110"/>
      <c r="AU296" s="110"/>
      <c r="AV296" s="90"/>
      <c r="AW296" s="90"/>
      <c r="AX296" s="90"/>
      <c r="AY296" s="90"/>
      <c r="AZ296" s="110"/>
      <c r="BA296" s="153"/>
      <c r="BB296" s="110"/>
      <c r="BC296" s="110"/>
    </row>
    <row r="297" spans="2:79" x14ac:dyDescent="0.3">
      <c r="B297" s="551"/>
      <c r="C297" s="556"/>
      <c r="D297" s="563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60">
        <f>+O296/H294</f>
        <v>0.18743339244588236</v>
      </c>
      <c r="P297" s="557"/>
      <c r="V297" s="544"/>
      <c r="X297" s="61"/>
      <c r="Y297" s="61"/>
      <c r="Z297" s="110"/>
      <c r="AA297" s="110"/>
      <c r="AB297" s="110"/>
      <c r="AC297" s="110"/>
      <c r="AD297" s="110"/>
      <c r="AE297" s="110"/>
      <c r="AF297" s="110"/>
      <c r="AG297" s="110"/>
      <c r="AH297" s="110"/>
      <c r="AI297" s="110"/>
      <c r="AJ297" s="110"/>
      <c r="AK297" s="110"/>
      <c r="AL297" s="110"/>
      <c r="AM297" s="110"/>
      <c r="AN297" s="110"/>
      <c r="AO297" s="110"/>
      <c r="AP297" s="90">
        <v>480454</v>
      </c>
      <c r="AQ297" s="110"/>
      <c r="AR297" s="110"/>
      <c r="AS297" s="110"/>
      <c r="AT297" s="110"/>
      <c r="AU297" s="110"/>
      <c r="AV297" s="110"/>
      <c r="AW297" s="110"/>
      <c r="AX297" s="110"/>
      <c r="AY297" s="110"/>
      <c r="AZ297" s="110"/>
      <c r="BA297" s="110"/>
      <c r="BB297" s="110"/>
      <c r="BC297" s="110"/>
    </row>
    <row r="298" spans="2:79" ht="15" thickBot="1" x14ac:dyDescent="0.35">
      <c r="B298" s="551"/>
      <c r="C298" s="564"/>
      <c r="D298" s="565"/>
      <c r="E298" s="565"/>
      <c r="F298" s="565"/>
      <c r="G298" s="565"/>
      <c r="H298" s="565"/>
      <c r="I298" s="565"/>
      <c r="J298" s="566"/>
      <c r="K298" s="565"/>
      <c r="L298" s="565"/>
      <c r="M298" s="565"/>
      <c r="N298" s="565"/>
      <c r="O298" s="565"/>
      <c r="P298" s="567"/>
      <c r="V298" s="544"/>
      <c r="X298" s="61"/>
      <c r="Y298" s="61"/>
      <c r="Z298" s="110"/>
      <c r="AA298" s="110"/>
      <c r="AB298" s="110"/>
      <c r="AC298" s="110"/>
      <c r="AD298" s="110"/>
      <c r="AE298" s="110"/>
      <c r="AF298" s="110"/>
      <c r="AG298" s="110"/>
      <c r="AH298" s="110"/>
      <c r="AI298" s="110"/>
      <c r="AJ298" s="110"/>
      <c r="AK298" s="110"/>
      <c r="AL298" s="110"/>
      <c r="AM298" s="110"/>
      <c r="AN298" s="110"/>
      <c r="AO298" s="110"/>
      <c r="AP298" s="152">
        <f>+N201</f>
        <v>290088</v>
      </c>
      <c r="AQ298" s="110"/>
      <c r="AR298" s="110"/>
      <c r="AS298" s="110"/>
      <c r="AT298" s="110"/>
      <c r="AU298" s="110"/>
      <c r="AV298" s="110"/>
      <c r="AW298" s="110"/>
      <c r="AX298" s="110"/>
      <c r="AY298" s="110"/>
      <c r="AZ298" s="110"/>
      <c r="BA298" s="110"/>
      <c r="BB298" s="110"/>
      <c r="BC298" s="110"/>
    </row>
    <row r="299" spans="2:79" x14ac:dyDescent="0.3">
      <c r="B299" s="551"/>
      <c r="C299" s="544"/>
      <c r="D299" s="552"/>
      <c r="E299" s="544"/>
      <c r="F299" s="544"/>
      <c r="G299" s="544"/>
      <c r="H299" s="553"/>
      <c r="I299" s="544"/>
      <c r="J299" s="544"/>
      <c r="K299" s="544"/>
      <c r="L299" s="544"/>
      <c r="M299" s="544"/>
      <c r="N299" s="544"/>
      <c r="O299" s="544"/>
      <c r="P299" s="544"/>
      <c r="Q299" s="544"/>
      <c r="R299" s="544"/>
      <c r="S299" s="544"/>
      <c r="T299" s="544"/>
      <c r="U299" s="544"/>
      <c r="V299" s="544"/>
      <c r="X299" s="61"/>
      <c r="Y299" s="61"/>
      <c r="Z299" s="110"/>
      <c r="AA299" s="110"/>
      <c r="AB299" s="110"/>
      <c r="AC299" s="110"/>
      <c r="AD299" s="110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0"/>
      <c r="AP299" s="152">
        <f>+AP297-AP298</f>
        <v>190366</v>
      </c>
      <c r="AQ299" s="110"/>
      <c r="AR299" s="110"/>
    </row>
    <row r="300" spans="2:79" x14ac:dyDescent="0.3">
      <c r="B300" s="1"/>
      <c r="D300" s="55"/>
      <c r="X300" s="61"/>
      <c r="Y300" s="61"/>
      <c r="Z300" s="110"/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  <c r="AK300" s="110"/>
      <c r="AL300" s="110"/>
      <c r="AM300" s="110"/>
      <c r="AN300" s="110"/>
      <c r="AO300" s="110"/>
      <c r="AP300" s="96">
        <f>+AP299/AP297</f>
        <v>0.3962210742339537</v>
      </c>
      <c r="AQ300" s="110"/>
      <c r="AR300" s="110"/>
    </row>
    <row r="301" spans="2:79" x14ac:dyDescent="0.3">
      <c r="B301" s="55"/>
      <c r="D301" s="55"/>
      <c r="J301" s="56">
        <f>+J294-J296</f>
        <v>12637.857142857145</v>
      </c>
      <c r="X301" s="61"/>
      <c r="Y301" s="61"/>
      <c r="Z301" s="110"/>
      <c r="AA301" s="110"/>
      <c r="AB301" s="110"/>
      <c r="AC301" s="110"/>
      <c r="AD301" s="110"/>
      <c r="AE301" s="110"/>
      <c r="AF301" s="110"/>
      <c r="AG301" s="110"/>
      <c r="AH301" s="110"/>
      <c r="AI301" s="110"/>
      <c r="AJ301" s="110"/>
      <c r="AK301" s="110"/>
      <c r="AL301" s="110"/>
      <c r="AM301" s="110"/>
      <c r="AN301" s="110"/>
      <c r="AO301" s="110"/>
      <c r="AP301" s="110"/>
      <c r="AQ301" s="110"/>
      <c r="AR301" s="110"/>
    </row>
    <row r="302" spans="2:79" x14ac:dyDescent="0.3">
      <c r="B302" s="57"/>
      <c r="D302" s="55"/>
      <c r="X302" s="61"/>
      <c r="Y302" s="61"/>
      <c r="Z302" s="110"/>
      <c r="AA302" s="110"/>
      <c r="AB302" s="110"/>
      <c r="AC302" s="110"/>
      <c r="AD302" s="110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0"/>
      <c r="AP302" s="110"/>
      <c r="AQ302" s="110"/>
      <c r="AR302" s="110"/>
    </row>
    <row r="303" spans="2:79" x14ac:dyDescent="0.3">
      <c r="B303" s="1"/>
      <c r="D303" s="55"/>
      <c r="X303" s="61"/>
      <c r="Y303" s="61"/>
      <c r="Z303" s="110"/>
      <c r="AA303" s="110"/>
      <c r="AB303" s="110"/>
      <c r="AC303" s="110"/>
      <c r="AD303" s="110"/>
      <c r="AE303" s="110"/>
      <c r="AF303" s="110"/>
      <c r="AG303" s="110"/>
      <c r="AH303" s="110"/>
      <c r="AI303" s="110"/>
      <c r="AJ303" s="110"/>
      <c r="AK303" s="110"/>
      <c r="AL303" s="110"/>
      <c r="AM303" s="110"/>
      <c r="AN303" s="110"/>
      <c r="AO303" s="110"/>
      <c r="AP303" s="110"/>
      <c r="AQ303" s="110"/>
      <c r="AR303" s="110"/>
    </row>
    <row r="304" spans="2:79" x14ac:dyDescent="0.3">
      <c r="B304" s="1"/>
      <c r="D304" s="55"/>
      <c r="Z304" s="118"/>
      <c r="AA304" s="118"/>
      <c r="AB304" s="118"/>
      <c r="AC304" s="118"/>
      <c r="AD304" s="118"/>
      <c r="AE304" s="118"/>
      <c r="AF304" s="118"/>
      <c r="AG304" s="118"/>
      <c r="AH304" s="118"/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</row>
    <row r="305" spans="2:61" x14ac:dyDescent="0.3">
      <c r="B305" s="1"/>
      <c r="D305" s="55"/>
      <c r="AT305" s="544"/>
      <c r="AU305" s="544"/>
      <c r="AV305" s="544"/>
      <c r="AW305" s="544"/>
      <c r="AX305" s="544"/>
      <c r="AY305" s="544"/>
      <c r="AZ305" s="544"/>
      <c r="BA305" s="544"/>
      <c r="BB305" s="544"/>
      <c r="BC305" s="544"/>
      <c r="BD305" s="544"/>
      <c r="BE305" s="544"/>
      <c r="BF305" s="544"/>
      <c r="BG305" s="544"/>
      <c r="BH305" s="544"/>
      <c r="BI305" s="544"/>
    </row>
    <row r="306" spans="2:61" ht="15.6" x14ac:dyDescent="0.3">
      <c r="B306" s="1"/>
      <c r="D306" s="55"/>
      <c r="AT306" s="544"/>
      <c r="AU306" s="578"/>
      <c r="AV306" s="579"/>
      <c r="AW306" s="579"/>
      <c r="AX306" s="579"/>
      <c r="AY306" s="579"/>
      <c r="AZ306" s="579"/>
      <c r="BA306" s="579"/>
      <c r="BB306" s="579"/>
      <c r="BC306" s="579"/>
      <c r="BD306" s="579"/>
      <c r="BE306" s="579" t="s">
        <v>174</v>
      </c>
      <c r="BF306" s="579"/>
      <c r="BG306" s="579" t="s">
        <v>2</v>
      </c>
      <c r="BH306" s="578"/>
      <c r="BI306" s="544"/>
    </row>
    <row r="307" spans="2:61" ht="16.2" thickBot="1" x14ac:dyDescent="0.35">
      <c r="B307" s="57" t="e">
        <f>+B306/B305</f>
        <v>#DIV/0!</v>
      </c>
      <c r="D307" s="55"/>
      <c r="AT307" s="544"/>
      <c r="AU307" s="578"/>
      <c r="AV307" s="592" t="s">
        <v>173</v>
      </c>
      <c r="AW307" s="592"/>
      <c r="AX307" s="592"/>
      <c r="AY307" s="579"/>
      <c r="AZ307" s="579"/>
      <c r="BA307" s="580" t="s">
        <v>20</v>
      </c>
      <c r="BB307" s="579"/>
      <c r="BC307" s="580" t="s">
        <v>3</v>
      </c>
      <c r="BD307" s="579"/>
      <c r="BE307" s="580" t="s">
        <v>73</v>
      </c>
      <c r="BF307" s="579"/>
      <c r="BG307" s="580" t="s">
        <v>73</v>
      </c>
      <c r="BH307" s="578"/>
      <c r="BI307" s="544"/>
    </row>
    <row r="308" spans="2:61" ht="21" x14ac:dyDescent="0.4">
      <c r="B308" s="1"/>
      <c r="D308" s="55"/>
      <c r="AT308" s="544"/>
      <c r="AU308" s="578"/>
      <c r="AV308" s="581" t="s">
        <v>158</v>
      </c>
      <c r="AW308" s="578"/>
      <c r="AX308" s="582"/>
      <c r="AY308" s="578"/>
      <c r="AZ308" s="578"/>
      <c r="BA308" s="583">
        <f>+N143</f>
        <v>1970617</v>
      </c>
      <c r="BB308" s="582"/>
      <c r="BC308" s="582"/>
      <c r="BD308" s="582"/>
      <c r="BE308" s="582"/>
      <c r="BF308" s="582"/>
      <c r="BG308" s="582"/>
      <c r="BH308" s="578"/>
      <c r="BI308" s="544"/>
    </row>
    <row r="309" spans="2:61" ht="21" x14ac:dyDescent="0.4">
      <c r="B309" s="1"/>
      <c r="D309" s="55"/>
      <c r="AT309" s="544"/>
      <c r="AU309" s="578"/>
      <c r="AV309" s="581" t="s">
        <v>169</v>
      </c>
      <c r="AW309" s="578"/>
      <c r="AX309" s="582"/>
      <c r="AY309" s="578"/>
      <c r="AZ309" s="578"/>
      <c r="BA309" s="583">
        <f>+N174</f>
        <v>1493931</v>
      </c>
      <c r="BB309" s="582"/>
      <c r="BC309" s="583">
        <f>+BA309-BA308</f>
        <v>-476686</v>
      </c>
      <c r="BD309" s="582"/>
      <c r="BE309" s="584">
        <f>+BC309/BA308</f>
        <v>-0.24189682723735764</v>
      </c>
      <c r="BF309" s="582"/>
      <c r="BG309" s="582"/>
      <c r="BH309" s="578"/>
      <c r="BI309" s="544"/>
    </row>
    <row r="310" spans="2:61" ht="21" x14ac:dyDescent="0.4">
      <c r="B310" s="1">
        <f>+B306*50</f>
        <v>0</v>
      </c>
      <c r="D310" s="55"/>
      <c r="AT310" s="544"/>
      <c r="AU310" s="578"/>
      <c r="AV310" s="581" t="s">
        <v>170</v>
      </c>
      <c r="AW310" s="578"/>
      <c r="AX310" s="582"/>
      <c r="AY310" s="578"/>
      <c r="AZ310" s="578"/>
      <c r="BA310" s="583">
        <f>+N204</f>
        <v>1202331</v>
      </c>
      <c r="BB310" s="582"/>
      <c r="BC310" s="583">
        <f>+BA310-BA309</f>
        <v>-291600</v>
      </c>
      <c r="BD310" s="582"/>
      <c r="BE310" s="584">
        <f>+BC310/BA309</f>
        <v>-0.19518973767864781</v>
      </c>
      <c r="BF310" s="582"/>
      <c r="BG310" s="582"/>
      <c r="BH310" s="578"/>
      <c r="BI310" s="544"/>
    </row>
    <row r="311" spans="2:61" ht="21" x14ac:dyDescent="0.4">
      <c r="B311" s="1"/>
      <c r="D311" s="55"/>
      <c r="AT311" s="544"/>
      <c r="AU311" s="578"/>
      <c r="AV311" s="581" t="s">
        <v>171</v>
      </c>
      <c r="AW311" s="578"/>
      <c r="AX311" s="582"/>
      <c r="AY311" s="578"/>
      <c r="AZ311" s="585" t="s">
        <v>28</v>
      </c>
      <c r="BA311" s="583">
        <f>+N218</f>
        <v>371489</v>
      </c>
      <c r="BB311" s="582"/>
      <c r="BC311" s="583">
        <f>+BA311-BA310</f>
        <v>-830842</v>
      </c>
      <c r="BD311" s="582"/>
      <c r="BE311" s="584">
        <f>+BC311/BA310</f>
        <v>-0.69102601529861574</v>
      </c>
      <c r="BF311" s="582"/>
      <c r="BG311" s="584">
        <f>+(BA311-BA308)/BA308</f>
        <v>-0.81148594577231392</v>
      </c>
      <c r="BH311" s="578"/>
      <c r="BI311" s="544"/>
    </row>
    <row r="312" spans="2:61" x14ac:dyDescent="0.3">
      <c r="B312" s="1"/>
      <c r="D312" s="55"/>
      <c r="AT312" s="544"/>
      <c r="AU312" s="578"/>
      <c r="AV312" s="578"/>
      <c r="AW312" s="578"/>
      <c r="AX312" s="578"/>
      <c r="AY312" s="578"/>
      <c r="AZ312" s="578"/>
      <c r="BA312" s="578"/>
      <c r="BB312" s="578"/>
      <c r="BC312" s="578"/>
      <c r="BD312" s="578"/>
      <c r="BE312" s="578"/>
      <c r="BF312" s="578"/>
      <c r="BG312" s="578"/>
      <c r="BH312" s="578"/>
      <c r="BI312" s="544"/>
    </row>
    <row r="313" spans="2:61" ht="16.2" x14ac:dyDescent="0.3">
      <c r="B313" s="1"/>
      <c r="D313" s="55"/>
      <c r="AT313" s="544"/>
      <c r="AU313" s="578"/>
      <c r="AV313" s="578"/>
      <c r="AW313" s="578"/>
      <c r="AX313" s="586" t="s">
        <v>28</v>
      </c>
      <c r="AY313" s="578"/>
      <c r="AZ313" s="587" t="s">
        <v>172</v>
      </c>
      <c r="BA313" s="578"/>
      <c r="BB313" s="578"/>
      <c r="BC313" s="578"/>
      <c r="BD313" s="578"/>
      <c r="BE313" s="578"/>
      <c r="BF313" s="578"/>
      <c r="BG313" s="578"/>
      <c r="BH313" s="578"/>
      <c r="BI313" s="544"/>
    </row>
    <row r="314" spans="2:61" x14ac:dyDescent="0.3">
      <c r="B314" s="1"/>
      <c r="D314" s="55"/>
      <c r="AT314" s="544"/>
      <c r="AU314" s="578"/>
      <c r="AV314" s="578"/>
      <c r="AW314" s="578"/>
      <c r="AX314" s="578"/>
      <c r="AY314" s="578"/>
      <c r="AZ314" s="578"/>
      <c r="BA314" s="578"/>
      <c r="BB314" s="578"/>
      <c r="BC314" s="578"/>
      <c r="BD314" s="578"/>
      <c r="BE314" s="578"/>
      <c r="BF314" s="578"/>
      <c r="BG314" s="578"/>
      <c r="BH314" s="578"/>
      <c r="BI314" s="544"/>
    </row>
    <row r="315" spans="2:61" x14ac:dyDescent="0.3">
      <c r="B315" s="1"/>
      <c r="D315" s="55"/>
      <c r="AT315" s="577"/>
      <c r="AU315" s="577"/>
      <c r="AV315" s="577"/>
      <c r="AW315" s="577"/>
      <c r="AX315" s="577"/>
      <c r="AY315" s="577"/>
      <c r="AZ315" s="577"/>
      <c r="BA315" s="577"/>
      <c r="BB315" s="577"/>
      <c r="BC315" s="577"/>
      <c r="BD315" s="577"/>
      <c r="BE315" s="577"/>
      <c r="BF315" s="577"/>
      <c r="BG315" s="577"/>
      <c r="BH315" s="577"/>
      <c r="BI315" s="577"/>
    </row>
    <row r="316" spans="2:61" x14ac:dyDescent="0.3">
      <c r="B316" s="1"/>
      <c r="D316" s="55"/>
    </row>
    <row r="317" spans="2:61" x14ac:dyDescent="0.3">
      <c r="B317" s="1"/>
      <c r="D317" s="55"/>
    </row>
    <row r="318" spans="2:61" x14ac:dyDescent="0.3">
      <c r="B318" s="1"/>
      <c r="D318" s="55"/>
    </row>
    <row r="319" spans="2:61" x14ac:dyDescent="0.3">
      <c r="B319" s="1"/>
      <c r="D319" s="55"/>
    </row>
    <row r="320" spans="2:61" x14ac:dyDescent="0.3">
      <c r="B320" s="1"/>
    </row>
    <row r="321" spans="2:2" x14ac:dyDescent="0.3">
      <c r="B321" s="1"/>
    </row>
    <row r="322" spans="2:2" x14ac:dyDescent="0.3">
      <c r="B322" s="1"/>
    </row>
    <row r="323" spans="2:2" x14ac:dyDescent="0.3">
      <c r="B323" s="1"/>
    </row>
    <row r="324" spans="2:2" x14ac:dyDescent="0.3">
      <c r="B324" s="1"/>
    </row>
    <row r="325" spans="2:2" x14ac:dyDescent="0.3">
      <c r="B325" s="1"/>
    </row>
    <row r="326" spans="2:2" x14ac:dyDescent="0.3">
      <c r="B326" s="1"/>
    </row>
    <row r="327" spans="2:2" x14ac:dyDescent="0.3">
      <c r="B327" s="1"/>
    </row>
  </sheetData>
  <mergeCells count="28">
    <mergeCell ref="AK259:AV259"/>
    <mergeCell ref="AK261:AN261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V307:AX307"/>
    <mergeCell ref="AK262:AN262"/>
    <mergeCell ref="AK263:AN263"/>
    <mergeCell ref="AK264:AN264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H292:J292"/>
    <mergeCell ref="AK269:AN269"/>
    <mergeCell ref="AK260:AN260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259"/>
  <sheetViews>
    <sheetView topLeftCell="A55" workbookViewId="0">
      <selection activeCell="S238" sqref="S238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29" t="s">
        <v>7</v>
      </c>
      <c r="F7" s="630"/>
      <c r="G7" s="634">
        <v>0.7</v>
      </c>
      <c r="H7" s="634"/>
      <c r="I7" s="634"/>
      <c r="J7" s="634"/>
      <c r="K7" s="634"/>
      <c r="L7" s="634"/>
      <c r="M7" s="634"/>
      <c r="N7" s="634"/>
      <c r="O7" s="634"/>
      <c r="P7" s="634"/>
      <c r="Q7" s="634"/>
      <c r="R7" s="634"/>
      <c r="S7" s="634"/>
      <c r="T7" s="634"/>
      <c r="U7" s="635"/>
    </row>
    <row r="8" spans="3:40" x14ac:dyDescent="0.3">
      <c r="E8" s="631" t="s">
        <v>123</v>
      </c>
      <c r="F8" s="632"/>
      <c r="G8" s="632"/>
      <c r="H8" s="632"/>
      <c r="I8" s="632"/>
      <c r="J8" s="632"/>
      <c r="K8" s="632"/>
      <c r="L8" s="632"/>
      <c r="M8" s="632"/>
      <c r="N8" s="632"/>
      <c r="O8" s="632"/>
      <c r="P8" s="632"/>
      <c r="Q8" s="632"/>
      <c r="R8" s="632"/>
      <c r="S8" s="632"/>
      <c r="T8" s="632"/>
      <c r="U8" s="633"/>
    </row>
    <row r="9" spans="3:40" x14ac:dyDescent="0.3">
      <c r="E9" s="649" t="s">
        <v>37</v>
      </c>
      <c r="F9" s="650"/>
      <c r="G9" s="650"/>
      <c r="H9" s="650"/>
      <c r="I9" s="650"/>
      <c r="J9" s="650"/>
      <c r="K9" s="650"/>
      <c r="L9" s="650"/>
      <c r="M9" s="650"/>
      <c r="N9" s="650"/>
      <c r="O9" s="650"/>
      <c r="P9" s="651"/>
      <c r="Q9" s="647" t="s">
        <v>116</v>
      </c>
      <c r="R9" s="5"/>
      <c r="S9" s="644" t="s">
        <v>4</v>
      </c>
      <c r="T9" s="645"/>
      <c r="U9" s="646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48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41" t="s">
        <v>48</v>
      </c>
      <c r="AE14" s="642"/>
      <c r="AF14" s="643"/>
      <c r="AG14" s="206"/>
      <c r="AH14" s="639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40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+K247</f>
        <v>820571</v>
      </c>
      <c r="AG16" s="200"/>
      <c r="AH16" s="214">
        <f>+AJ31</f>
        <v>2544.4478403065254</v>
      </c>
      <c r="AI16" s="214"/>
      <c r="AJ16" s="215">
        <f>+S247</f>
        <v>54505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159707</v>
      </c>
      <c r="AG17" s="201"/>
      <c r="AH17" s="162">
        <v>2317</v>
      </c>
      <c r="AI17" s="214"/>
      <c r="AJ17" s="161">
        <v>10013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214416</v>
      </c>
      <c r="AG18" s="201"/>
      <c r="AH18" s="162">
        <v>1675</v>
      </c>
      <c r="AI18" s="214"/>
      <c r="AJ18" s="161">
        <v>8803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1194694</v>
      </c>
      <c r="AG19" s="201"/>
      <c r="AH19" s="201"/>
      <c r="AI19" s="201"/>
      <c r="AJ19" s="219">
        <f>SUM(AJ16:AJ18)</f>
        <v>73321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Table'!H246</f>
        <v>0.12652682595055251</v>
      </c>
      <c r="AG21" s="201"/>
      <c r="AH21" s="201"/>
      <c r="AI21" s="201"/>
      <c r="AJ21" s="221">
        <f>+AJ19/'Main Table'!AA246</f>
        <v>0.31018406880475846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41" t="s">
        <v>133</v>
      </c>
      <c r="AB25" s="642"/>
      <c r="AC25" s="642"/>
      <c r="AD25" s="642"/>
      <c r="AE25" s="642"/>
      <c r="AF25" s="642"/>
      <c r="AG25" s="642"/>
      <c r="AH25" s="642"/>
      <c r="AI25" s="642"/>
      <c r="AJ25" s="642"/>
      <c r="AK25" s="643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+E247</f>
        <v>509735</v>
      </c>
      <c r="AE27" s="168"/>
      <c r="AF27" s="199">
        <v>2620</v>
      </c>
      <c r="AG27" s="168"/>
      <c r="AH27" s="190">
        <f>+AD27/AD$31</f>
        <v>0.51999024766443802</v>
      </c>
      <c r="AI27" s="190"/>
      <c r="AJ27" s="168">
        <f>+AF27*AH27</f>
        <v>1362.3744488808277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+G247</f>
        <v>239629</v>
      </c>
      <c r="AE28" s="168"/>
      <c r="AF28" s="199">
        <v>2698</v>
      </c>
      <c r="AG28" s="168"/>
      <c r="AH28" s="190">
        <f>+AD28/AD$31</f>
        <v>0.24445004376309579</v>
      </c>
      <c r="AI28" s="190"/>
      <c r="AJ28" s="168">
        <f>+AF28*AH28</f>
        <v>659.52621807283242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+I247</f>
        <v>71207</v>
      </c>
      <c r="AE29" s="168"/>
      <c r="AF29" s="199">
        <v>1997</v>
      </c>
      <c r="AG29" s="168"/>
      <c r="AH29" s="190">
        <f>+AD29/AD$31</f>
        <v>7.2639598154809151E-2</v>
      </c>
      <c r="AI29" s="190"/>
      <c r="AJ29" s="168">
        <f>+AF29*AH29</f>
        <v>145.06127751515388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159707</v>
      </c>
      <c r="AE30" s="280"/>
      <c r="AF30" s="168">
        <f>+AH17</f>
        <v>2317</v>
      </c>
      <c r="AG30" s="280"/>
      <c r="AH30" s="190">
        <f>+AD30/AD$31</f>
        <v>0.16292011041765703</v>
      </c>
      <c r="AI30" s="280"/>
      <c r="AJ30" s="168">
        <f>+AF30*AH30</f>
        <v>377.48589583771133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980278</v>
      </c>
      <c r="AE31" s="168"/>
      <c r="AF31" s="168"/>
      <c r="AG31" s="168"/>
      <c r="AH31" s="193">
        <f>SUM(AH27:AH30)</f>
        <v>1</v>
      </c>
      <c r="AI31" s="190"/>
      <c r="AJ31" s="192">
        <f>SUM(AJ27:AJ30)</f>
        <v>2544.4478403065254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36" t="s">
        <v>31</v>
      </c>
      <c r="AB36" s="637"/>
      <c r="AC36" s="637"/>
      <c r="AD36" s="637"/>
      <c r="AE36" s="637"/>
      <c r="AF36" s="637"/>
      <c r="AG36" s="637"/>
      <c r="AH36" s="637"/>
      <c r="AI36" s="638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Table'!AA246</f>
        <v>236379</v>
      </c>
      <c r="AJ49" s="56">
        <f>+AJ19</f>
        <v>73321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73321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163058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68484.36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94573.64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0.4000932400932401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hidden="1" outlineLevel="1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hidden="1" outlineLevel="1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hidden="1" outlineLevel="1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hidden="1" outlineLevel="1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hidden="1" outlineLevel="1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hidden="1" outlineLevel="1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hidden="1" outlineLevel="1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hidden="1" outlineLevel="1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hidden="1" outlineLevel="1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hidden="1" outlineLevel="1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hidden="1" outlineLevel="1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hidden="1" outlineLevel="1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hidden="1" outlineLevel="1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hidden="1" outlineLevel="1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hidden="1" outlineLevel="1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hidden="1" outlineLevel="1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hidden="1" outlineLevel="1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hidden="1" outlineLevel="1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hidden="1" outlineLevel="1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hidden="1" outlineLevel="1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hidden="1" outlineLevel="1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hidden="1" outlineLevel="1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hidden="1" outlineLevel="1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hidden="1" outlineLevel="1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hidden="1" outlineLevel="1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hidden="1" outlineLevel="1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hidden="1" outlineLevel="1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hidden="1" outlineLevel="1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hidden="1" outlineLevel="1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hidden="1" outlineLevel="1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hidden="1" outlineLevel="1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hidden="1" outlineLevel="1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hidden="1" outlineLevel="1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hidden="1" outlineLevel="1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hidden="1" outlineLevel="1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70">
        <f t="shared" ref="C98:C245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245" si="20">+W97+1</f>
        <v>88</v>
      </c>
      <c r="Y98" s="56"/>
    </row>
    <row r="99" spans="3:25" hidden="1" outlineLevel="1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hidden="1" outlineLevel="1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:K183" si="33">SUM(E166:I166)</f>
        <v>670750</v>
      </c>
      <c r="L166" s="6"/>
      <c r="M166" s="481">
        <f t="shared" ref="M166:M183" si="34">+(K166-K165)/K165</f>
        <v>1.0745787502052147E-3</v>
      </c>
      <c r="N166" s="29"/>
      <c r="O166" s="29"/>
      <c r="P166" s="29"/>
      <c r="Q166" s="375">
        <f t="shared" ref="Q166:Q183" si="35">+K166-K165</f>
        <v>720</v>
      </c>
      <c r="R166" s="6"/>
      <c r="S166" s="7">
        <f>32883+15946+4460</f>
        <v>53289</v>
      </c>
      <c r="T166" s="6"/>
      <c r="U166" s="286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70">
        <f t="shared" si="15"/>
        <v>44066</v>
      </c>
      <c r="E167" s="284">
        <v>430146</v>
      </c>
      <c r="F167" s="7"/>
      <c r="G167" s="7">
        <v>189719</v>
      </c>
      <c r="H167" s="7"/>
      <c r="I167" s="7">
        <v>52011</v>
      </c>
      <c r="J167" s="287"/>
      <c r="K167" s="7">
        <f t="shared" si="33"/>
        <v>671876</v>
      </c>
      <c r="L167" s="6"/>
      <c r="M167" s="481">
        <f t="shared" si="34"/>
        <v>1.6787178531494596E-3</v>
      </c>
      <c r="N167" s="29"/>
      <c r="O167" s="29"/>
      <c r="P167" s="29"/>
      <c r="Q167" s="375">
        <f t="shared" si="35"/>
        <v>1126</v>
      </c>
      <c r="R167" s="6"/>
      <c r="S167" s="7">
        <f>32887+15946+4460</f>
        <v>53293</v>
      </c>
      <c r="T167" s="6"/>
      <c r="U167" s="286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70">
        <f t="shared" si="15"/>
        <v>44067</v>
      </c>
      <c r="E168" s="284">
        <v>430774</v>
      </c>
      <c r="F168" s="7"/>
      <c r="G168" s="7">
        <v>190021</v>
      </c>
      <c r="H168" s="7"/>
      <c r="I168" s="7">
        <v>52040</v>
      </c>
      <c r="J168" s="287"/>
      <c r="K168" s="7">
        <f t="shared" si="33"/>
        <v>672835</v>
      </c>
      <c r="L168" s="6"/>
      <c r="M168" s="481">
        <f t="shared" si="34"/>
        <v>1.427346712786288E-3</v>
      </c>
      <c r="N168" s="29"/>
      <c r="O168" s="29"/>
      <c r="P168" s="29"/>
      <c r="Q168" s="375">
        <f t="shared" si="35"/>
        <v>959</v>
      </c>
      <c r="R168" s="6"/>
      <c r="S168" s="7">
        <f>32918+15953+4463</f>
        <v>53334</v>
      </c>
      <c r="T168" s="6"/>
      <c r="U168" s="286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70">
        <f t="shared" si="15"/>
        <v>44068</v>
      </c>
      <c r="E169" s="284">
        <v>431340</v>
      </c>
      <c r="F169" s="7"/>
      <c r="G169" s="7">
        <v>190306</v>
      </c>
      <c r="H169" s="7"/>
      <c r="I169" s="7">
        <v>52220</v>
      </c>
      <c r="J169" s="287"/>
      <c r="K169" s="7">
        <f t="shared" si="33"/>
        <v>673866</v>
      </c>
      <c r="L169" s="6"/>
      <c r="M169" s="481">
        <f t="shared" si="34"/>
        <v>1.5323221889467699E-3</v>
      </c>
      <c r="N169" s="29"/>
      <c r="O169" s="29"/>
      <c r="P169" s="29"/>
      <c r="Q169" s="375">
        <f t="shared" si="35"/>
        <v>1031</v>
      </c>
      <c r="R169" s="6"/>
      <c r="S169" s="7">
        <f>32921+15914+4463</f>
        <v>53298</v>
      </c>
      <c r="T169" s="6"/>
      <c r="U169" s="286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70">
        <f t="shared" si="15"/>
        <v>44069</v>
      </c>
      <c r="E170" s="284">
        <v>431750</v>
      </c>
      <c r="F170" s="7"/>
      <c r="G170" s="7">
        <v>190422</v>
      </c>
      <c r="H170" s="7"/>
      <c r="I170" s="7">
        <v>52280</v>
      </c>
      <c r="J170" s="287"/>
      <c r="K170" s="7">
        <f t="shared" si="33"/>
        <v>674452</v>
      </c>
      <c r="L170" s="6"/>
      <c r="M170" s="481">
        <f t="shared" si="34"/>
        <v>8.6960909142173664E-4</v>
      </c>
      <c r="N170" s="29"/>
      <c r="O170" s="29"/>
      <c r="P170" s="29"/>
      <c r="Q170" s="375">
        <f t="shared" si="35"/>
        <v>586</v>
      </c>
      <c r="R170" s="6"/>
      <c r="S170" s="7">
        <f>32921+15914+4463</f>
        <v>53298</v>
      </c>
      <c r="T170" s="6"/>
      <c r="U170" s="286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70">
        <f t="shared" si="15"/>
        <v>44070</v>
      </c>
      <c r="E171" s="284">
        <v>432131</v>
      </c>
      <c r="F171" s="7"/>
      <c r="G171" s="7">
        <v>190613</v>
      </c>
      <c r="H171" s="7"/>
      <c r="I171" s="7">
        <v>52350</v>
      </c>
      <c r="J171" s="287"/>
      <c r="K171" s="7">
        <f t="shared" si="33"/>
        <v>675094</v>
      </c>
      <c r="L171" s="6"/>
      <c r="M171" s="481">
        <f t="shared" si="34"/>
        <v>9.5188389981792627E-4</v>
      </c>
      <c r="N171" s="29"/>
      <c r="O171" s="29"/>
      <c r="P171" s="29"/>
      <c r="Q171" s="375">
        <f t="shared" si="35"/>
        <v>642</v>
      </c>
      <c r="R171" s="6"/>
      <c r="S171" s="7">
        <f>32926+15921+4465</f>
        <v>53312</v>
      </c>
      <c r="T171" s="6"/>
      <c r="U171" s="286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70">
        <f t="shared" si="15"/>
        <v>44071</v>
      </c>
      <c r="E172" s="284">
        <v>432767</v>
      </c>
      <c r="F172" s="7"/>
      <c r="G172" s="7">
        <v>190971</v>
      </c>
      <c r="H172" s="7"/>
      <c r="I172" s="7">
        <v>52495</v>
      </c>
      <c r="J172" s="287"/>
      <c r="K172" s="7">
        <f t="shared" si="33"/>
        <v>676233</v>
      </c>
      <c r="L172" s="6"/>
      <c r="M172" s="481">
        <f t="shared" si="34"/>
        <v>1.687172453021357E-3</v>
      </c>
      <c r="N172" s="29"/>
      <c r="O172" s="29"/>
      <c r="P172" s="29"/>
      <c r="Q172" s="375">
        <f t="shared" si="35"/>
        <v>1139</v>
      </c>
      <c r="R172" s="6"/>
      <c r="S172" s="7">
        <f>32934+15930+4465</f>
        <v>53329</v>
      </c>
      <c r="T172" s="6"/>
      <c r="U172" s="286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70">
        <f t="shared" si="15"/>
        <v>44072</v>
      </c>
      <c r="E173" s="284">
        <v>433402</v>
      </c>
      <c r="F173" s="7"/>
      <c r="G173" s="7">
        <v>191420</v>
      </c>
      <c r="H173" s="7"/>
      <c r="I173" s="7">
        <v>52495</v>
      </c>
      <c r="J173" s="287"/>
      <c r="K173" s="7">
        <f t="shared" si="33"/>
        <v>677317</v>
      </c>
      <c r="L173" s="6"/>
      <c r="M173" s="481">
        <f t="shared" si="34"/>
        <v>1.6029977833084158E-3</v>
      </c>
      <c r="N173" s="29"/>
      <c r="O173" s="29"/>
      <c r="P173" s="29"/>
      <c r="Q173" s="375">
        <f t="shared" si="35"/>
        <v>1084</v>
      </c>
      <c r="R173" s="6"/>
      <c r="S173" s="7">
        <f>32938+15933+4465</f>
        <v>53336</v>
      </c>
      <c r="T173" s="6"/>
      <c r="U173" s="286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70">
        <f t="shared" si="15"/>
        <v>44073</v>
      </c>
      <c r="E174" s="284">
        <v>434100</v>
      </c>
      <c r="F174" s="7"/>
      <c r="G174" s="7">
        <v>191611</v>
      </c>
      <c r="H174" s="7"/>
      <c r="I174" s="7">
        <v>52495</v>
      </c>
      <c r="J174" s="287"/>
      <c r="K174" s="7">
        <f t="shared" si="33"/>
        <v>678206</v>
      </c>
      <c r="L174" s="6"/>
      <c r="M174" s="481">
        <f t="shared" si="34"/>
        <v>1.3125316506155907E-3</v>
      </c>
      <c r="N174" s="29"/>
      <c r="O174" s="29"/>
      <c r="P174" s="29"/>
      <c r="Q174" s="375">
        <f t="shared" si="35"/>
        <v>889</v>
      </c>
      <c r="R174" s="6"/>
      <c r="S174" s="7">
        <f>32948+15934+4465</f>
        <v>53347</v>
      </c>
      <c r="T174" s="6"/>
      <c r="U174" s="286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70">
        <f t="shared" si="15"/>
        <v>44074</v>
      </c>
      <c r="E175" s="284">
        <v>434756</v>
      </c>
      <c r="F175" s="7"/>
      <c r="G175" s="7">
        <v>191960</v>
      </c>
      <c r="H175" s="7"/>
      <c r="I175" s="7">
        <v>52879</v>
      </c>
      <c r="J175" s="287"/>
      <c r="K175" s="7">
        <f t="shared" si="33"/>
        <v>679595</v>
      </c>
      <c r="L175" s="6"/>
      <c r="M175" s="481">
        <f t="shared" si="34"/>
        <v>2.0480502974022643E-3</v>
      </c>
      <c r="N175" s="29"/>
      <c r="O175" s="29"/>
      <c r="P175" s="29"/>
      <c r="Q175" s="375">
        <f t="shared" si="35"/>
        <v>1389</v>
      </c>
      <c r="R175" s="6"/>
      <c r="S175" s="7">
        <f>32957+15945+4465</f>
        <v>53367</v>
      </c>
      <c r="T175" s="6"/>
      <c r="U175" s="286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70">
        <f t="shared" si="15"/>
        <v>44075</v>
      </c>
      <c r="E176" s="284">
        <v>435510</v>
      </c>
      <c r="F176" s="7"/>
      <c r="G176" s="7">
        <v>192290</v>
      </c>
      <c r="H176" s="7"/>
      <c r="I176" s="7">
        <v>53006</v>
      </c>
      <c r="J176" s="287"/>
      <c r="K176" s="7">
        <f t="shared" si="33"/>
        <v>680806</v>
      </c>
      <c r="L176" s="6"/>
      <c r="M176" s="481">
        <f t="shared" si="34"/>
        <v>1.7819436576196118E-3</v>
      </c>
      <c r="N176" s="29"/>
      <c r="O176" s="29"/>
      <c r="P176" s="29"/>
      <c r="Q176" s="375">
        <f t="shared" si="35"/>
        <v>1211</v>
      </c>
      <c r="R176" s="6"/>
      <c r="S176" s="7">
        <f>32966+15950+4466</f>
        <v>53382</v>
      </c>
      <c r="T176" s="6"/>
      <c r="U176" s="286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70">
        <f t="shared" si="15"/>
        <v>44076</v>
      </c>
      <c r="E177" s="284">
        <v>436218</v>
      </c>
      <c r="F177" s="7"/>
      <c r="G177" s="7">
        <v>192595</v>
      </c>
      <c r="H177" s="7"/>
      <c r="I177" s="7">
        <v>53108</v>
      </c>
      <c r="J177" s="287"/>
      <c r="K177" s="7">
        <f t="shared" si="33"/>
        <v>681921</v>
      </c>
      <c r="L177" s="6"/>
      <c r="M177" s="481">
        <f t="shared" si="34"/>
        <v>1.6377646495477419E-3</v>
      </c>
      <c r="N177" s="29"/>
      <c r="O177" s="29"/>
      <c r="P177" s="29"/>
      <c r="Q177" s="375">
        <f t="shared" si="35"/>
        <v>1115</v>
      </c>
      <c r="R177" s="6"/>
      <c r="S177" s="7">
        <f>32972+15964+4467</f>
        <v>53403</v>
      </c>
      <c r="T177" s="6"/>
      <c r="U177" s="286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70">
        <f t="shared" si="15"/>
        <v>44077</v>
      </c>
      <c r="E178" s="284">
        <v>437107</v>
      </c>
      <c r="F178" s="7"/>
      <c r="G178" s="7">
        <v>192973</v>
      </c>
      <c r="H178" s="7"/>
      <c r="I178" s="7">
        <v>53209</v>
      </c>
      <c r="J178" s="287"/>
      <c r="K178" s="7">
        <f t="shared" si="33"/>
        <v>683289</v>
      </c>
      <c r="L178" s="6"/>
      <c r="M178" s="481">
        <f t="shared" si="34"/>
        <v>2.0060974804999407E-3</v>
      </c>
      <c r="N178" s="29"/>
      <c r="O178" s="29"/>
      <c r="P178" s="29"/>
      <c r="Q178" s="375">
        <f t="shared" si="35"/>
        <v>1368</v>
      </c>
      <c r="R178" s="6"/>
      <c r="S178" s="7">
        <f>32976+15971+4468</f>
        <v>53415</v>
      </c>
      <c r="T178" s="6"/>
      <c r="U178" s="286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70">
        <f t="shared" si="15"/>
        <v>44078</v>
      </c>
      <c r="E179" s="284">
        <v>437562</v>
      </c>
      <c r="F179" s="7"/>
      <c r="G179" s="7">
        <v>193488</v>
      </c>
      <c r="H179" s="7"/>
      <c r="I179" s="7">
        <v>53274</v>
      </c>
      <c r="J179" s="287"/>
      <c r="K179" s="7">
        <f t="shared" si="33"/>
        <v>684324</v>
      </c>
      <c r="L179" s="6"/>
      <c r="M179" s="481">
        <f t="shared" si="34"/>
        <v>1.5147324192252474E-3</v>
      </c>
      <c r="N179" s="29"/>
      <c r="O179" s="29"/>
      <c r="P179" s="29"/>
      <c r="Q179" s="375">
        <f t="shared" si="35"/>
        <v>1035</v>
      </c>
      <c r="R179" s="6"/>
      <c r="S179" s="7">
        <f>32987+15985+4468</f>
        <v>53440</v>
      </c>
      <c r="T179" s="6"/>
      <c r="U179" s="286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70">
        <f t="shared" si="15"/>
        <v>44079</v>
      </c>
      <c r="E180" s="284">
        <v>438772</v>
      </c>
      <c r="F180" s="7"/>
      <c r="G180" s="7">
        <v>193747</v>
      </c>
      <c r="H180" s="7"/>
      <c r="I180" s="7">
        <v>53365</v>
      </c>
      <c r="J180" s="287"/>
      <c r="K180" s="7">
        <f t="shared" si="33"/>
        <v>685884</v>
      </c>
      <c r="L180" s="6"/>
      <c r="M180" s="481">
        <f t="shared" si="34"/>
        <v>2.2796219334701106E-3</v>
      </c>
      <c r="N180" s="29"/>
      <c r="O180" s="29"/>
      <c r="P180" s="29"/>
      <c r="Q180" s="375">
        <f t="shared" si="35"/>
        <v>1560</v>
      </c>
      <c r="R180" s="6"/>
      <c r="S180" s="7">
        <f>32987+15985+4468</f>
        <v>53440</v>
      </c>
      <c r="T180" s="6"/>
      <c r="U180" s="286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70">
        <f t="shared" si="15"/>
        <v>44080</v>
      </c>
      <c r="E181" s="284">
        <v>439501</v>
      </c>
      <c r="F181" s="7"/>
      <c r="G181" s="7">
        <v>194058</v>
      </c>
      <c r="H181" s="7"/>
      <c r="I181" s="7">
        <v>53365</v>
      </c>
      <c r="J181" s="287"/>
      <c r="K181" s="7">
        <f t="shared" si="33"/>
        <v>686924</v>
      </c>
      <c r="L181" s="6"/>
      <c r="M181" s="481">
        <f t="shared" si="34"/>
        <v>1.5162913845489909E-3</v>
      </c>
      <c r="N181" s="29"/>
      <c r="O181" s="29"/>
      <c r="P181" s="29"/>
      <c r="Q181" s="375">
        <f t="shared" si="35"/>
        <v>1040</v>
      </c>
      <c r="R181" s="6"/>
      <c r="S181" s="7">
        <f>32987+15985+4468</f>
        <v>53440</v>
      </c>
      <c r="T181" s="6"/>
      <c r="U181" s="286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70">
        <f t="shared" si="15"/>
        <v>44081</v>
      </c>
      <c r="E182" s="284">
        <v>440021</v>
      </c>
      <c r="F182" s="7"/>
      <c r="G182" s="7">
        <v>194390</v>
      </c>
      <c r="H182" s="7"/>
      <c r="I182" s="7">
        <v>53365</v>
      </c>
      <c r="J182" s="287"/>
      <c r="K182" s="7">
        <f t="shared" si="33"/>
        <v>687776</v>
      </c>
      <c r="L182" s="6"/>
      <c r="M182" s="481">
        <f t="shared" si="34"/>
        <v>1.24031188311953E-3</v>
      </c>
      <c r="N182" s="29"/>
      <c r="O182" s="29"/>
      <c r="P182" s="29"/>
      <c r="Q182" s="375">
        <f t="shared" si="35"/>
        <v>852</v>
      </c>
      <c r="R182" s="6"/>
      <c r="S182" s="7">
        <f>32987+15985+4468</f>
        <v>53440</v>
      </c>
      <c r="T182" s="6"/>
      <c r="U182" s="286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70">
        <f t="shared" si="15"/>
        <v>44082</v>
      </c>
      <c r="E183" s="284">
        <v>440578</v>
      </c>
      <c r="F183" s="7"/>
      <c r="G183" s="7">
        <v>194667</v>
      </c>
      <c r="H183" s="7"/>
      <c r="I183" s="7">
        <v>53782</v>
      </c>
      <c r="J183" s="287"/>
      <c r="K183" s="7">
        <f t="shared" si="33"/>
        <v>689027</v>
      </c>
      <c r="L183" s="6"/>
      <c r="M183" s="481">
        <f t="shared" si="34"/>
        <v>1.818906155492486E-3</v>
      </c>
      <c r="N183" s="29"/>
      <c r="O183" s="29"/>
      <c r="P183" s="29"/>
      <c r="Q183" s="375">
        <f t="shared" si="35"/>
        <v>1251</v>
      </c>
      <c r="R183" s="6"/>
      <c r="S183" s="7">
        <f>33010+15996+4474</f>
        <v>53480</v>
      </c>
      <c r="T183" s="6"/>
      <c r="U183" s="286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70">
        <f t="shared" si="15"/>
        <v>44083</v>
      </c>
      <c r="E184" s="284">
        <v>441154</v>
      </c>
      <c r="F184" s="7"/>
      <c r="G184" s="7">
        <v>194994</v>
      </c>
      <c r="H184" s="7"/>
      <c r="I184" s="7">
        <v>53871</v>
      </c>
      <c r="J184" s="287"/>
      <c r="K184" s="7">
        <f t="shared" ref="K184:K213" si="37">SUM(E184:I184)</f>
        <v>690019</v>
      </c>
      <c r="L184" s="6"/>
      <c r="M184" s="481">
        <f t="shared" ref="M184:M213" si="38">+(K184-K183)/K183</f>
        <v>1.4397113610932519E-3</v>
      </c>
      <c r="N184" s="29"/>
      <c r="O184" s="29"/>
      <c r="P184" s="29"/>
      <c r="Q184" s="375">
        <f t="shared" ref="Q184:Q213" si="39">+K184-K183</f>
        <v>992</v>
      </c>
      <c r="R184" s="6"/>
      <c r="S184" s="7">
        <f>33019+16008+4474</f>
        <v>53501</v>
      </c>
      <c r="T184" s="6"/>
      <c r="U184" s="286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70">
        <f t="shared" si="15"/>
        <v>44084</v>
      </c>
      <c r="E185" s="284">
        <v>441911</v>
      </c>
      <c r="F185" s="7"/>
      <c r="G185" s="7">
        <v>195414</v>
      </c>
      <c r="H185" s="7"/>
      <c r="I185" s="7">
        <v>54093</v>
      </c>
      <c r="J185" s="287"/>
      <c r="K185" s="7">
        <f t="shared" si="37"/>
        <v>691418</v>
      </c>
      <c r="L185" s="6"/>
      <c r="M185" s="481">
        <f t="shared" si="38"/>
        <v>2.0274804027135486E-3</v>
      </c>
      <c r="N185" s="29"/>
      <c r="O185" s="29"/>
      <c r="P185" s="29"/>
      <c r="Q185" s="375">
        <f t="shared" si="39"/>
        <v>1399</v>
      </c>
      <c r="R185" s="6"/>
      <c r="S185" s="7">
        <f>33019+16008+4474</f>
        <v>53501</v>
      </c>
      <c r="T185" s="6"/>
      <c r="U185" s="286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70">
        <f t="shared" si="15"/>
        <v>44085</v>
      </c>
      <c r="E186" s="284">
        <v>442791</v>
      </c>
      <c r="F186" s="7"/>
      <c r="G186" s="7">
        <v>195888</v>
      </c>
      <c r="H186" s="7"/>
      <c r="I186" s="7">
        <v>54326</v>
      </c>
      <c r="J186" s="287"/>
      <c r="K186" s="7">
        <f t="shared" si="37"/>
        <v>693005</v>
      </c>
      <c r="L186" s="6"/>
      <c r="M186" s="481">
        <f t="shared" si="38"/>
        <v>2.2952830270545461E-3</v>
      </c>
      <c r="N186" s="29"/>
      <c r="O186" s="29"/>
      <c r="P186" s="29"/>
      <c r="Q186" s="375">
        <f t="shared" si="39"/>
        <v>1587</v>
      </c>
      <c r="R186" s="6"/>
      <c r="S186" s="7">
        <f>33019+16008+4474</f>
        <v>53501</v>
      </c>
      <c r="T186" s="6"/>
      <c r="U186" s="286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70">
        <f t="shared" si="15"/>
        <v>44086</v>
      </c>
      <c r="E187" s="284">
        <v>443640</v>
      </c>
      <c r="F187" s="7"/>
      <c r="G187" s="7">
        <v>196337</v>
      </c>
      <c r="H187" s="7"/>
      <c r="I187" s="7">
        <v>54326</v>
      </c>
      <c r="J187" s="287"/>
      <c r="K187" s="7">
        <f t="shared" si="37"/>
        <v>694303</v>
      </c>
      <c r="L187" s="6"/>
      <c r="M187" s="481">
        <f t="shared" si="38"/>
        <v>1.873002359290337E-3</v>
      </c>
      <c r="N187" s="29"/>
      <c r="O187" s="29"/>
      <c r="P187" s="29"/>
      <c r="Q187" s="375">
        <f t="shared" si="39"/>
        <v>1298</v>
      </c>
      <c r="R187" s="6"/>
      <c r="S187" s="7">
        <f>33023+16027+4480</f>
        <v>53530</v>
      </c>
      <c r="T187" s="6"/>
      <c r="U187" s="286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70">
        <f t="shared" si="15"/>
        <v>44087</v>
      </c>
      <c r="E188" s="284">
        <v>444366</v>
      </c>
      <c r="F188" s="7"/>
      <c r="G188" s="7">
        <v>196634</v>
      </c>
      <c r="H188" s="7"/>
      <c r="I188" s="7">
        <v>54326</v>
      </c>
      <c r="J188" s="287"/>
      <c r="K188" s="7">
        <f t="shared" si="37"/>
        <v>695326</v>
      </c>
      <c r="L188" s="6"/>
      <c r="M188" s="481">
        <f t="shared" si="38"/>
        <v>1.4734201062072323E-3</v>
      </c>
      <c r="N188" s="29"/>
      <c r="O188" s="29"/>
      <c r="P188" s="29"/>
      <c r="Q188" s="375">
        <f t="shared" si="39"/>
        <v>1023</v>
      </c>
      <c r="R188" s="6"/>
      <c r="S188" s="7">
        <f>33023+16027+4480</f>
        <v>53530</v>
      </c>
      <c r="T188" s="6"/>
      <c r="U188" s="286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70">
        <f t="shared" si="15"/>
        <v>44088</v>
      </c>
      <c r="E189" s="284">
        <v>444946</v>
      </c>
      <c r="F189" s="7"/>
      <c r="G189" s="7">
        <v>196968</v>
      </c>
      <c r="H189" s="7"/>
      <c r="I189" s="7">
        <v>54895</v>
      </c>
      <c r="J189" s="287"/>
      <c r="K189" s="7">
        <f t="shared" si="37"/>
        <v>696809</v>
      </c>
      <c r="L189" s="6"/>
      <c r="M189" s="481">
        <f t="shared" si="38"/>
        <v>2.1328125224714736E-3</v>
      </c>
      <c r="N189" s="29"/>
      <c r="O189" s="29"/>
      <c r="P189" s="29"/>
      <c r="Q189" s="375">
        <f t="shared" si="39"/>
        <v>1483</v>
      </c>
      <c r="R189" s="6"/>
      <c r="S189" s="7">
        <f>33030+16034+4485</f>
        <v>53549</v>
      </c>
      <c r="T189" s="6"/>
      <c r="U189" s="286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70">
        <f t="shared" si="15"/>
        <v>44089</v>
      </c>
      <c r="E190" s="284">
        <v>445714</v>
      </c>
      <c r="F190" s="7"/>
      <c r="G190" s="7">
        <v>197404</v>
      </c>
      <c r="H190" s="7"/>
      <c r="I190" s="7">
        <v>55031</v>
      </c>
      <c r="J190" s="287"/>
      <c r="K190" s="7">
        <f t="shared" si="37"/>
        <v>698149</v>
      </c>
      <c r="L190" s="6"/>
      <c r="M190" s="481">
        <f t="shared" si="38"/>
        <v>1.9230520845741085E-3</v>
      </c>
      <c r="N190" s="29"/>
      <c r="O190" s="29"/>
      <c r="P190" s="29"/>
      <c r="Q190" s="375">
        <f t="shared" si="39"/>
        <v>1340</v>
      </c>
      <c r="R190" s="6"/>
      <c r="S190" s="7">
        <f>33038+16043+4485</f>
        <v>53566</v>
      </c>
      <c r="T190" s="6"/>
      <c r="U190" s="286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70">
        <f t="shared" si="15"/>
        <v>44090</v>
      </c>
      <c r="E191" s="284">
        <v>446366</v>
      </c>
      <c r="F191" s="7"/>
      <c r="G191" s="7">
        <v>197792</v>
      </c>
      <c r="H191" s="7"/>
      <c r="I191" s="7">
        <v>55166</v>
      </c>
      <c r="J191" s="287"/>
      <c r="K191" s="7">
        <f t="shared" si="37"/>
        <v>699324</v>
      </c>
      <c r="L191" s="6"/>
      <c r="M191" s="481">
        <f t="shared" si="38"/>
        <v>1.6830218191245707E-3</v>
      </c>
      <c r="N191" s="29"/>
      <c r="O191" s="29"/>
      <c r="P191" s="29"/>
      <c r="Q191" s="375">
        <f t="shared" si="39"/>
        <v>1175</v>
      </c>
      <c r="R191" s="6"/>
      <c r="S191" s="7">
        <f>33038+16043+4485</f>
        <v>53566</v>
      </c>
      <c r="T191" s="6"/>
      <c r="U191" s="286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70">
        <f t="shared" si="15"/>
        <v>44091</v>
      </c>
      <c r="E192" s="284">
        <v>447262</v>
      </c>
      <c r="F192" s="7"/>
      <c r="G192" s="7">
        <v>198361</v>
      </c>
      <c r="H192" s="7"/>
      <c r="I192" s="7">
        <v>55386</v>
      </c>
      <c r="J192" s="287"/>
      <c r="K192" s="7">
        <f t="shared" si="37"/>
        <v>701009</v>
      </c>
      <c r="L192" s="6"/>
      <c r="M192" s="481">
        <f t="shared" si="38"/>
        <v>2.4094697164690473E-3</v>
      </c>
      <c r="N192" s="29"/>
      <c r="O192" s="29"/>
      <c r="P192" s="29"/>
      <c r="Q192" s="375">
        <f t="shared" si="39"/>
        <v>1685</v>
      </c>
      <c r="R192" s="6"/>
      <c r="S192" s="7">
        <f>33070+16057+4488</f>
        <v>53615</v>
      </c>
      <c r="T192" s="6"/>
      <c r="U192" s="286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70">
        <f t="shared" si="15"/>
        <v>44092</v>
      </c>
      <c r="E193" s="284">
        <v>448052</v>
      </c>
      <c r="F193" s="7"/>
      <c r="G193" s="7">
        <v>198848</v>
      </c>
      <c r="H193" s="7"/>
      <c r="I193" s="7">
        <v>55527</v>
      </c>
      <c r="J193" s="287"/>
      <c r="K193" s="7">
        <f t="shared" si="37"/>
        <v>702427</v>
      </c>
      <c r="L193" s="6"/>
      <c r="M193" s="481">
        <f t="shared" si="38"/>
        <v>2.0227985660669122E-3</v>
      </c>
      <c r="N193" s="29"/>
      <c r="O193" s="29"/>
      <c r="P193" s="29"/>
      <c r="Q193" s="375">
        <f t="shared" si="39"/>
        <v>1418</v>
      </c>
      <c r="R193" s="6"/>
      <c r="S193" s="7">
        <f>33085+16061+4492</f>
        <v>53638</v>
      </c>
      <c r="T193" s="6"/>
      <c r="U193" s="286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70">
        <f t="shared" si="15"/>
        <v>44093</v>
      </c>
      <c r="E194" s="284">
        <v>449039</v>
      </c>
      <c r="F194" s="7"/>
      <c r="G194" s="7">
        <v>199309</v>
      </c>
      <c r="H194" s="7"/>
      <c r="I194" s="7">
        <v>55527</v>
      </c>
      <c r="J194" s="287"/>
      <c r="K194" s="7">
        <f t="shared" si="37"/>
        <v>703875</v>
      </c>
      <c r="L194" s="6"/>
      <c r="M194" s="481">
        <f t="shared" si="38"/>
        <v>2.0614241764624649E-3</v>
      </c>
      <c r="N194" s="29"/>
      <c r="O194" s="29"/>
      <c r="P194" s="29"/>
      <c r="Q194" s="375">
        <f t="shared" si="39"/>
        <v>1448</v>
      </c>
      <c r="R194" s="6"/>
      <c r="S194" s="7">
        <f>33081+16064+4492</f>
        <v>53637</v>
      </c>
      <c r="T194" s="6"/>
      <c r="U194" s="286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70">
        <f t="shared" si="15"/>
        <v>44094</v>
      </c>
      <c r="E195" s="284">
        <v>449900</v>
      </c>
      <c r="F195" s="7"/>
      <c r="G195" s="7">
        <v>199762</v>
      </c>
      <c r="H195" s="7"/>
      <c r="I195" s="7">
        <v>55527</v>
      </c>
      <c r="J195" s="287"/>
      <c r="K195" s="7">
        <f t="shared" si="37"/>
        <v>705189</v>
      </c>
      <c r="L195" s="6"/>
      <c r="M195" s="481">
        <f t="shared" si="38"/>
        <v>1.86680873734683E-3</v>
      </c>
      <c r="N195" s="29"/>
      <c r="O195" s="29"/>
      <c r="P195" s="29"/>
      <c r="Q195" s="375">
        <f t="shared" si="39"/>
        <v>1314</v>
      </c>
      <c r="R195" s="6"/>
      <c r="S195" s="7">
        <f>33087+16067+4492</f>
        <v>53646</v>
      </c>
      <c r="T195" s="6"/>
      <c r="U195" s="286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70">
        <f t="shared" si="15"/>
        <v>44095</v>
      </c>
      <c r="E196" s="284">
        <v>450473</v>
      </c>
      <c r="F196" s="7"/>
      <c r="G196" s="7">
        <v>200154</v>
      </c>
      <c r="H196" s="7"/>
      <c r="I196" s="7">
        <v>56024</v>
      </c>
      <c r="J196" s="287"/>
      <c r="K196" s="7">
        <f t="shared" si="37"/>
        <v>706651</v>
      </c>
      <c r="L196" s="6"/>
      <c r="M196" s="481">
        <f t="shared" si="38"/>
        <v>2.0732030703825501E-3</v>
      </c>
      <c r="N196" s="29"/>
      <c r="O196" s="29"/>
      <c r="P196" s="29"/>
      <c r="Q196" s="375">
        <f t="shared" si="39"/>
        <v>1462</v>
      </c>
      <c r="R196" s="6"/>
      <c r="S196" s="7">
        <f>33092+16069+4495</f>
        <v>53656</v>
      </c>
      <c r="T196" s="6"/>
      <c r="U196" s="286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70">
        <f t="shared" si="15"/>
        <v>44096</v>
      </c>
      <c r="E197" s="284">
        <v>451227</v>
      </c>
      <c r="F197" s="7"/>
      <c r="G197" s="7">
        <v>200580</v>
      </c>
      <c r="H197" s="7"/>
      <c r="I197" s="7">
        <v>56160</v>
      </c>
      <c r="J197" s="287"/>
      <c r="K197" s="7">
        <f t="shared" si="37"/>
        <v>707967</v>
      </c>
      <c r="L197" s="6"/>
      <c r="M197" s="481">
        <f t="shared" si="38"/>
        <v>1.8623054379035761E-3</v>
      </c>
      <c r="N197" s="29"/>
      <c r="O197" s="29"/>
      <c r="P197" s="29"/>
      <c r="Q197" s="375">
        <f t="shared" si="39"/>
        <v>1316</v>
      </c>
      <c r="R197" s="6"/>
      <c r="S197" s="7">
        <f>33092+16069+4495</f>
        <v>53656</v>
      </c>
      <c r="T197" s="6"/>
      <c r="U197" s="286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70">
        <f t="shared" si="15"/>
        <v>44097</v>
      </c>
      <c r="E198" s="284">
        <v>451892</v>
      </c>
      <c r="F198" s="7"/>
      <c r="G198" s="7">
        <v>200988</v>
      </c>
      <c r="H198" s="7"/>
      <c r="I198" s="7">
        <v>56315</v>
      </c>
      <c r="J198" s="287"/>
      <c r="K198" s="7">
        <f t="shared" si="37"/>
        <v>709195</v>
      </c>
      <c r="L198" s="6"/>
      <c r="M198" s="481">
        <f t="shared" si="38"/>
        <v>1.7345441242317791E-3</v>
      </c>
      <c r="N198" s="29"/>
      <c r="O198" s="29"/>
      <c r="P198" s="29"/>
      <c r="Q198" s="375">
        <f t="shared" si="39"/>
        <v>1228</v>
      </c>
      <c r="R198" s="6"/>
      <c r="S198" s="7">
        <f>33090+16082+4497</f>
        <v>53669</v>
      </c>
      <c r="T198" s="6"/>
      <c r="U198" s="286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70">
        <f t="shared" si="15"/>
        <v>44098</v>
      </c>
      <c r="E199" s="284">
        <v>452847</v>
      </c>
      <c r="F199" s="7"/>
      <c r="G199" s="7">
        <v>201216</v>
      </c>
      <c r="H199" s="7"/>
      <c r="I199" s="7">
        <v>56472</v>
      </c>
      <c r="J199" s="287"/>
      <c r="K199" s="7">
        <f t="shared" si="37"/>
        <v>710535</v>
      </c>
      <c r="L199" s="6"/>
      <c r="M199" s="481">
        <f t="shared" si="38"/>
        <v>1.8894662257912141E-3</v>
      </c>
      <c r="N199" s="29"/>
      <c r="O199" s="29"/>
      <c r="P199" s="29"/>
      <c r="Q199" s="375">
        <f t="shared" si="39"/>
        <v>1340</v>
      </c>
      <c r="R199" s="6"/>
      <c r="S199" s="7">
        <f>33096+16091+4499</f>
        <v>53686</v>
      </c>
      <c r="T199" s="6"/>
      <c r="U199" s="286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70">
        <f t="shared" si="15"/>
        <v>44099</v>
      </c>
      <c r="E200" s="284">
        <v>453756</v>
      </c>
      <c r="F200" s="7"/>
      <c r="G200" s="7">
        <v>202100</v>
      </c>
      <c r="H200" s="7"/>
      <c r="I200" s="7">
        <v>56587</v>
      </c>
      <c r="J200" s="287"/>
      <c r="K200" s="7">
        <f t="shared" si="37"/>
        <v>712443</v>
      </c>
      <c r="L200" s="6"/>
      <c r="M200" s="481">
        <f t="shared" si="38"/>
        <v>2.6853005129937302E-3</v>
      </c>
      <c r="N200" s="29"/>
      <c r="O200" s="29"/>
      <c r="P200" s="29"/>
      <c r="Q200" s="375">
        <f t="shared" si="39"/>
        <v>1908</v>
      </c>
      <c r="R200" s="6"/>
      <c r="S200" s="7">
        <f>33102+16097+4501</f>
        <v>53700</v>
      </c>
      <c r="T200" s="6"/>
      <c r="U200" s="286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70">
        <f t="shared" si="15"/>
        <v>44100</v>
      </c>
      <c r="E201" s="284">
        <v>454760</v>
      </c>
      <c r="F201" s="7"/>
      <c r="G201" s="7">
        <v>202850</v>
      </c>
      <c r="H201" s="7"/>
      <c r="I201" s="7">
        <v>56587</v>
      </c>
      <c r="J201" s="287"/>
      <c r="K201" s="7">
        <f t="shared" si="37"/>
        <v>714197</v>
      </c>
      <c r="L201" s="6"/>
      <c r="M201" s="481">
        <f t="shared" si="38"/>
        <v>2.461951342072278E-3</v>
      </c>
      <c r="N201" s="29"/>
      <c r="O201" s="29"/>
      <c r="P201" s="29"/>
      <c r="Q201" s="375">
        <f t="shared" si="39"/>
        <v>1754</v>
      </c>
      <c r="R201" s="6"/>
      <c r="S201" s="7">
        <f>33126+16103+4501</f>
        <v>53730</v>
      </c>
      <c r="T201" s="6"/>
      <c r="U201" s="286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70">
        <f t="shared" si="15"/>
        <v>44101</v>
      </c>
      <c r="E202" s="284">
        <v>455626</v>
      </c>
      <c r="F202" s="7"/>
      <c r="G202" s="7">
        <v>202850</v>
      </c>
      <c r="H202" s="7"/>
      <c r="I202" s="7">
        <v>56587</v>
      </c>
      <c r="J202" s="287"/>
      <c r="K202" s="7">
        <f t="shared" si="37"/>
        <v>715063</v>
      </c>
      <c r="L202" s="6"/>
      <c r="M202" s="481">
        <f t="shared" si="38"/>
        <v>1.212550598784369E-3</v>
      </c>
      <c r="N202" s="29"/>
      <c r="O202" s="29"/>
      <c r="P202" s="29"/>
      <c r="Q202" s="375">
        <f t="shared" si="39"/>
        <v>866</v>
      </c>
      <c r="R202" s="6"/>
      <c r="S202" s="7">
        <f>33131+16103+4501</f>
        <v>53735</v>
      </c>
      <c r="T202" s="6"/>
      <c r="U202" s="286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70">
        <f t="shared" si="15"/>
        <v>44102</v>
      </c>
      <c r="E203" s="284">
        <v>456460</v>
      </c>
      <c r="F203" s="7"/>
      <c r="G203" s="7">
        <v>204107</v>
      </c>
      <c r="H203" s="7"/>
      <c r="I203" s="7">
        <v>57147</v>
      </c>
      <c r="J203" s="287"/>
      <c r="K203" s="7">
        <f t="shared" si="37"/>
        <v>717714</v>
      </c>
      <c r="L203" s="6"/>
      <c r="M203" s="481">
        <f t="shared" si="38"/>
        <v>3.7073656447054316E-3</v>
      </c>
      <c r="N203" s="29"/>
      <c r="O203" s="29"/>
      <c r="P203" s="29"/>
      <c r="Q203" s="375">
        <f t="shared" si="39"/>
        <v>2651</v>
      </c>
      <c r="R203" s="6"/>
      <c r="S203" s="7">
        <f>33140+16107+4503</f>
        <v>53750</v>
      </c>
      <c r="T203" s="6"/>
      <c r="U203" s="286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70">
        <f t="shared" si="15"/>
        <v>44103</v>
      </c>
      <c r="E204" s="284">
        <v>457649</v>
      </c>
      <c r="F204" s="7"/>
      <c r="G204" s="7">
        <v>204563</v>
      </c>
      <c r="H204" s="7"/>
      <c r="I204" s="7">
        <v>57329</v>
      </c>
      <c r="J204" s="287"/>
      <c r="K204" s="7">
        <f t="shared" si="37"/>
        <v>719541</v>
      </c>
      <c r="L204" s="6"/>
      <c r="M204" s="481">
        <f t="shared" si="38"/>
        <v>2.5455822235598024E-3</v>
      </c>
      <c r="N204" s="29"/>
      <c r="O204" s="29"/>
      <c r="P204" s="29"/>
      <c r="Q204" s="375">
        <f t="shared" si="39"/>
        <v>1827</v>
      </c>
      <c r="R204" s="6"/>
      <c r="S204" s="7">
        <f>33144+16117+4506</f>
        <v>53767</v>
      </c>
      <c r="T204" s="6"/>
      <c r="U204" s="286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70">
        <f t="shared" si="15"/>
        <v>44104</v>
      </c>
      <c r="E205" s="284">
        <v>458649</v>
      </c>
      <c r="F205" s="7"/>
      <c r="G205" s="7">
        <v>205275</v>
      </c>
      <c r="H205" s="7"/>
      <c r="I205" s="7">
        <v>57550</v>
      </c>
      <c r="J205" s="287"/>
      <c r="K205" s="7">
        <f t="shared" si="37"/>
        <v>721474</v>
      </c>
      <c r="L205" s="6"/>
      <c r="M205" s="481">
        <f t="shared" si="38"/>
        <v>2.6864348244227919E-3</v>
      </c>
      <c r="N205" s="29"/>
      <c r="O205" s="29"/>
      <c r="P205" s="29"/>
      <c r="Q205" s="375">
        <f t="shared" si="39"/>
        <v>1933</v>
      </c>
      <c r="R205" s="6"/>
      <c r="S205" s="7">
        <f>33153+16122+4508</f>
        <v>53783</v>
      </c>
      <c r="T205" s="6"/>
      <c r="U205" s="286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70">
        <f t="shared" si="15"/>
        <v>44105</v>
      </c>
      <c r="E206" s="284">
        <v>460031</v>
      </c>
      <c r="F206" s="7"/>
      <c r="G206" s="7">
        <v>205889</v>
      </c>
      <c r="H206" s="7"/>
      <c r="I206" s="7">
        <v>57742</v>
      </c>
      <c r="J206" s="287"/>
      <c r="K206" s="7">
        <f t="shared" si="37"/>
        <v>723662</v>
      </c>
      <c r="L206" s="6"/>
      <c r="M206" s="481">
        <f t="shared" si="38"/>
        <v>3.0326803183482703E-3</v>
      </c>
      <c r="N206" s="29"/>
      <c r="O206" s="29"/>
      <c r="P206" s="29"/>
      <c r="Q206" s="375">
        <f t="shared" si="39"/>
        <v>2188</v>
      </c>
      <c r="R206" s="6"/>
      <c r="S206" s="7">
        <f>33159+16140+4511</f>
        <v>53810</v>
      </c>
      <c r="T206" s="6"/>
      <c r="U206" s="286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70">
        <f t="shared" si="15"/>
        <v>44106</v>
      </c>
      <c r="E207" s="284">
        <v>461629</v>
      </c>
      <c r="F207" s="7"/>
      <c r="G207" s="7">
        <v>206629</v>
      </c>
      <c r="H207" s="7"/>
      <c r="I207" s="7">
        <v>58297</v>
      </c>
      <c r="J207" s="287"/>
      <c r="K207" s="7">
        <f t="shared" si="37"/>
        <v>726555</v>
      </c>
      <c r="L207" s="6"/>
      <c r="M207" s="481">
        <f t="shared" si="38"/>
        <v>3.9977226937437643E-3</v>
      </c>
      <c r="N207" s="29"/>
      <c r="O207" s="29"/>
      <c r="P207" s="29"/>
      <c r="Q207" s="375">
        <f t="shared" si="39"/>
        <v>2893</v>
      </c>
      <c r="R207" s="6"/>
      <c r="S207" s="7">
        <f>33199+16131+4513</f>
        <v>53843</v>
      </c>
      <c r="T207" s="6"/>
      <c r="U207" s="286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70">
        <f t="shared" si="15"/>
        <v>44107</v>
      </c>
      <c r="E208" s="284">
        <v>463360</v>
      </c>
      <c r="F208" s="7"/>
      <c r="G208" s="7">
        <v>207576</v>
      </c>
      <c r="H208" s="7"/>
      <c r="I208" s="7">
        <v>58297</v>
      </c>
      <c r="J208" s="287"/>
      <c r="K208" s="7">
        <f t="shared" si="37"/>
        <v>729233</v>
      </c>
      <c r="L208" s="6"/>
      <c r="M208" s="481">
        <f t="shared" si="38"/>
        <v>3.6858875102366647E-3</v>
      </c>
      <c r="N208" s="29"/>
      <c r="O208" s="29"/>
      <c r="P208" s="29"/>
      <c r="Q208" s="375">
        <f t="shared" si="39"/>
        <v>2678</v>
      </c>
      <c r="R208" s="6"/>
      <c r="S208" s="7">
        <f>33197+16135+4513</f>
        <v>53845</v>
      </c>
      <c r="T208" s="6"/>
      <c r="U208" s="286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70">
        <f t="shared" si="15"/>
        <v>44108</v>
      </c>
      <c r="E209" s="284">
        <v>464582</v>
      </c>
      <c r="F209" s="7"/>
      <c r="G209" s="7">
        <v>208202</v>
      </c>
      <c r="H209" s="7"/>
      <c r="I209" s="7">
        <v>58297</v>
      </c>
      <c r="J209" s="287"/>
      <c r="K209" s="7">
        <f t="shared" si="37"/>
        <v>731081</v>
      </c>
      <c r="L209" s="6"/>
      <c r="M209" s="481">
        <f t="shared" si="38"/>
        <v>2.5341694629837101E-3</v>
      </c>
      <c r="N209" s="29"/>
      <c r="O209" s="29"/>
      <c r="P209" s="29"/>
      <c r="Q209" s="375">
        <f t="shared" si="39"/>
        <v>1848</v>
      </c>
      <c r="R209" s="6"/>
      <c r="S209" s="7">
        <f>33206+16136+4513</f>
        <v>53855</v>
      </c>
      <c r="T209" s="6"/>
      <c r="U209" s="286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70">
        <f t="shared" si="15"/>
        <v>44109</v>
      </c>
      <c r="E210" s="284">
        <v>465212</v>
      </c>
      <c r="F210" s="7"/>
      <c r="G210" s="7">
        <v>208159</v>
      </c>
      <c r="H210" s="7"/>
      <c r="I210" s="7">
        <v>59120</v>
      </c>
      <c r="J210" s="287"/>
      <c r="K210" s="7">
        <f t="shared" si="37"/>
        <v>732491</v>
      </c>
      <c r="L210" s="6"/>
      <c r="M210" s="481">
        <f t="shared" si="38"/>
        <v>1.9286508608485243E-3</v>
      </c>
      <c r="N210" s="29"/>
      <c r="O210" s="29"/>
      <c r="P210" s="29"/>
      <c r="Q210" s="375">
        <f t="shared" si="39"/>
        <v>1410</v>
      </c>
      <c r="R210" s="6"/>
      <c r="S210" s="7">
        <v>53862</v>
      </c>
      <c r="T210" s="6"/>
      <c r="U210" s="286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70">
        <f t="shared" si="15"/>
        <v>44110</v>
      </c>
      <c r="E211" s="284">
        <v>466908</v>
      </c>
      <c r="F211" s="7"/>
      <c r="G211" s="7">
        <v>209342</v>
      </c>
      <c r="H211" s="7"/>
      <c r="I211" s="7">
        <v>59241</v>
      </c>
      <c r="J211" s="287"/>
      <c r="K211" s="7">
        <f t="shared" si="37"/>
        <v>735491</v>
      </c>
      <c r="L211" s="6"/>
      <c r="M211" s="481">
        <f t="shared" si="38"/>
        <v>4.0956134614623255E-3</v>
      </c>
      <c r="N211" s="29"/>
      <c r="O211" s="29"/>
      <c r="P211" s="29"/>
      <c r="Q211" s="375">
        <f t="shared" si="39"/>
        <v>3000</v>
      </c>
      <c r="R211" s="6"/>
      <c r="S211" s="7">
        <f>33219+16147+4521</f>
        <v>53887</v>
      </c>
      <c r="T211" s="6"/>
      <c r="U211" s="286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70">
        <f t="shared" si="15"/>
        <v>44111</v>
      </c>
      <c r="E212" s="284">
        <v>468268</v>
      </c>
      <c r="F212" s="7"/>
      <c r="G212" s="7">
        <v>209850</v>
      </c>
      <c r="H212" s="7"/>
      <c r="I212" s="7">
        <v>59364</v>
      </c>
      <c r="J212" s="287"/>
      <c r="K212" s="7">
        <f t="shared" si="37"/>
        <v>737482</v>
      </c>
      <c r="L212" s="6"/>
      <c r="M212" s="481">
        <f t="shared" si="38"/>
        <v>2.7070351642644167E-3</v>
      </c>
      <c r="N212" s="29"/>
      <c r="O212" s="29"/>
      <c r="P212" s="29"/>
      <c r="Q212" s="375">
        <f t="shared" si="39"/>
        <v>1991</v>
      </c>
      <c r="R212" s="6"/>
      <c r="S212" s="7">
        <f>33226+16152+4522</f>
        <v>53900</v>
      </c>
      <c r="T212" s="6"/>
      <c r="U212" s="286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70">
        <f t="shared" si="15"/>
        <v>44112</v>
      </c>
      <c r="E213" s="284">
        <v>470104</v>
      </c>
      <c r="F213" s="7"/>
      <c r="G213" s="7">
        <v>211148</v>
      </c>
      <c r="H213" s="7"/>
      <c r="I213" s="7">
        <v>59748</v>
      </c>
      <c r="J213" s="287"/>
      <c r="K213" s="7">
        <f t="shared" si="37"/>
        <v>741000</v>
      </c>
      <c r="L213" s="6"/>
      <c r="M213" s="481">
        <f t="shared" si="38"/>
        <v>4.7702859188427649E-3</v>
      </c>
      <c r="N213" s="29"/>
      <c r="O213" s="29"/>
      <c r="P213" s="29"/>
      <c r="Q213" s="375">
        <f t="shared" si="39"/>
        <v>3518</v>
      </c>
      <c r="R213" s="6"/>
      <c r="S213" s="7">
        <f>33227+16161+4527</f>
        <v>53915</v>
      </c>
      <c r="T213" s="6"/>
      <c r="U213" s="286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70">
        <f t="shared" si="15"/>
        <v>44113</v>
      </c>
      <c r="E214" s="284">
        <v>471696</v>
      </c>
      <c r="F214" s="7"/>
      <c r="G214" s="7">
        <v>212013</v>
      </c>
      <c r="H214" s="7"/>
      <c r="I214" s="7">
        <v>60038</v>
      </c>
      <c r="J214" s="287"/>
      <c r="K214" s="7">
        <f t="shared" ref="K214:K223" si="41">SUM(E214:I214)</f>
        <v>743747</v>
      </c>
      <c r="L214" s="6"/>
      <c r="M214" s="481">
        <f t="shared" ref="M214:M223" si="42">+(K214-K213)/K213</f>
        <v>3.7071524966261807E-3</v>
      </c>
      <c r="N214" s="29"/>
      <c r="O214" s="29"/>
      <c r="P214" s="29"/>
      <c r="Q214" s="375">
        <f t="shared" ref="Q214:Q223" si="43">+K214-K213</f>
        <v>2747</v>
      </c>
      <c r="R214" s="6"/>
      <c r="S214" s="7">
        <f>33290+16164+4530</f>
        <v>53984</v>
      </c>
      <c r="T214" s="6"/>
      <c r="U214" s="286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70">
        <f t="shared" si="15"/>
        <v>44114</v>
      </c>
      <c r="E215" s="284">
        <v>473143</v>
      </c>
      <c r="F215" s="7"/>
      <c r="G215" s="7">
        <v>212844</v>
      </c>
      <c r="H215" s="7"/>
      <c r="I215" s="7">
        <v>60038</v>
      </c>
      <c r="J215" s="287"/>
      <c r="K215" s="7">
        <f t="shared" si="41"/>
        <v>746025</v>
      </c>
      <c r="L215" s="6"/>
      <c r="M215" s="481">
        <f t="shared" si="42"/>
        <v>3.0628694972887286E-3</v>
      </c>
      <c r="N215" s="29"/>
      <c r="O215" s="29"/>
      <c r="P215" s="29"/>
      <c r="Q215" s="375">
        <f t="shared" si="43"/>
        <v>2278</v>
      </c>
      <c r="R215" s="6"/>
      <c r="S215" s="7">
        <f>33290+16164+4530</f>
        <v>53984</v>
      </c>
      <c r="T215" s="6"/>
      <c r="U215" s="286">
        <f t="shared" si="44"/>
        <v>7.2362186253811869E-2</v>
      </c>
      <c r="W215">
        <f t="shared" si="20"/>
        <v>205</v>
      </c>
      <c r="Y215" s="56"/>
    </row>
    <row r="216" spans="3:25" x14ac:dyDescent="0.3">
      <c r="C216" s="170">
        <f t="shared" si="15"/>
        <v>44115</v>
      </c>
      <c r="E216" s="284">
        <v>474286</v>
      </c>
      <c r="F216" s="7"/>
      <c r="G216" s="7">
        <v>213628</v>
      </c>
      <c r="H216" s="7"/>
      <c r="I216" s="7">
        <v>60638</v>
      </c>
      <c r="J216" s="287"/>
      <c r="K216" s="7">
        <f t="shared" si="41"/>
        <v>748552</v>
      </c>
      <c r="L216" s="6"/>
      <c r="M216" s="481">
        <f t="shared" si="42"/>
        <v>3.3872859488623037E-3</v>
      </c>
      <c r="N216" s="29"/>
      <c r="O216" s="29"/>
      <c r="P216" s="29"/>
      <c r="Q216" s="375">
        <f t="shared" si="43"/>
        <v>2527</v>
      </c>
      <c r="R216" s="6"/>
      <c r="S216" s="7">
        <f>33290+16164+4530</f>
        <v>53984</v>
      </c>
      <c r="T216" s="6"/>
      <c r="U216" s="286">
        <f t="shared" si="44"/>
        <v>7.2117902296700828E-2</v>
      </c>
      <c r="W216">
        <f t="shared" si="20"/>
        <v>206</v>
      </c>
      <c r="Y216" s="56"/>
    </row>
    <row r="217" spans="3:25" x14ac:dyDescent="0.3">
      <c r="C217" s="170">
        <f t="shared" si="15"/>
        <v>44116</v>
      </c>
      <c r="E217" s="284">
        <v>475315</v>
      </c>
      <c r="F217" s="7"/>
      <c r="G217" s="7">
        <v>214097</v>
      </c>
      <c r="H217" s="7"/>
      <c r="I217" s="7">
        <v>61377</v>
      </c>
      <c r="J217" s="287"/>
      <c r="K217" s="7">
        <f t="shared" si="41"/>
        <v>750789</v>
      </c>
      <c r="L217" s="6"/>
      <c r="M217" s="481">
        <f t="shared" si="42"/>
        <v>2.9884363410958756E-3</v>
      </c>
      <c r="N217" s="29"/>
      <c r="O217" s="29"/>
      <c r="P217" s="29"/>
      <c r="Q217" s="375">
        <f t="shared" si="43"/>
        <v>2237</v>
      </c>
      <c r="R217" s="6"/>
      <c r="S217" s="7">
        <f>33301+16175+4532</f>
        <v>54008</v>
      </c>
      <c r="T217" s="6"/>
      <c r="U217" s="286">
        <f t="shared" si="44"/>
        <v>7.1934991056075676E-2</v>
      </c>
      <c r="W217">
        <f t="shared" si="20"/>
        <v>207</v>
      </c>
      <c r="Y217" s="56"/>
    </row>
    <row r="218" spans="3:25" x14ac:dyDescent="0.3">
      <c r="C218" s="170">
        <f t="shared" si="15"/>
        <v>44117</v>
      </c>
      <c r="E218" s="284">
        <v>476708</v>
      </c>
      <c r="F218" s="7"/>
      <c r="G218" s="7">
        <v>215085</v>
      </c>
      <c r="H218" s="7"/>
      <c r="I218" s="7">
        <v>61697</v>
      </c>
      <c r="J218" s="287"/>
      <c r="K218" s="7">
        <f t="shared" si="41"/>
        <v>753490</v>
      </c>
      <c r="L218" s="6"/>
      <c r="M218" s="481">
        <f t="shared" si="42"/>
        <v>3.5975487120882164E-3</v>
      </c>
      <c r="N218" s="29"/>
      <c r="O218" s="29"/>
      <c r="P218" s="29"/>
      <c r="Q218" s="375">
        <f t="shared" si="43"/>
        <v>2701</v>
      </c>
      <c r="R218" s="6"/>
      <c r="S218" s="7">
        <f>33306+16182+4533</f>
        <v>54021</v>
      </c>
      <c r="T218" s="6"/>
      <c r="U218" s="286">
        <f t="shared" si="44"/>
        <v>7.1694382141766974E-2</v>
      </c>
      <c r="W218">
        <f t="shared" si="20"/>
        <v>208</v>
      </c>
      <c r="Y218" s="56"/>
    </row>
    <row r="219" spans="3:25" x14ac:dyDescent="0.3">
      <c r="C219" s="170">
        <f t="shared" si="15"/>
        <v>44118</v>
      </c>
      <c r="E219" s="284">
        <v>477940</v>
      </c>
      <c r="F219" s="7"/>
      <c r="G219" s="7">
        <v>216023</v>
      </c>
      <c r="H219" s="7"/>
      <c r="I219" s="7">
        <v>61861</v>
      </c>
      <c r="J219" s="287"/>
      <c r="K219" s="7">
        <f t="shared" si="41"/>
        <v>755824</v>
      </c>
      <c r="L219" s="6"/>
      <c r="M219" s="481">
        <f t="shared" si="42"/>
        <v>3.097585900277376E-3</v>
      </c>
      <c r="N219" s="29"/>
      <c r="O219" s="29"/>
      <c r="P219" s="29"/>
      <c r="Q219" s="375">
        <f t="shared" si="43"/>
        <v>2334</v>
      </c>
      <c r="R219" s="6"/>
      <c r="S219" s="7">
        <f>33316+16191+4537</f>
        <v>54044</v>
      </c>
      <c r="T219" s="6"/>
      <c r="U219" s="286">
        <f t="shared" si="44"/>
        <v>7.1503418785325679E-2</v>
      </c>
      <c r="W219">
        <f t="shared" si="20"/>
        <v>209</v>
      </c>
      <c r="Y219" s="56"/>
    </row>
    <row r="220" spans="3:25" x14ac:dyDescent="0.3">
      <c r="C220" s="170">
        <f t="shared" si="15"/>
        <v>44119</v>
      </c>
      <c r="E220" s="284">
        <v>479400</v>
      </c>
      <c r="F220" s="7"/>
      <c r="G220" s="7">
        <v>216994</v>
      </c>
      <c r="H220" s="7"/>
      <c r="I220" s="7">
        <v>62028</v>
      </c>
      <c r="J220" s="287"/>
      <c r="K220" s="7">
        <f t="shared" si="41"/>
        <v>758422</v>
      </c>
      <c r="L220" s="6"/>
      <c r="M220" s="481">
        <f t="shared" si="42"/>
        <v>3.4373081563961981E-3</v>
      </c>
      <c r="N220" s="29"/>
      <c r="O220" s="29"/>
      <c r="P220" s="29"/>
      <c r="Q220" s="375">
        <f t="shared" si="43"/>
        <v>2598</v>
      </c>
      <c r="R220" s="6"/>
      <c r="S220" s="7">
        <f>33316+16191+4537</f>
        <v>54044</v>
      </c>
      <c r="T220" s="6"/>
      <c r="U220" s="286">
        <f t="shared" si="44"/>
        <v>7.1258481425908002E-2</v>
      </c>
      <c r="W220">
        <f t="shared" si="20"/>
        <v>210</v>
      </c>
      <c r="Y220" s="56"/>
    </row>
    <row r="221" spans="3:25" x14ac:dyDescent="0.3">
      <c r="C221" s="170">
        <f t="shared" si="15"/>
        <v>44120</v>
      </c>
      <c r="E221" s="284">
        <v>481107</v>
      </c>
      <c r="F221" s="7"/>
      <c r="G221" s="7">
        <v>217804</v>
      </c>
      <c r="H221" s="7"/>
      <c r="I221" s="7">
        <v>62830</v>
      </c>
      <c r="J221" s="287"/>
      <c r="K221" s="7">
        <f t="shared" si="41"/>
        <v>761741</v>
      </c>
      <c r="L221" s="6"/>
      <c r="M221" s="481">
        <f t="shared" si="42"/>
        <v>4.3761916189140083E-3</v>
      </c>
      <c r="N221" s="29"/>
      <c r="O221" s="29"/>
      <c r="P221" s="29"/>
      <c r="Q221" s="375">
        <f t="shared" si="43"/>
        <v>3319</v>
      </c>
      <c r="R221" s="6"/>
      <c r="S221" s="7">
        <f>33337+16202+4542</f>
        <v>54081</v>
      </c>
      <c r="T221" s="6"/>
      <c r="U221" s="286">
        <f t="shared" si="44"/>
        <v>7.0996572325764271E-2</v>
      </c>
      <c r="W221">
        <f t="shared" si="20"/>
        <v>211</v>
      </c>
      <c r="Y221" s="56"/>
    </row>
    <row r="222" spans="3:25" x14ac:dyDescent="0.3">
      <c r="C222" s="170">
        <f t="shared" si="15"/>
        <v>44121</v>
      </c>
      <c r="E222" s="284">
        <v>482891</v>
      </c>
      <c r="F222" s="7"/>
      <c r="G222" s="7">
        <v>218738</v>
      </c>
      <c r="H222" s="7"/>
      <c r="I222" s="7">
        <v>62830</v>
      </c>
      <c r="J222" s="287"/>
      <c r="K222" s="7">
        <f t="shared" si="41"/>
        <v>764459</v>
      </c>
      <c r="L222" s="6"/>
      <c r="M222" s="481">
        <f t="shared" si="42"/>
        <v>3.5681419275055432E-3</v>
      </c>
      <c r="N222" s="29"/>
      <c r="O222" s="29"/>
      <c r="P222" s="29"/>
      <c r="Q222" s="375">
        <f t="shared" si="43"/>
        <v>2718</v>
      </c>
      <c r="R222" s="6"/>
      <c r="S222" s="7">
        <f>33347+16204+4542</f>
        <v>54093</v>
      </c>
      <c r="T222" s="6"/>
      <c r="U222" s="286">
        <f t="shared" si="44"/>
        <v>7.0759844543657677E-2</v>
      </c>
      <c r="W222">
        <f t="shared" si="20"/>
        <v>212</v>
      </c>
      <c r="Y222" s="56"/>
    </row>
    <row r="223" spans="3:25" x14ac:dyDescent="0.3">
      <c r="C223" s="170">
        <f t="shared" si="15"/>
        <v>44122</v>
      </c>
      <c r="E223" s="284">
        <v>484281</v>
      </c>
      <c r="F223" s="7"/>
      <c r="G223" s="7">
        <v>219647</v>
      </c>
      <c r="H223" s="7"/>
      <c r="I223" s="7">
        <v>62830</v>
      </c>
      <c r="J223" s="287"/>
      <c r="K223" s="7">
        <f t="shared" si="41"/>
        <v>766758</v>
      </c>
      <c r="L223" s="6"/>
      <c r="M223" s="481">
        <f t="shared" si="42"/>
        <v>3.0073555285502558E-3</v>
      </c>
      <c r="N223" s="29"/>
      <c r="O223" s="29"/>
      <c r="P223" s="29"/>
      <c r="Q223" s="375">
        <f t="shared" si="43"/>
        <v>2299</v>
      </c>
      <c r="R223" s="6"/>
      <c r="S223" s="7">
        <f>33357+16211+4542</f>
        <v>54110</v>
      </c>
      <c r="T223" s="6"/>
      <c r="U223" s="286">
        <f t="shared" si="44"/>
        <v>7.0569853852193262E-2</v>
      </c>
      <c r="W223">
        <f t="shared" si="20"/>
        <v>213</v>
      </c>
      <c r="Y223" s="56"/>
    </row>
    <row r="224" spans="3:25" x14ac:dyDescent="0.3">
      <c r="C224" s="170">
        <f t="shared" si="15"/>
        <v>44123</v>
      </c>
      <c r="E224" s="284">
        <v>485279</v>
      </c>
      <c r="F224" s="7"/>
      <c r="G224" s="7">
        <v>221205</v>
      </c>
      <c r="H224" s="7"/>
      <c r="I224" s="7">
        <v>64021</v>
      </c>
      <c r="J224" s="287"/>
      <c r="K224" s="7">
        <f t="shared" ref="K224:K230" si="45">SUM(E224:I224)</f>
        <v>770505</v>
      </c>
      <c r="L224" s="6"/>
      <c r="M224" s="481">
        <f t="shared" ref="M224:M230" si="46">+(K224-K223)/K223</f>
        <v>4.8868091366506775E-3</v>
      </c>
      <c r="N224" s="29"/>
      <c r="O224" s="29"/>
      <c r="P224" s="29"/>
      <c r="Q224" s="375">
        <f t="shared" ref="Q224:Q230" si="47">+K224-K223</f>
        <v>3747</v>
      </c>
      <c r="R224" s="6"/>
      <c r="S224" s="7">
        <f>33357+16211+4542</f>
        <v>54110</v>
      </c>
      <c r="T224" s="6"/>
      <c r="U224" s="286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70">
        <f t="shared" si="15"/>
        <v>44124</v>
      </c>
      <c r="E225" s="284">
        <v>486480</v>
      </c>
      <c r="F225" s="7"/>
      <c r="G225" s="7">
        <v>222193</v>
      </c>
      <c r="H225" s="7"/>
      <c r="I225" s="7">
        <v>64455</v>
      </c>
      <c r="J225" s="287"/>
      <c r="K225" s="7">
        <f t="shared" si="45"/>
        <v>773128</v>
      </c>
      <c r="L225" s="6"/>
      <c r="M225" s="481">
        <f t="shared" si="46"/>
        <v>3.4042608419153674E-3</v>
      </c>
      <c r="N225" s="29"/>
      <c r="O225" s="29"/>
      <c r="P225" s="29"/>
      <c r="Q225" s="375">
        <f t="shared" si="47"/>
        <v>2623</v>
      </c>
      <c r="R225" s="6"/>
      <c r="S225" s="7">
        <f>33366+16227+4559</f>
        <v>54152</v>
      </c>
      <c r="T225" s="6"/>
      <c r="U225" s="286">
        <f t="shared" si="48"/>
        <v>7.0042735484939098E-2</v>
      </c>
      <c r="W225">
        <f t="shared" si="20"/>
        <v>215</v>
      </c>
      <c r="Y225" s="56"/>
    </row>
    <row r="226" spans="3:25" x14ac:dyDescent="0.3">
      <c r="C226" s="170">
        <f t="shared" si="15"/>
        <v>44125</v>
      </c>
      <c r="E226" s="284">
        <v>488506</v>
      </c>
      <c r="F226" s="7"/>
      <c r="G226" s="7">
        <v>223223</v>
      </c>
      <c r="H226" s="7"/>
      <c r="I226" s="7">
        <v>64871</v>
      </c>
      <c r="J226" s="287"/>
      <c r="K226" s="7">
        <f t="shared" si="45"/>
        <v>776600</v>
      </c>
      <c r="L226" s="6"/>
      <c r="M226" s="481">
        <f t="shared" si="46"/>
        <v>4.4908475698720004E-3</v>
      </c>
      <c r="N226" s="29"/>
      <c r="O226" s="29"/>
      <c r="P226" s="29"/>
      <c r="Q226" s="375">
        <f t="shared" si="47"/>
        <v>3472</v>
      </c>
      <c r="R226" s="6"/>
      <c r="S226" s="7">
        <f>33371+16245+4567</f>
        <v>54183</v>
      </c>
      <c r="T226" s="6"/>
      <c r="U226" s="286">
        <f t="shared" si="48"/>
        <v>6.9769508112284315E-2</v>
      </c>
      <c r="W226">
        <f t="shared" si="20"/>
        <v>216</v>
      </c>
      <c r="Y226" s="56"/>
    </row>
    <row r="227" spans="3:25" x14ac:dyDescent="0.3">
      <c r="C227" s="170">
        <f t="shared" si="15"/>
        <v>44126</v>
      </c>
      <c r="E227" s="284">
        <v>490134</v>
      </c>
      <c r="F227" s="7"/>
      <c r="G227" s="7">
        <v>224385</v>
      </c>
      <c r="H227" s="7"/>
      <c r="I227" s="7">
        <v>65373</v>
      </c>
      <c r="J227" s="287"/>
      <c r="K227" s="7">
        <f t="shared" si="45"/>
        <v>779892</v>
      </c>
      <c r="L227" s="6"/>
      <c r="M227" s="481">
        <f t="shared" si="46"/>
        <v>4.2389904712850889E-3</v>
      </c>
      <c r="N227" s="29"/>
      <c r="O227" s="29"/>
      <c r="P227" s="29"/>
      <c r="Q227" s="375">
        <f t="shared" si="47"/>
        <v>3292</v>
      </c>
      <c r="R227" s="6"/>
      <c r="S227" s="7">
        <f>33371+16245+4567</f>
        <v>54183</v>
      </c>
      <c r="T227" s="6"/>
      <c r="U227" s="286">
        <f t="shared" si="48"/>
        <v>6.9475004231355109E-2</v>
      </c>
      <c r="W227">
        <f t="shared" si="20"/>
        <v>217</v>
      </c>
      <c r="Y227" s="56"/>
    </row>
    <row r="228" spans="3:25" x14ac:dyDescent="0.3">
      <c r="C228" s="170">
        <f t="shared" si="15"/>
        <v>44127</v>
      </c>
      <c r="E228" s="284">
        <v>491771</v>
      </c>
      <c r="F228" s="7"/>
      <c r="G228" s="7">
        <v>225430</v>
      </c>
      <c r="H228" s="7"/>
      <c r="I228" s="7">
        <v>66052</v>
      </c>
      <c r="J228" s="287"/>
      <c r="K228" s="7">
        <f t="shared" si="45"/>
        <v>783253</v>
      </c>
      <c r="L228" s="6"/>
      <c r="M228" s="481">
        <f t="shared" si="46"/>
        <v>4.3095710688146561E-3</v>
      </c>
      <c r="N228" s="29"/>
      <c r="O228" s="29"/>
      <c r="P228" s="29"/>
      <c r="Q228" s="375">
        <f t="shared" si="47"/>
        <v>3361</v>
      </c>
      <c r="R228" s="6"/>
      <c r="S228" s="7">
        <f>33371+16245+4567</f>
        <v>54183</v>
      </c>
      <c r="T228" s="6"/>
      <c r="U228" s="286">
        <f t="shared" si="48"/>
        <v>6.917688154402217E-2</v>
      </c>
      <c r="W228">
        <f t="shared" si="20"/>
        <v>218</v>
      </c>
      <c r="Y228" s="56"/>
    </row>
    <row r="229" spans="3:25" x14ac:dyDescent="0.3">
      <c r="C229" s="170">
        <f t="shared" si="15"/>
        <v>44128</v>
      </c>
      <c r="E229" s="284">
        <v>493832</v>
      </c>
      <c r="F229" s="7"/>
      <c r="G229" s="7">
        <v>227339</v>
      </c>
      <c r="H229" s="7"/>
      <c r="I229" s="7">
        <v>66052</v>
      </c>
      <c r="J229" s="287"/>
      <c r="K229" s="7">
        <f t="shared" si="45"/>
        <v>787223</v>
      </c>
      <c r="L229" s="6"/>
      <c r="M229" s="481">
        <f t="shared" si="46"/>
        <v>5.0686049079926923E-3</v>
      </c>
      <c r="N229" s="29"/>
      <c r="O229" s="29"/>
      <c r="P229" s="29"/>
      <c r="Q229" s="375">
        <f t="shared" si="47"/>
        <v>3970</v>
      </c>
      <c r="R229" s="6"/>
      <c r="S229" s="7">
        <f>33418+16281+4577</f>
        <v>54276</v>
      </c>
      <c r="T229" s="6"/>
      <c r="U229" s="286">
        <f t="shared" si="48"/>
        <v>6.8946156298787004E-2</v>
      </c>
      <c r="W229">
        <f t="shared" si="20"/>
        <v>219</v>
      </c>
      <c r="Y229" s="56"/>
    </row>
    <row r="230" spans="3:25" x14ac:dyDescent="0.3">
      <c r="C230" s="170">
        <f t="shared" si="15"/>
        <v>44129</v>
      </c>
      <c r="E230" s="284">
        <v>495464</v>
      </c>
      <c r="F230" s="7"/>
      <c r="G230" s="7">
        <v>228468</v>
      </c>
      <c r="H230" s="7"/>
      <c r="I230" s="7">
        <v>66052</v>
      </c>
      <c r="J230" s="287"/>
      <c r="K230" s="7">
        <f t="shared" si="45"/>
        <v>789984</v>
      </c>
      <c r="L230" s="6"/>
      <c r="M230" s="481">
        <f t="shared" si="46"/>
        <v>3.5072654127229516E-3</v>
      </c>
      <c r="N230" s="29"/>
      <c r="O230" s="29"/>
      <c r="P230" s="29"/>
      <c r="Q230" s="375">
        <f t="shared" si="47"/>
        <v>2761</v>
      </c>
      <c r="R230" s="6"/>
      <c r="S230" s="7">
        <f>33422+16285+4577</f>
        <v>54284</v>
      </c>
      <c r="T230" s="6"/>
      <c r="U230" s="286">
        <f t="shared" si="48"/>
        <v>6.8715315753230449E-2</v>
      </c>
      <c r="W230">
        <f t="shared" si="20"/>
        <v>220</v>
      </c>
      <c r="Y230" s="56"/>
    </row>
    <row r="231" spans="3:25" x14ac:dyDescent="0.3">
      <c r="C231" s="170">
        <f t="shared" si="15"/>
        <v>44130</v>
      </c>
      <c r="E231" s="284">
        <v>496655</v>
      </c>
      <c r="F231" s="7"/>
      <c r="G231" s="7">
        <v>229684</v>
      </c>
      <c r="H231" s="7"/>
      <c r="I231" s="7">
        <v>68099</v>
      </c>
      <c r="J231" s="287"/>
      <c r="K231" s="7">
        <f t="shared" ref="K231" si="49">SUM(E231:I231)</f>
        <v>794438</v>
      </c>
      <c r="L231" s="6"/>
      <c r="M231" s="481">
        <f t="shared" ref="M231" si="50">+(K231-K230)/K230</f>
        <v>5.6380888726860288E-3</v>
      </c>
      <c r="N231" s="29"/>
      <c r="O231" s="29"/>
      <c r="P231" s="29"/>
      <c r="Q231" s="375">
        <f t="shared" ref="Q231" si="51">+K231-K230</f>
        <v>4454</v>
      </c>
      <c r="R231" s="6"/>
      <c r="S231" s="7">
        <f>33424+16292+4589</f>
        <v>54305</v>
      </c>
      <c r="T231" s="6"/>
      <c r="U231" s="286">
        <f t="shared" ref="U231" si="52">+S231/K231</f>
        <v>6.8356498556212064E-2</v>
      </c>
      <c r="W231">
        <f t="shared" si="20"/>
        <v>221</v>
      </c>
      <c r="Y231" s="56"/>
    </row>
    <row r="232" spans="3:25" x14ac:dyDescent="0.3">
      <c r="C232" s="170">
        <f t="shared" si="15"/>
        <v>44131</v>
      </c>
      <c r="E232" s="284">
        <v>498646</v>
      </c>
      <c r="F232" s="7"/>
      <c r="G232" s="7">
        <v>231331</v>
      </c>
      <c r="H232" s="7"/>
      <c r="I232" s="7">
        <v>68637</v>
      </c>
      <c r="J232" s="287"/>
      <c r="K232" s="7">
        <f t="shared" ref="K232" si="53">SUM(E232:I232)</f>
        <v>798614</v>
      </c>
      <c r="L232" s="6"/>
      <c r="M232" s="481">
        <f t="shared" ref="M232" si="54">+(K232-K231)/K231</f>
        <v>5.2565461370176151E-3</v>
      </c>
      <c r="N232" s="29"/>
      <c r="O232" s="29"/>
      <c r="P232" s="29"/>
      <c r="Q232" s="375">
        <f t="shared" ref="Q232" si="55">+K232-K231</f>
        <v>4176</v>
      </c>
      <c r="R232" s="6"/>
      <c r="S232" s="7">
        <f>33433+16306+4595</f>
        <v>54334</v>
      </c>
      <c r="T232" s="6"/>
      <c r="U232" s="286">
        <f t="shared" ref="U232" si="56">+S232/K232</f>
        <v>6.8035371280743884E-2</v>
      </c>
      <c r="W232">
        <f t="shared" si="20"/>
        <v>222</v>
      </c>
      <c r="Y232" s="56"/>
    </row>
    <row r="233" spans="3:25" x14ac:dyDescent="0.3">
      <c r="C233" s="170">
        <f t="shared" si="15"/>
        <v>44132</v>
      </c>
      <c r="E233" s="284">
        <v>500677</v>
      </c>
      <c r="F233" s="7"/>
      <c r="G233" s="7">
        <v>232997</v>
      </c>
      <c r="H233" s="7"/>
      <c r="I233" s="7">
        <v>69127</v>
      </c>
      <c r="J233" s="287"/>
      <c r="K233" s="7">
        <f t="shared" ref="K233" si="57">SUM(E233:I233)</f>
        <v>802801</v>
      </c>
      <c r="L233" s="6"/>
      <c r="M233" s="481">
        <f t="shared" ref="M233" si="58">+(K233-K232)/K232</f>
        <v>5.2428332085337846E-3</v>
      </c>
      <c r="N233" s="29"/>
      <c r="O233" s="29"/>
      <c r="P233" s="29"/>
      <c r="Q233" s="375">
        <f t="shared" ref="Q233" si="59">+K233-K232</f>
        <v>4187</v>
      </c>
      <c r="R233" s="6"/>
      <c r="S233" s="7">
        <f>33433+16306+4595</f>
        <v>54334</v>
      </c>
      <c r="T233" s="6"/>
      <c r="U233" s="286">
        <f t="shared" ref="U233" si="60">+S233/K233</f>
        <v>6.768053353197119E-2</v>
      </c>
      <c r="W233">
        <f t="shared" si="20"/>
        <v>223</v>
      </c>
      <c r="Y233" s="56"/>
    </row>
    <row r="234" spans="3:25" x14ac:dyDescent="0.3">
      <c r="C234" s="170">
        <f t="shared" si="15"/>
        <v>44133</v>
      </c>
      <c r="E234" s="284">
        <v>503176</v>
      </c>
      <c r="F234" s="7"/>
      <c r="G234" s="7">
        <v>234547</v>
      </c>
      <c r="H234" s="7"/>
      <c r="I234" s="7">
        <v>70446</v>
      </c>
      <c r="J234" s="287"/>
      <c r="K234" s="7">
        <f t="shared" ref="K234" si="61">SUM(E234:I234)</f>
        <v>808169</v>
      </c>
      <c r="L234" s="6"/>
      <c r="M234" s="481">
        <f t="shared" ref="M234" si="62">+(K234-K233)/K233</f>
        <v>6.686588581728224E-3</v>
      </c>
      <c r="N234" s="29"/>
      <c r="O234" s="29"/>
      <c r="P234" s="29"/>
      <c r="Q234" s="375">
        <f t="shared" ref="Q234" si="63">+K234-K233</f>
        <v>5368</v>
      </c>
      <c r="R234" s="6"/>
      <c r="S234" s="7">
        <f>33433+16306+4595</f>
        <v>54334</v>
      </c>
      <c r="T234" s="6"/>
      <c r="U234" s="286">
        <f t="shared" ref="U234" si="64">+S234/K234</f>
        <v>6.723098757809319E-2</v>
      </c>
      <c r="W234">
        <f t="shared" si="20"/>
        <v>224</v>
      </c>
      <c r="Y234" s="56"/>
    </row>
    <row r="235" spans="3:25" x14ac:dyDescent="0.3">
      <c r="C235" s="170">
        <f t="shared" si="15"/>
        <v>44134</v>
      </c>
      <c r="E235" s="284">
        <v>505431</v>
      </c>
      <c r="F235" s="7"/>
      <c r="G235" s="7">
        <v>236523</v>
      </c>
      <c r="H235" s="7"/>
      <c r="I235" s="7">
        <v>71207</v>
      </c>
      <c r="J235" s="287"/>
      <c r="K235" s="7">
        <f t="shared" ref="K235" si="65">SUM(E235:I235)</f>
        <v>813161</v>
      </c>
      <c r="L235" s="6"/>
      <c r="M235" s="481">
        <f t="shared" ref="M235" si="66">+(K235-K234)/K234</f>
        <v>6.1769258657533264E-3</v>
      </c>
      <c r="N235" s="29"/>
      <c r="O235" s="29"/>
      <c r="P235" s="29"/>
      <c r="Q235" s="375">
        <f t="shared" ref="Q235" si="67">+K235-K234</f>
        <v>4992</v>
      </c>
      <c r="R235" s="6"/>
      <c r="S235" s="7">
        <f>33506+16339+4616</f>
        <v>54461</v>
      </c>
      <c r="T235" s="6"/>
      <c r="U235" s="286">
        <f t="shared" ref="U235" si="68">+S235/K235</f>
        <v>6.697443679664912E-2</v>
      </c>
      <c r="W235">
        <f t="shared" si="20"/>
        <v>225</v>
      </c>
      <c r="Y235" s="56"/>
    </row>
    <row r="236" spans="3:25" x14ac:dyDescent="0.3">
      <c r="C236" s="170">
        <f t="shared" si="15"/>
        <v>44135</v>
      </c>
      <c r="E236" s="284">
        <v>507543</v>
      </c>
      <c r="F236" s="7"/>
      <c r="G236" s="7">
        <v>237886</v>
      </c>
      <c r="H236" s="7"/>
      <c r="I236" s="7">
        <v>71207</v>
      </c>
      <c r="J236" s="287"/>
      <c r="K236" s="7">
        <f t="shared" ref="K236" si="69">SUM(E236:I236)</f>
        <v>816636</v>
      </c>
      <c r="L236" s="6"/>
      <c r="M236" s="481">
        <f t="shared" ref="M236" si="70">+(K236-K235)/K235</f>
        <v>4.2734464638614E-3</v>
      </c>
      <c r="N236" s="29"/>
      <c r="O236" s="29"/>
      <c r="P236" s="29"/>
      <c r="Q236" s="375">
        <f t="shared" ref="Q236" si="71">+K236-K235</f>
        <v>3475</v>
      </c>
      <c r="R236" s="6"/>
      <c r="S236" s="7">
        <f>33511+16350+4616</f>
        <v>54477</v>
      </c>
      <c r="T236" s="6"/>
      <c r="U236" s="286">
        <f t="shared" ref="U236" si="72">+S236/K236</f>
        <v>6.6709035604602299E-2</v>
      </c>
      <c r="W236">
        <f t="shared" si="20"/>
        <v>226</v>
      </c>
      <c r="Y236" s="56"/>
    </row>
    <row r="237" spans="3:25" x14ac:dyDescent="0.3">
      <c r="C237" s="170">
        <f t="shared" si="15"/>
        <v>44136</v>
      </c>
      <c r="E237" s="284">
        <v>509735</v>
      </c>
      <c r="F237" s="7"/>
      <c r="G237" s="7">
        <v>239629</v>
      </c>
      <c r="H237" s="7"/>
      <c r="I237" s="7">
        <v>71207</v>
      </c>
      <c r="J237" s="287"/>
      <c r="K237" s="7">
        <f t="shared" ref="K237" si="73">SUM(E237:I237)</f>
        <v>820571</v>
      </c>
      <c r="L237" s="6"/>
      <c r="M237" s="481">
        <f t="shared" ref="M237" si="74">+(K237-K236)/K236</f>
        <v>4.8185482883438885E-3</v>
      </c>
      <c r="N237" s="29"/>
      <c r="O237" s="29"/>
      <c r="P237" s="29"/>
      <c r="Q237" s="375">
        <f t="shared" ref="Q237" si="75">+K237-K236</f>
        <v>3935</v>
      </c>
      <c r="R237" s="6"/>
      <c r="S237" s="7">
        <f>33535+16354+4616</f>
        <v>54505</v>
      </c>
      <c r="T237" s="6"/>
      <c r="U237" s="286">
        <f t="shared" ref="U237" si="76">+S237/K237</f>
        <v>6.6423258925796799E-2</v>
      </c>
      <c r="W237">
        <f t="shared" si="20"/>
        <v>227</v>
      </c>
      <c r="Y237" s="56"/>
    </row>
    <row r="238" spans="3:25" x14ac:dyDescent="0.3">
      <c r="C238" s="170">
        <f t="shared" si="15"/>
        <v>44137</v>
      </c>
      <c r="E238" s="284"/>
      <c r="F238" s="7"/>
      <c r="G238" s="7"/>
      <c r="H238" s="7"/>
      <c r="I238" s="7"/>
      <c r="J238" s="287"/>
      <c r="K238" s="7"/>
      <c r="L238" s="6"/>
      <c r="M238" s="481"/>
      <c r="N238" s="29"/>
      <c r="O238" s="29"/>
      <c r="P238" s="29"/>
      <c r="Q238" s="375"/>
      <c r="R238" s="6"/>
      <c r="S238" s="7"/>
      <c r="T238" s="6"/>
      <c r="U238" s="286"/>
      <c r="W238">
        <f t="shared" si="20"/>
        <v>228</v>
      </c>
      <c r="Y238" s="56"/>
    </row>
    <row r="239" spans="3:25" x14ac:dyDescent="0.3">
      <c r="C239" s="170">
        <f t="shared" si="15"/>
        <v>44138</v>
      </c>
      <c r="E239" s="284"/>
      <c r="F239" s="7"/>
      <c r="G239" s="7"/>
      <c r="H239" s="7"/>
      <c r="I239" s="7"/>
      <c r="J239" s="287"/>
      <c r="K239" s="7"/>
      <c r="L239" s="6"/>
      <c r="M239" s="481"/>
      <c r="N239" s="29"/>
      <c r="O239" s="29"/>
      <c r="P239" s="29"/>
      <c r="Q239" s="375"/>
      <c r="R239" s="6"/>
      <c r="S239" s="7"/>
      <c r="T239" s="6"/>
      <c r="U239" s="286"/>
      <c r="W239">
        <f t="shared" si="20"/>
        <v>229</v>
      </c>
      <c r="Y239" s="56"/>
    </row>
    <row r="240" spans="3:25" x14ac:dyDescent="0.3">
      <c r="C240" s="170">
        <f t="shared" si="15"/>
        <v>44139</v>
      </c>
      <c r="E240" s="284"/>
      <c r="F240" s="7"/>
      <c r="G240" s="7"/>
      <c r="H240" s="7"/>
      <c r="I240" s="7"/>
      <c r="J240" s="287"/>
      <c r="K240" s="7"/>
      <c r="L240" s="6"/>
      <c r="M240" s="481"/>
      <c r="N240" s="29"/>
      <c r="O240" s="29"/>
      <c r="P240" s="29"/>
      <c r="Q240" s="375"/>
      <c r="R240" s="6"/>
      <c r="S240" s="7"/>
      <c r="T240" s="6"/>
      <c r="U240" s="286"/>
      <c r="W240">
        <f t="shared" si="20"/>
        <v>230</v>
      </c>
      <c r="Y240" s="56"/>
    </row>
    <row r="241" spans="3:41" x14ac:dyDescent="0.3">
      <c r="C241" s="170">
        <f t="shared" si="15"/>
        <v>44140</v>
      </c>
      <c r="E241" s="284"/>
      <c r="F241" s="7"/>
      <c r="G241" s="7"/>
      <c r="H241" s="7"/>
      <c r="I241" s="7"/>
      <c r="J241" s="287"/>
      <c r="K241" s="7"/>
      <c r="L241" s="6"/>
      <c r="M241" s="481"/>
      <c r="N241" s="29"/>
      <c r="O241" s="29"/>
      <c r="P241" s="29"/>
      <c r="Q241" s="375"/>
      <c r="R241" s="6"/>
      <c r="S241" s="7"/>
      <c r="T241" s="6"/>
      <c r="U241" s="286"/>
      <c r="W241">
        <f t="shared" si="20"/>
        <v>231</v>
      </c>
      <c r="Y241" s="56"/>
    </row>
    <row r="242" spans="3:41" x14ac:dyDescent="0.3">
      <c r="C242" s="170">
        <f t="shared" si="15"/>
        <v>44141</v>
      </c>
      <c r="E242" s="284"/>
      <c r="F242" s="7"/>
      <c r="G242" s="7"/>
      <c r="H242" s="7"/>
      <c r="I242" s="7"/>
      <c r="J242" s="287"/>
      <c r="K242" s="7"/>
      <c r="L242" s="6"/>
      <c r="M242" s="481"/>
      <c r="N242" s="29"/>
      <c r="O242" s="29"/>
      <c r="P242" s="29"/>
      <c r="Q242" s="375"/>
      <c r="R242" s="6"/>
      <c r="S242" s="7"/>
      <c r="T242" s="6"/>
      <c r="U242" s="286"/>
      <c r="W242">
        <f t="shared" si="20"/>
        <v>232</v>
      </c>
      <c r="Y242" s="56"/>
    </row>
    <row r="243" spans="3:41" x14ac:dyDescent="0.3">
      <c r="C243" s="170">
        <f t="shared" si="15"/>
        <v>44142</v>
      </c>
      <c r="E243" s="284"/>
      <c r="F243" s="7"/>
      <c r="G243" s="7"/>
      <c r="H243" s="7"/>
      <c r="I243" s="7"/>
      <c r="J243" s="287"/>
      <c r="K243" s="7"/>
      <c r="L243" s="6"/>
      <c r="M243" s="481"/>
      <c r="N243" s="29"/>
      <c r="O243" s="29"/>
      <c r="P243" s="29"/>
      <c r="Q243" s="375"/>
      <c r="R243" s="6"/>
      <c r="S243" s="7"/>
      <c r="T243" s="6"/>
      <c r="U243" s="286"/>
      <c r="W243">
        <f t="shared" si="20"/>
        <v>233</v>
      </c>
      <c r="Y243" s="56"/>
    </row>
    <row r="244" spans="3:41" x14ac:dyDescent="0.3">
      <c r="C244" s="170">
        <f t="shared" si="15"/>
        <v>44143</v>
      </c>
      <c r="E244" s="284"/>
      <c r="F244" s="7"/>
      <c r="G244" s="7"/>
      <c r="H244" s="7"/>
      <c r="I244" s="7"/>
      <c r="J244" s="287"/>
      <c r="K244" s="7"/>
      <c r="L244" s="6"/>
      <c r="M244" s="474"/>
      <c r="N244" s="29"/>
      <c r="O244" s="29"/>
      <c r="P244" s="29"/>
      <c r="Q244" s="375"/>
      <c r="R244" s="6"/>
      <c r="S244" s="7"/>
      <c r="T244" s="6"/>
      <c r="U244" s="286"/>
      <c r="W244">
        <f t="shared" si="20"/>
        <v>234</v>
      </c>
      <c r="Y244" s="56"/>
    </row>
    <row r="245" spans="3:41" ht="15" thickBot="1" x14ac:dyDescent="0.35">
      <c r="C245" s="170">
        <f t="shared" si="15"/>
        <v>44144</v>
      </c>
      <c r="E245" s="288"/>
      <c r="F245" s="289"/>
      <c r="G245" s="289"/>
      <c r="H245" s="289"/>
      <c r="I245" s="289"/>
      <c r="J245" s="289"/>
      <c r="K245" s="289"/>
      <c r="L245" s="290"/>
      <c r="M245" s="291"/>
      <c r="N245" s="291"/>
      <c r="O245" s="291"/>
      <c r="P245" s="291"/>
      <c r="Q245" s="374"/>
      <c r="R245" s="290"/>
      <c r="S245" s="290"/>
      <c r="T245" s="290"/>
      <c r="U245" s="292"/>
      <c r="W245">
        <f t="shared" si="20"/>
        <v>235</v>
      </c>
      <c r="Y245" s="59"/>
    </row>
    <row r="246" spans="3:41" x14ac:dyDescent="0.3">
      <c r="E246" s="56"/>
      <c r="F246" s="1"/>
      <c r="G246" s="56"/>
      <c r="H246" s="56"/>
      <c r="I246" s="56"/>
      <c r="J246" s="1"/>
      <c r="K246" s="56"/>
      <c r="S246" s="56"/>
    </row>
    <row r="247" spans="3:41" x14ac:dyDescent="0.3">
      <c r="C247" s="179" t="s">
        <v>81</v>
      </c>
      <c r="E247" s="56">
        <f>+E237</f>
        <v>509735</v>
      </c>
      <c r="F247" s="56"/>
      <c r="G247" s="56">
        <f t="shared" ref="G247:U247" si="77">+G237</f>
        <v>239629</v>
      </c>
      <c r="H247" s="56">
        <f t="shared" si="77"/>
        <v>0</v>
      </c>
      <c r="I247" s="56">
        <f t="shared" si="77"/>
        <v>71207</v>
      </c>
      <c r="J247" s="56">
        <f t="shared" si="77"/>
        <v>0</v>
      </c>
      <c r="K247" s="56">
        <f t="shared" si="77"/>
        <v>820571</v>
      </c>
      <c r="L247" s="56">
        <f t="shared" si="77"/>
        <v>0</v>
      </c>
      <c r="M247" s="56">
        <f t="shared" si="77"/>
        <v>4.8185482883438885E-3</v>
      </c>
      <c r="N247" s="56">
        <f t="shared" si="77"/>
        <v>0</v>
      </c>
      <c r="O247" s="56">
        <f t="shared" si="77"/>
        <v>0</v>
      </c>
      <c r="P247" s="56">
        <f t="shared" si="77"/>
        <v>0</v>
      </c>
      <c r="Q247" s="56">
        <f t="shared" si="77"/>
        <v>3935</v>
      </c>
      <c r="R247" s="56">
        <f t="shared" si="77"/>
        <v>0</v>
      </c>
      <c r="S247" s="56">
        <f t="shared" si="77"/>
        <v>54505</v>
      </c>
      <c r="T247" s="56">
        <f t="shared" si="77"/>
        <v>0</v>
      </c>
      <c r="U247" s="56">
        <f t="shared" si="77"/>
        <v>6.6423258925796799E-2</v>
      </c>
      <c r="V247" s="56">
        <f>+V199</f>
        <v>0</v>
      </c>
    </row>
    <row r="248" spans="3:41" x14ac:dyDescent="0.3">
      <c r="E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</row>
    <row r="249" spans="3:41" x14ac:dyDescent="0.3">
      <c r="E249" s="59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</row>
    <row r="250" spans="3:41" x14ac:dyDescent="0.3">
      <c r="C250" s="123"/>
      <c r="D250" s="124"/>
      <c r="E250" s="392"/>
      <c r="F250" s="10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</row>
    <row r="251" spans="3:41" x14ac:dyDescent="0.3">
      <c r="E251" s="56"/>
      <c r="K251" s="56"/>
      <c r="Q251" s="56"/>
    </row>
    <row r="252" spans="3:41" x14ac:dyDescent="0.3">
      <c r="Q252" s="56"/>
      <c r="S252" s="59"/>
    </row>
    <row r="255" spans="3:41" x14ac:dyDescent="0.3">
      <c r="AO255" s="1">
        <v>3797000</v>
      </c>
    </row>
    <row r="256" spans="3:41" x14ac:dyDescent="0.3">
      <c r="C256" s="1"/>
    </row>
    <row r="257" spans="3:41" x14ac:dyDescent="0.3">
      <c r="C257" s="1"/>
      <c r="AO257" s="1">
        <v>30000</v>
      </c>
    </row>
    <row r="258" spans="3:41" x14ac:dyDescent="0.3">
      <c r="C258" s="59"/>
    </row>
    <row r="259" spans="3:41" x14ac:dyDescent="0.3">
      <c r="AO259" s="277">
        <f>+AO257/AO255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233"/>
  <sheetViews>
    <sheetView topLeftCell="A73" workbookViewId="0">
      <selection activeCell="AH175" sqref="AH175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57" t="s">
        <v>114</v>
      </c>
      <c r="U3" s="658"/>
      <c r="V3" s="658"/>
      <c r="W3" s="658"/>
      <c r="X3" s="658"/>
      <c r="Y3" s="658"/>
      <c r="Z3" s="658"/>
      <c r="AA3" s="658"/>
      <c r="AB3" s="658"/>
      <c r="AC3" s="658"/>
      <c r="AD3" s="659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8.6426294497088024E-2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60" t="s">
        <v>104</v>
      </c>
      <c r="F15" s="660"/>
      <c r="G15" s="660"/>
      <c r="H15" s="660"/>
      <c r="I15" s="660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66" t="s">
        <v>46</v>
      </c>
      <c r="E18" s="667"/>
      <c r="F18" s="667"/>
      <c r="G18" s="667"/>
      <c r="H18" s="667"/>
      <c r="I18" s="667"/>
      <c r="J18" s="667"/>
      <c r="K18" s="667"/>
      <c r="L18" s="667"/>
      <c r="M18" s="667"/>
      <c r="N18" s="667"/>
      <c r="O18" s="668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669" t="s">
        <v>75</v>
      </c>
      <c r="F19" s="669"/>
      <c r="G19" s="669"/>
      <c r="H19" s="669"/>
      <c r="I19" s="146" t="s">
        <v>74</v>
      </c>
      <c r="J19" s="147"/>
      <c r="K19" s="674" t="s">
        <v>72</v>
      </c>
      <c r="L19" s="674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Table'!H226</f>
        <v>8643368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Table'!AA246</f>
        <v>236379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17205</v>
      </c>
      <c r="J22" s="128"/>
      <c r="K22" s="139"/>
      <c r="L22" s="281">
        <v>17208</v>
      </c>
      <c r="M22" s="139"/>
      <c r="N22" s="159">
        <f>+(I22-L22)/I22</f>
        <v>-1.7436791630340019E-4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8389784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Table'!AP246</f>
        <v>6103605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670" t="s">
        <v>49</v>
      </c>
      <c r="E25" s="671"/>
      <c r="F25" s="671"/>
      <c r="G25" s="671"/>
      <c r="H25" s="671"/>
      <c r="I25" s="131">
        <f>+I23-I24</f>
        <v>2286179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6103605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670" t="s">
        <v>46</v>
      </c>
      <c r="E27" s="671"/>
      <c r="F27" s="671"/>
      <c r="G27" s="671"/>
      <c r="H27" s="671"/>
      <c r="I27" s="148">
        <f>+I25+I26</f>
        <v>8389784</v>
      </c>
      <c r="J27" s="128"/>
      <c r="K27" s="675">
        <v>8315879</v>
      </c>
      <c r="L27" s="675"/>
      <c r="M27" s="139"/>
      <c r="N27" s="149">
        <f>+I27-K27</f>
        <v>73905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672" t="s">
        <v>69</v>
      </c>
      <c r="F28" s="672"/>
      <c r="G28" s="672"/>
      <c r="H28" s="136"/>
      <c r="I28" s="274">
        <f>+I27/I32</f>
        <v>0.88853944184094857</v>
      </c>
      <c r="J28" s="139"/>
      <c r="K28" s="139"/>
      <c r="L28" s="139"/>
      <c r="M28" s="110"/>
      <c r="N28" s="506">
        <f>+N27/K27</f>
        <v>8.8872144484064761E-3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81" t="s">
        <v>114</v>
      </c>
      <c r="F31" s="682"/>
      <c r="G31" s="682"/>
      <c r="H31" s="682"/>
      <c r="I31" s="682"/>
      <c r="J31" s="683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76">
        <f>+'Main Table'!H246</f>
        <v>9442219</v>
      </c>
      <c r="J32" s="676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77">
        <f>+I27</f>
        <v>8389784</v>
      </c>
      <c r="J34" s="678"/>
      <c r="K34" s="22"/>
      <c r="L34" s="25">
        <f>+I34/$I$32</f>
        <v>0.88853944184094857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84">
        <f>+I21</f>
        <v>236379</v>
      </c>
      <c r="J35" s="685"/>
      <c r="K35" s="22"/>
      <c r="L35" s="25">
        <f>+I35/$I$32</f>
        <v>2.5034263661963357E-2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673" t="s">
        <v>114</v>
      </c>
      <c r="F36" s="673"/>
      <c r="G36" s="673"/>
      <c r="H36" s="275"/>
      <c r="I36" s="679">
        <f>+I32-I34-I35</f>
        <v>816056</v>
      </c>
      <c r="J36" s="680"/>
      <c r="K36" s="302"/>
      <c r="L36" s="276">
        <f>+I36/$I$32</f>
        <v>8.6426294497088024E-2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61" t="s">
        <v>127</v>
      </c>
      <c r="E41" s="662"/>
      <c r="F41" s="662"/>
      <c r="G41" s="662"/>
      <c r="H41" s="662"/>
      <c r="I41" s="662"/>
      <c r="J41" s="662"/>
      <c r="K41" s="662"/>
      <c r="L41" s="662"/>
      <c r="M41" s="662"/>
      <c r="N41" s="662"/>
      <c r="O41" s="663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64" t="s">
        <v>75</v>
      </c>
      <c r="F42" s="664"/>
      <c r="G42" s="664"/>
      <c r="H42" s="664"/>
      <c r="I42" s="303" t="s">
        <v>74</v>
      </c>
      <c r="J42" s="304"/>
      <c r="K42" s="665" t="s">
        <v>37</v>
      </c>
      <c r="L42" s="665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Table'!AP264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87" t="s">
        <v>49</v>
      </c>
      <c r="E48" s="688"/>
      <c r="F48" s="688"/>
      <c r="G48" s="688"/>
      <c r="H48" s="688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87" t="s">
        <v>46</v>
      </c>
      <c r="E50" s="688"/>
      <c r="F50" s="688"/>
      <c r="G50" s="688"/>
      <c r="H50" s="688"/>
      <c r="I50" s="383">
        <f>+I48+I49</f>
        <v>22172</v>
      </c>
      <c r="J50" s="379"/>
      <c r="K50" s="689">
        <v>30167</v>
      </c>
      <c r="L50" s="689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90" t="s">
        <v>69</v>
      </c>
      <c r="F51" s="690"/>
      <c r="G51" s="690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197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53" t="s">
        <v>128</v>
      </c>
      <c r="F54" s="654"/>
      <c r="G54" s="654"/>
      <c r="H54" s="654"/>
      <c r="I54" s="654"/>
      <c r="J54" s="655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91">
        <f>+K50</f>
        <v>30167</v>
      </c>
      <c r="J55" s="691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92">
        <f>+I50</f>
        <v>22172</v>
      </c>
      <c r="J57" s="693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94">
        <f>+I44</f>
        <v>1836</v>
      </c>
      <c r="J58" s="695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96" t="s">
        <v>114</v>
      </c>
      <c r="F59" s="696"/>
      <c r="G59" s="696"/>
      <c r="H59" s="310"/>
      <c r="I59" s="656">
        <f>+I55-I57-I58</f>
        <v>6159</v>
      </c>
      <c r="J59" s="697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98">
        <f>+I45</f>
        <v>1397</v>
      </c>
      <c r="J60" s="698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56">
        <f>+I59-I60</f>
        <v>4762</v>
      </c>
      <c r="J61" s="656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53" t="s">
        <v>117</v>
      </c>
      <c r="F64" s="654"/>
      <c r="G64" s="654"/>
      <c r="H64" s="654"/>
      <c r="I64" s="654"/>
      <c r="J64" s="654"/>
      <c r="K64" s="654"/>
      <c r="L64" s="654"/>
      <c r="M64" s="655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86">
        <v>11690000</v>
      </c>
      <c r="J65" s="686"/>
      <c r="K65" s="686"/>
      <c r="L65" s="686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52" t="s">
        <v>108</v>
      </c>
      <c r="G67" s="652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715" t="s">
        <v>131</v>
      </c>
      <c r="E72" s="716"/>
      <c r="F72" s="716"/>
      <c r="G72" s="716"/>
      <c r="H72" s="716"/>
      <c r="I72" s="716"/>
      <c r="J72" s="716"/>
      <c r="K72" s="716"/>
      <c r="L72" s="716"/>
      <c r="M72" s="716"/>
      <c r="N72" s="716"/>
      <c r="O72" s="717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718" t="s">
        <v>75</v>
      </c>
      <c r="F73" s="718"/>
      <c r="G73" s="718"/>
      <c r="H73" s="718"/>
      <c r="I73" s="398" t="s">
        <v>74</v>
      </c>
      <c r="J73" s="399"/>
      <c r="K73" s="719" t="s">
        <v>37</v>
      </c>
      <c r="L73" s="719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Table'!AP305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720" t="s">
        <v>49</v>
      </c>
      <c r="E79" s="721"/>
      <c r="F79" s="721"/>
      <c r="G79" s="721"/>
      <c r="H79" s="721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720" t="s">
        <v>46</v>
      </c>
      <c r="E81" s="721"/>
      <c r="F81" s="721"/>
      <c r="G81" s="721"/>
      <c r="H81" s="721"/>
      <c r="I81" s="413">
        <f>+I79+I80</f>
        <v>36684</v>
      </c>
      <c r="J81" s="406"/>
      <c r="K81" s="723">
        <v>48675</v>
      </c>
      <c r="L81" s="723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722" t="s">
        <v>69</v>
      </c>
      <c r="F82" s="722"/>
      <c r="G82" s="722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1"/>
      <c r="K84" s="532"/>
      <c r="L84" s="532"/>
      <c r="M84" s="532"/>
      <c r="N84" s="532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1"/>
      <c r="K85" s="532"/>
      <c r="L85" s="532"/>
      <c r="M85" s="532"/>
      <c r="N85" s="532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1"/>
      <c r="K86" s="532"/>
      <c r="L86" s="532"/>
      <c r="M86" s="532"/>
      <c r="N86" s="532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hidden="1" outlineLevel="1" x14ac:dyDescent="0.3">
      <c r="C87" s="61"/>
      <c r="D87" s="90"/>
      <c r="E87" s="151"/>
      <c r="F87" s="151"/>
      <c r="G87" s="151"/>
      <c r="H87" s="151"/>
      <c r="I87" s="161"/>
      <c r="J87" s="531"/>
      <c r="K87" s="532"/>
      <c r="L87" s="532"/>
      <c r="M87" s="532"/>
      <c r="N87" s="532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hidden="1" outlineLevel="1" x14ac:dyDescent="0.3">
      <c r="C88" s="61"/>
      <c r="D88" s="90"/>
      <c r="E88" s="151"/>
      <c r="F88" s="151"/>
      <c r="G88" s="151"/>
      <c r="H88" s="151"/>
      <c r="I88" s="161"/>
      <c r="J88" s="531"/>
      <c r="K88" s="532"/>
      <c r="L88" s="532"/>
      <c r="M88" s="532"/>
      <c r="N88" s="532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hidden="1" outlineLevel="1" x14ac:dyDescent="0.3">
      <c r="C89" s="61"/>
      <c r="D89" s="90"/>
      <c r="E89" s="151"/>
      <c r="F89" s="151"/>
      <c r="G89" s="151"/>
      <c r="H89" s="151"/>
      <c r="I89" s="161"/>
      <c r="J89" s="531"/>
      <c r="K89" s="532"/>
      <c r="L89" s="532"/>
      <c r="M89" s="532"/>
      <c r="N89" s="532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hidden="1" outlineLevel="1" x14ac:dyDescent="0.3">
      <c r="C90" s="61"/>
      <c r="D90" s="90"/>
      <c r="E90" s="151"/>
      <c r="F90" s="151"/>
      <c r="G90" s="151"/>
      <c r="H90" s="151"/>
      <c r="I90" s="161"/>
      <c r="J90" s="531"/>
      <c r="K90" s="532"/>
      <c r="L90" s="532"/>
      <c r="M90" s="532"/>
      <c r="N90" s="532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hidden="1" outlineLevel="1" x14ac:dyDescent="0.3">
      <c r="C91" s="61"/>
      <c r="D91" s="90"/>
      <c r="E91" s="151"/>
      <c r="F91" s="151"/>
      <c r="G91" s="151"/>
      <c r="H91" s="151"/>
      <c r="I91" s="161"/>
      <c r="J91" s="531"/>
      <c r="K91" s="532"/>
      <c r="L91" s="532"/>
      <c r="M91" s="532"/>
      <c r="N91" s="532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hidden="1" outlineLevel="1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hidden="1" outlineLevel="1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hidden="1" outlineLevel="1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hidden="1" outlineLevel="1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hidden="1" outlineLevel="1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hidden="1" outlineLevel="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hidden="1" outlineLevel="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hidden="1" outlineLevel="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hidden="1" outlineLevel="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hidden="1" outlineLevel="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hidden="1" outlineLevel="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hidden="1" outlineLevel="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hidden="1" outlineLevel="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hidden="1" outlineLevel="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hidden="1" outlineLevel="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hidden="1" outlineLevel="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hidden="1" outlineLevel="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hidden="1" outlineLevel="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hidden="1" outlineLevel="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hidden="1" outlineLevel="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hidden="1" outlineLevel="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hidden="1" outlineLevel="1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hidden="1" outlineLevel="1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hidden="1" outlineLevel="1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hidden="1" outlineLevel="1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hidden="1" outlineLevel="1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hidden="1" outlineLevel="1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hidden="1" outlineLevel="1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hidden="1" outlineLevel="1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:AA137" si="7">+W119-W120</f>
        <v>10594</v>
      </c>
      <c r="AB120" s="6"/>
      <c r="AC120" s="301"/>
      <c r="AD120" s="294"/>
    </row>
    <row r="121" spans="15:30" hidden="1" outlineLevel="1" x14ac:dyDescent="0.3">
      <c r="O121" s="110"/>
      <c r="T121" s="293"/>
      <c r="U121" s="295">
        <f t="shared" si="3"/>
        <v>44066</v>
      </c>
      <c r="V121" s="6"/>
      <c r="W121" s="296">
        <v>469594</v>
      </c>
      <c r="X121" s="6"/>
      <c r="Y121" s="44">
        <f>+L$36</f>
        <v>8.6426294497088024E-2</v>
      </c>
      <c r="Z121" s="6"/>
      <c r="AA121" s="297">
        <f t="shared" si="7"/>
        <v>22668</v>
      </c>
      <c r="AB121" s="6"/>
      <c r="AC121" s="301"/>
      <c r="AD121" s="294"/>
    </row>
    <row r="122" spans="15:30" hidden="1" outlineLevel="1" x14ac:dyDescent="0.3">
      <c r="O122" s="110"/>
      <c r="T122" s="293"/>
      <c r="U122" s="295">
        <f t="shared" si="3"/>
        <v>44067</v>
      </c>
      <c r="V122" s="6"/>
      <c r="W122" s="296">
        <v>450302</v>
      </c>
      <c r="X122" s="6"/>
      <c r="Y122" s="44">
        <v>7.5999999999999998E-2</v>
      </c>
      <c r="Z122" s="6"/>
      <c r="AA122" s="297">
        <f t="shared" si="7"/>
        <v>19292</v>
      </c>
      <c r="AB122" s="6"/>
      <c r="AC122" s="301"/>
      <c r="AD122" s="294"/>
    </row>
    <row r="123" spans="15:30" hidden="1" outlineLevel="1" x14ac:dyDescent="0.3">
      <c r="O123" s="110"/>
      <c r="T123" s="293"/>
      <c r="U123" s="295">
        <f t="shared" si="3"/>
        <v>44068</v>
      </c>
      <c r="V123" s="6"/>
      <c r="W123" s="296">
        <v>436862</v>
      </c>
      <c r="X123" s="6"/>
      <c r="Y123" s="44">
        <v>7.2999999999999995E-2</v>
      </c>
      <c r="Z123" s="6"/>
      <c r="AA123" s="297">
        <f t="shared" si="7"/>
        <v>13440</v>
      </c>
      <c r="AB123" s="6"/>
      <c r="AC123" s="301"/>
      <c r="AD123" s="294"/>
    </row>
    <row r="124" spans="15:30" hidden="1" outlineLevel="1" x14ac:dyDescent="0.3">
      <c r="O124" s="110"/>
      <c r="T124" s="293"/>
      <c r="U124" s="295">
        <f t="shared" si="3"/>
        <v>44069</v>
      </c>
      <c r="V124" s="6"/>
      <c r="W124" s="296">
        <v>444656</v>
      </c>
      <c r="X124" s="6"/>
      <c r="Y124" s="44">
        <v>7.3999999999999996E-2</v>
      </c>
      <c r="Z124" s="6"/>
      <c r="AA124" s="297">
        <f t="shared" si="7"/>
        <v>-7794</v>
      </c>
      <c r="AB124" s="6"/>
      <c r="AC124" s="301"/>
      <c r="AD124" s="294"/>
    </row>
    <row r="125" spans="15:30" hidden="1" outlineLevel="1" x14ac:dyDescent="0.3">
      <c r="O125" s="110"/>
      <c r="T125" s="293"/>
      <c r="U125" s="295">
        <f t="shared" si="3"/>
        <v>44070</v>
      </c>
      <c r="V125" s="6"/>
      <c r="W125" s="296">
        <v>449813</v>
      </c>
      <c r="X125" s="6"/>
      <c r="Y125" s="44">
        <v>7.3999999999999996E-2</v>
      </c>
      <c r="Z125" s="6"/>
      <c r="AA125" s="297">
        <f t="shared" si="7"/>
        <v>-5157</v>
      </c>
      <c r="AB125" s="6"/>
      <c r="AC125" s="301"/>
      <c r="AD125" s="294"/>
    </row>
    <row r="126" spans="15:30" hidden="1" outlineLevel="1" x14ac:dyDescent="0.3">
      <c r="O126" s="110"/>
      <c r="T126" s="293"/>
      <c r="U126" s="295">
        <f t="shared" si="3"/>
        <v>44071</v>
      </c>
      <c r="V126" s="6"/>
      <c r="W126" s="296">
        <v>455415</v>
      </c>
      <c r="X126" s="6"/>
      <c r="Y126" s="44">
        <v>7.4999999999999997E-2</v>
      </c>
      <c r="Z126" s="6"/>
      <c r="AA126" s="297">
        <f t="shared" si="7"/>
        <v>-5602</v>
      </c>
      <c r="AB126" s="6"/>
      <c r="AC126" s="301"/>
      <c r="AD126" s="294"/>
    </row>
    <row r="127" spans="15:30" hidden="1" outlineLevel="1" x14ac:dyDescent="0.3">
      <c r="O127" s="110"/>
      <c r="T127" s="293"/>
      <c r="U127" s="295">
        <f t="shared" si="3"/>
        <v>44072</v>
      </c>
      <c r="V127" s="6"/>
      <c r="W127" s="296">
        <v>452896</v>
      </c>
      <c r="X127" s="6"/>
      <c r="Y127" s="44">
        <v>7.3999999999999996E-2</v>
      </c>
      <c r="Z127" s="6"/>
      <c r="AA127" s="297">
        <f t="shared" si="7"/>
        <v>2519</v>
      </c>
      <c r="AB127" s="6"/>
      <c r="AC127" s="301"/>
      <c r="AD127" s="294"/>
    </row>
    <row r="128" spans="15:30" hidden="1" outlineLevel="1" x14ac:dyDescent="0.3">
      <c r="O128" s="110"/>
      <c r="T128" s="293"/>
      <c r="U128" s="295">
        <f t="shared" si="3"/>
        <v>44073</v>
      </c>
      <c r="V128" s="6"/>
      <c r="W128" s="296">
        <v>441491</v>
      </c>
      <c r="X128" s="6"/>
      <c r="Y128" s="44">
        <v>7.1999999999999995E-2</v>
      </c>
      <c r="Z128" s="6"/>
      <c r="AA128" s="297">
        <f t="shared" si="7"/>
        <v>11405</v>
      </c>
      <c r="AB128" s="6"/>
      <c r="AC128" s="301"/>
      <c r="AD128" s="294"/>
    </row>
    <row r="129" spans="15:30" hidden="1" outlineLevel="1" x14ac:dyDescent="0.3">
      <c r="O129" s="110"/>
      <c r="T129" s="293"/>
      <c r="U129" s="295">
        <f t="shared" si="3"/>
        <v>44074</v>
      </c>
      <c r="V129" s="6"/>
      <c r="W129" s="296">
        <v>429438</v>
      </c>
      <c r="X129" s="6"/>
      <c r="Y129" s="44">
        <v>6.9000000000000006E-2</v>
      </c>
      <c r="Z129" s="6"/>
      <c r="AA129" s="297">
        <f t="shared" si="7"/>
        <v>12053</v>
      </c>
      <c r="AB129" s="6"/>
      <c r="AC129" s="301"/>
      <c r="AD129" s="294"/>
    </row>
    <row r="130" spans="15:30" hidden="1" outlineLevel="1" x14ac:dyDescent="0.3">
      <c r="O130" s="110"/>
      <c r="T130" s="293"/>
      <c r="U130" s="295">
        <f t="shared" si="3"/>
        <v>44075</v>
      </c>
      <c r="V130" s="6"/>
      <c r="W130" s="296">
        <v>427588</v>
      </c>
      <c r="X130" s="6"/>
      <c r="Y130" s="44">
        <v>6.8000000000000005E-2</v>
      </c>
      <c r="Z130" s="6"/>
      <c r="AA130" s="297">
        <f t="shared" si="7"/>
        <v>1850</v>
      </c>
      <c r="AB130" s="6"/>
      <c r="AC130" s="301"/>
      <c r="AD130" s="294"/>
    </row>
    <row r="131" spans="15:30" hidden="1" outlineLevel="1" x14ac:dyDescent="0.3">
      <c r="O131" s="110"/>
      <c r="T131" s="293"/>
      <c r="U131" s="295">
        <f t="shared" si="3"/>
        <v>44076</v>
      </c>
      <c r="V131" s="6"/>
      <c r="W131" s="296">
        <v>435318</v>
      </c>
      <c r="X131" s="6"/>
      <c r="Y131" s="44">
        <v>6.9000000000000006E-2</v>
      </c>
      <c r="Z131" s="6"/>
      <c r="AA131" s="297">
        <f t="shared" si="7"/>
        <v>-7730</v>
      </c>
      <c r="AB131" s="6"/>
      <c r="AC131" s="301"/>
      <c r="AD131" s="294"/>
    </row>
    <row r="132" spans="15:30" hidden="1" outlineLevel="1" x14ac:dyDescent="0.3">
      <c r="O132" s="110"/>
      <c r="T132" s="293"/>
      <c r="U132" s="295">
        <f t="shared" si="3"/>
        <v>44077</v>
      </c>
      <c r="V132" s="6"/>
      <c r="W132" s="296">
        <v>438282</v>
      </c>
      <c r="X132" s="6"/>
      <c r="Y132" s="44">
        <v>6.9000000000000006E-2</v>
      </c>
      <c r="Z132" s="6"/>
      <c r="AA132" s="297">
        <f t="shared" si="7"/>
        <v>-2964</v>
      </c>
      <c r="AB132" s="6"/>
      <c r="AC132" s="301"/>
      <c r="AD132" s="294"/>
    </row>
    <row r="133" spans="15:30" hidden="1" outlineLevel="1" x14ac:dyDescent="0.3">
      <c r="O133" s="110"/>
      <c r="T133" s="293"/>
      <c r="U133" s="295">
        <f t="shared" si="3"/>
        <v>44078</v>
      </c>
      <c r="V133" s="6"/>
      <c r="W133" s="296">
        <v>451057</v>
      </c>
      <c r="X133" s="6"/>
      <c r="Y133" s="44">
        <v>7.0999999999999994E-2</v>
      </c>
      <c r="Z133" s="6"/>
      <c r="AA133" s="297">
        <f t="shared" si="7"/>
        <v>-12775</v>
      </c>
      <c r="AB133" s="6"/>
      <c r="AC133" s="301"/>
      <c r="AD133" s="294"/>
    </row>
    <row r="134" spans="15:30" hidden="1" outlineLevel="1" x14ac:dyDescent="0.3">
      <c r="O134" s="110"/>
      <c r="T134" s="293"/>
      <c r="U134" s="295">
        <f t="shared" si="3"/>
        <v>44079</v>
      </c>
      <c r="V134" s="6"/>
      <c r="W134" s="296">
        <v>448392</v>
      </c>
      <c r="X134" s="6"/>
      <c r="Y134" s="44">
        <v>7.0000000000000007E-2</v>
      </c>
      <c r="Z134" s="6"/>
      <c r="AA134" s="297">
        <f t="shared" si="7"/>
        <v>2665</v>
      </c>
      <c r="AB134" s="6"/>
      <c r="AC134" s="301"/>
      <c r="AD134" s="294"/>
    </row>
    <row r="135" spans="15:30" hidden="1" outlineLevel="1" x14ac:dyDescent="0.3">
      <c r="O135" s="110"/>
      <c r="T135" s="293"/>
      <c r="U135" s="295">
        <f t="shared" si="3"/>
        <v>44080</v>
      </c>
      <c r="V135" s="6"/>
      <c r="W135" s="296">
        <v>433235</v>
      </c>
      <c r="X135" s="6"/>
      <c r="Y135" s="44">
        <v>6.7000000000000004E-2</v>
      </c>
      <c r="Z135" s="6"/>
      <c r="AA135" s="297">
        <f t="shared" si="7"/>
        <v>15157</v>
      </c>
      <c r="AB135" s="6"/>
      <c r="AC135" s="301"/>
      <c r="AD135" s="294"/>
    </row>
    <row r="136" spans="15:30" hidden="1" outlineLevel="1" x14ac:dyDescent="0.3">
      <c r="O136" s="110"/>
      <c r="T136" s="293"/>
      <c r="U136" s="295">
        <f t="shared" si="3"/>
        <v>44081</v>
      </c>
      <c r="V136" s="6"/>
      <c r="W136" s="296">
        <v>408867</v>
      </c>
      <c r="X136" s="6"/>
      <c r="Y136" s="44">
        <v>6.3E-2</v>
      </c>
      <c r="Z136" s="6"/>
      <c r="AA136" s="297">
        <f t="shared" si="7"/>
        <v>24368</v>
      </c>
      <c r="AB136" s="6"/>
      <c r="AC136" s="301"/>
      <c r="AD136" s="294"/>
    </row>
    <row r="137" spans="15:30" hidden="1" outlineLevel="1" x14ac:dyDescent="0.3">
      <c r="O137" s="110"/>
      <c r="T137" s="293"/>
      <c r="U137" s="295">
        <f t="shared" si="3"/>
        <v>44082</v>
      </c>
      <c r="V137" s="6"/>
      <c r="W137" s="296">
        <v>394768</v>
      </c>
      <c r="X137" s="6"/>
      <c r="Y137" s="44">
        <v>6.0999999999999999E-2</v>
      </c>
      <c r="Z137" s="6"/>
      <c r="AA137" s="297">
        <f t="shared" si="7"/>
        <v>14099</v>
      </c>
      <c r="AB137" s="6"/>
      <c r="AC137" s="301"/>
      <c r="AD137" s="294"/>
    </row>
    <row r="138" spans="15:30" hidden="1" outlineLevel="1" x14ac:dyDescent="0.3">
      <c r="O138" s="110"/>
      <c r="T138" s="293"/>
      <c r="U138" s="295">
        <f t="shared" si="3"/>
        <v>44083</v>
      </c>
      <c r="V138" s="6"/>
      <c r="W138" s="296">
        <v>396020</v>
      </c>
      <c r="X138" s="6"/>
      <c r="Y138" s="44">
        <v>0.06</v>
      </c>
      <c r="Z138" s="6"/>
      <c r="AA138" s="297">
        <f t="shared" ref="AA138:AA167" si="8">+W137-W138</f>
        <v>-1252</v>
      </c>
      <c r="AB138" s="6"/>
      <c r="AC138" s="301"/>
      <c r="AD138" s="294"/>
    </row>
    <row r="139" spans="15:30" hidden="1" outlineLevel="1" x14ac:dyDescent="0.3">
      <c r="O139" s="110"/>
      <c r="T139" s="293"/>
      <c r="U139" s="295">
        <f t="shared" si="3"/>
        <v>44084</v>
      </c>
      <c r="V139" s="6"/>
      <c r="W139" s="296">
        <v>397124</v>
      </c>
      <c r="X139" s="6"/>
      <c r="Y139" s="44">
        <v>0.06</v>
      </c>
      <c r="Z139" s="6"/>
      <c r="AA139" s="297">
        <f t="shared" si="8"/>
        <v>-1104</v>
      </c>
      <c r="AB139" s="6"/>
      <c r="AC139" s="301"/>
      <c r="AD139" s="294"/>
    </row>
    <row r="140" spans="15:30" hidden="1" outlineLevel="1" x14ac:dyDescent="0.3">
      <c r="O140" s="110"/>
      <c r="T140" s="293"/>
      <c r="U140" s="295">
        <f t="shared" si="3"/>
        <v>44085</v>
      </c>
      <c r="V140" s="6"/>
      <c r="W140" s="296">
        <v>401586</v>
      </c>
      <c r="X140" s="6"/>
      <c r="Y140" s="44">
        <v>6.0999999999999999E-2</v>
      </c>
      <c r="Z140" s="6"/>
      <c r="AA140" s="297">
        <f t="shared" si="8"/>
        <v>-4462</v>
      </c>
      <c r="AB140" s="6"/>
      <c r="AC140" s="301"/>
      <c r="AD140" s="294"/>
    </row>
    <row r="141" spans="15:30" hidden="1" outlineLevel="1" x14ac:dyDescent="0.3">
      <c r="O141" s="110"/>
      <c r="T141" s="293"/>
      <c r="U141" s="295">
        <f t="shared" si="3"/>
        <v>44086</v>
      </c>
      <c r="V141" s="6"/>
      <c r="W141" s="296">
        <v>399676</v>
      </c>
      <c r="X141" s="6"/>
      <c r="Y141" s="44">
        <v>0.06</v>
      </c>
      <c r="Z141" s="6"/>
      <c r="AA141" s="297">
        <f t="shared" si="8"/>
        <v>1910</v>
      </c>
      <c r="AB141" s="6"/>
      <c r="AC141" s="301"/>
      <c r="AD141" s="294"/>
    </row>
    <row r="142" spans="15:30" hidden="1" outlineLevel="1" x14ac:dyDescent="0.3">
      <c r="O142" s="110"/>
      <c r="T142" s="293"/>
      <c r="U142" s="295">
        <f t="shared" si="3"/>
        <v>44087</v>
      </c>
      <c r="V142" s="6"/>
      <c r="W142" s="296">
        <v>385816</v>
      </c>
      <c r="X142" s="6"/>
      <c r="Y142" s="44">
        <v>5.8000000000000003E-2</v>
      </c>
      <c r="Z142" s="6"/>
      <c r="AA142" s="297">
        <f t="shared" si="8"/>
        <v>13860</v>
      </c>
      <c r="AB142" s="6"/>
      <c r="AC142" s="301"/>
      <c r="AD142" s="294"/>
    </row>
    <row r="143" spans="15:30" hidden="1" outlineLevel="1" x14ac:dyDescent="0.3">
      <c r="O143" s="110"/>
      <c r="T143" s="293"/>
      <c r="U143" s="295">
        <f t="shared" si="3"/>
        <v>44088</v>
      </c>
      <c r="V143" s="6"/>
      <c r="W143" s="296">
        <v>371030</v>
      </c>
      <c r="X143" s="6"/>
      <c r="Y143" s="44">
        <v>5.5E-2</v>
      </c>
      <c r="Z143" s="6"/>
      <c r="AA143" s="297">
        <f t="shared" si="8"/>
        <v>14786</v>
      </c>
      <c r="AB143" s="6"/>
      <c r="AC143" s="301"/>
      <c r="AD143" s="294"/>
    </row>
    <row r="144" spans="15:30" hidden="1" outlineLevel="1" x14ac:dyDescent="0.3">
      <c r="O144" s="110"/>
      <c r="T144" s="293"/>
      <c r="U144" s="295">
        <f t="shared" si="3"/>
        <v>44089</v>
      </c>
      <c r="V144" s="6"/>
      <c r="W144" s="296">
        <v>365385</v>
      </c>
      <c r="X144" s="6"/>
      <c r="Y144" s="44">
        <v>5.3999999999999999E-2</v>
      </c>
      <c r="Z144" s="6"/>
      <c r="AA144" s="297">
        <f t="shared" si="8"/>
        <v>5645</v>
      </c>
      <c r="AB144" s="6"/>
      <c r="AC144" s="301"/>
      <c r="AD144" s="294"/>
    </row>
    <row r="145" spans="15:30" hidden="1" outlineLevel="1" x14ac:dyDescent="0.3">
      <c r="O145" s="110"/>
      <c r="T145" s="293"/>
      <c r="U145" s="295">
        <f t="shared" si="3"/>
        <v>44090</v>
      </c>
      <c r="V145" s="6"/>
      <c r="W145" s="296">
        <v>374482</v>
      </c>
      <c r="X145" s="6"/>
      <c r="Y145" s="44">
        <v>5.5E-2</v>
      </c>
      <c r="Z145" s="6"/>
      <c r="AA145" s="297">
        <f t="shared" si="8"/>
        <v>-9097</v>
      </c>
      <c r="AB145" s="6"/>
      <c r="AC145" s="301"/>
      <c r="AD145" s="294"/>
    </row>
    <row r="146" spans="15:30" hidden="1" outlineLevel="1" x14ac:dyDescent="0.3">
      <c r="O146" s="110"/>
      <c r="T146" s="293"/>
      <c r="U146" s="295">
        <f t="shared" si="3"/>
        <v>44091</v>
      </c>
      <c r="V146" s="6"/>
      <c r="W146" s="296">
        <v>395427</v>
      </c>
      <c r="X146" s="6"/>
      <c r="Y146" s="44">
        <v>5.8000000000000003E-2</v>
      </c>
      <c r="Z146" s="6"/>
      <c r="AA146" s="297">
        <f t="shared" si="8"/>
        <v>-20945</v>
      </c>
      <c r="AB146" s="6"/>
      <c r="AC146" s="301"/>
      <c r="AD146" s="294"/>
    </row>
    <row r="147" spans="15:30" hidden="1" outlineLevel="1" x14ac:dyDescent="0.3">
      <c r="O147" s="110"/>
      <c r="T147" s="293"/>
      <c r="U147" s="295">
        <f t="shared" si="3"/>
        <v>44092</v>
      </c>
      <c r="V147" s="6"/>
      <c r="W147" s="296">
        <v>418285</v>
      </c>
      <c r="X147" s="6"/>
      <c r="Y147" s="44">
        <v>0.06</v>
      </c>
      <c r="Z147" s="6"/>
      <c r="AA147" s="297">
        <f t="shared" si="8"/>
        <v>-22858</v>
      </c>
      <c r="AB147" s="6"/>
      <c r="AC147" s="301"/>
      <c r="AD147" s="294"/>
    </row>
    <row r="148" spans="15:30" hidden="1" outlineLevel="1" x14ac:dyDescent="0.3">
      <c r="O148" s="110"/>
      <c r="T148" s="293"/>
      <c r="U148" s="295">
        <f t="shared" si="3"/>
        <v>44093</v>
      </c>
      <c r="V148" s="6"/>
      <c r="W148" s="296">
        <v>425480</v>
      </c>
      <c r="X148" s="6"/>
      <c r="Y148" s="44">
        <v>6.0999999999999999E-2</v>
      </c>
      <c r="Z148" s="6"/>
      <c r="AA148" s="297">
        <f t="shared" si="8"/>
        <v>-7195</v>
      </c>
      <c r="AB148" s="6"/>
      <c r="AC148" s="301"/>
      <c r="AD148" s="294"/>
    </row>
    <row r="149" spans="15:30" hidden="1" outlineLevel="1" x14ac:dyDescent="0.3">
      <c r="O149" s="110"/>
      <c r="T149" s="293"/>
      <c r="U149" s="295">
        <f t="shared" si="3"/>
        <v>44094</v>
      </c>
      <c r="V149" s="6"/>
      <c r="W149" s="296">
        <v>425416</v>
      </c>
      <c r="X149" s="6"/>
      <c r="Y149" s="44">
        <v>6.0999999999999999E-2</v>
      </c>
      <c r="Z149" s="6"/>
      <c r="AA149" s="297">
        <f t="shared" si="8"/>
        <v>64</v>
      </c>
      <c r="AB149" s="6"/>
      <c r="AC149" s="301"/>
      <c r="AD149" s="294"/>
    </row>
    <row r="150" spans="15:30" hidden="1" outlineLevel="1" x14ac:dyDescent="0.3">
      <c r="O150" s="110"/>
      <c r="T150" s="293"/>
      <c r="U150" s="295">
        <f t="shared" si="3"/>
        <v>44095</v>
      </c>
      <c r="V150" s="6"/>
      <c r="W150" s="296">
        <v>409742</v>
      </c>
      <c r="X150" s="6"/>
      <c r="Y150" s="44">
        <v>5.8000000000000003E-2</v>
      </c>
      <c r="Z150" s="6"/>
      <c r="AA150" s="297">
        <f t="shared" si="8"/>
        <v>15674</v>
      </c>
      <c r="AB150" s="6"/>
      <c r="AC150" s="301"/>
      <c r="AD150" s="294"/>
    </row>
    <row r="151" spans="15:30" hidden="1" outlineLevel="1" x14ac:dyDescent="0.3">
      <c r="O151" s="110"/>
      <c r="T151" s="293"/>
      <c r="U151" s="295">
        <f t="shared" si="3"/>
        <v>44096</v>
      </c>
      <c r="V151" s="6"/>
      <c r="W151" s="296">
        <v>406156</v>
      </c>
      <c r="X151" s="6"/>
      <c r="Y151" s="44">
        <v>5.7000000000000002E-2</v>
      </c>
      <c r="Z151" s="6"/>
      <c r="AA151" s="297">
        <f t="shared" si="8"/>
        <v>3586</v>
      </c>
      <c r="AB151" s="6"/>
      <c r="AC151" s="301"/>
      <c r="AD151" s="294"/>
    </row>
    <row r="152" spans="15:30" hidden="1" outlineLevel="1" x14ac:dyDescent="0.3">
      <c r="O152" s="110"/>
      <c r="T152" s="293"/>
      <c r="U152" s="295">
        <f t="shared" si="3"/>
        <v>44097</v>
      </c>
      <c r="V152" s="6"/>
      <c r="W152" s="296">
        <v>406201</v>
      </c>
      <c r="X152" s="6"/>
      <c r="Y152" s="44">
        <v>5.7000000000000002E-2</v>
      </c>
      <c r="Z152" s="6"/>
      <c r="AA152" s="297">
        <f t="shared" si="8"/>
        <v>-45</v>
      </c>
      <c r="AB152" s="6"/>
      <c r="AC152" s="301"/>
      <c r="AD152" s="294"/>
    </row>
    <row r="153" spans="15:30" hidden="1" outlineLevel="1" x14ac:dyDescent="0.3">
      <c r="O153" s="110"/>
      <c r="T153" s="293"/>
      <c r="U153" s="295">
        <f t="shared" si="3"/>
        <v>44098</v>
      </c>
      <c r="V153" s="6"/>
      <c r="W153" s="296">
        <v>423290</v>
      </c>
      <c r="X153" s="6"/>
      <c r="Y153" s="44">
        <v>5.8999999999999997E-2</v>
      </c>
      <c r="Z153" s="6"/>
      <c r="AA153" s="297">
        <f t="shared" si="8"/>
        <v>-17089</v>
      </c>
      <c r="AB153" s="6"/>
      <c r="AC153" s="301"/>
      <c r="AD153" s="294"/>
    </row>
    <row r="154" spans="15:30" hidden="1" outlineLevel="1" x14ac:dyDescent="0.3">
      <c r="O154" s="110"/>
      <c r="T154" s="293"/>
      <c r="U154" s="295">
        <f t="shared" si="3"/>
        <v>44099</v>
      </c>
      <c r="V154" s="6"/>
      <c r="W154" s="296">
        <v>442034</v>
      </c>
      <c r="X154" s="6"/>
      <c r="Y154" s="44">
        <v>6.0999999999999999E-2</v>
      </c>
      <c r="Z154" s="6"/>
      <c r="AA154" s="297">
        <f t="shared" si="8"/>
        <v>-18744</v>
      </c>
      <c r="AB154" s="6"/>
      <c r="AC154" s="301"/>
      <c r="AD154" s="294"/>
    </row>
    <row r="155" spans="15:30" hidden="1" outlineLevel="1" x14ac:dyDescent="0.3">
      <c r="O155" s="110"/>
      <c r="T155" s="293"/>
      <c r="U155" s="295">
        <f t="shared" si="3"/>
        <v>44100</v>
      </c>
      <c r="V155" s="6"/>
      <c r="W155" s="296">
        <v>445041</v>
      </c>
      <c r="X155" s="6"/>
      <c r="Y155" s="44">
        <v>6.0999999999999999E-2</v>
      </c>
      <c r="Z155" s="6"/>
      <c r="AA155" s="297">
        <f t="shared" si="8"/>
        <v>-3007</v>
      </c>
      <c r="AB155" s="6"/>
      <c r="AC155" s="301"/>
      <c r="AD155" s="294"/>
    </row>
    <row r="156" spans="15:30" hidden="1" outlineLevel="1" x14ac:dyDescent="0.3">
      <c r="O156" s="110"/>
      <c r="T156" s="293"/>
      <c r="U156" s="295">
        <f t="shared" si="3"/>
        <v>44101</v>
      </c>
      <c r="V156" s="6"/>
      <c r="W156" s="296">
        <v>432562</v>
      </c>
      <c r="X156" s="6"/>
      <c r="Y156" s="44">
        <v>5.8999999999999997E-2</v>
      </c>
      <c r="Z156" s="6"/>
      <c r="AA156" s="297">
        <f t="shared" si="8"/>
        <v>12479</v>
      </c>
      <c r="AB156" s="6"/>
      <c r="AC156" s="301"/>
      <c r="AD156" s="294"/>
    </row>
    <row r="157" spans="15:30" hidden="1" outlineLevel="1" x14ac:dyDescent="0.3">
      <c r="O157" s="110"/>
      <c r="T157" s="293"/>
      <c r="U157" s="295">
        <f t="shared" si="3"/>
        <v>44102</v>
      </c>
      <c r="V157" s="6"/>
      <c r="W157" s="296">
        <v>418570</v>
      </c>
      <c r="X157" s="6"/>
      <c r="Y157" s="44">
        <v>5.7000000000000002E-2</v>
      </c>
      <c r="Z157" s="6"/>
      <c r="AA157" s="297">
        <f t="shared" si="8"/>
        <v>13992</v>
      </c>
      <c r="AB157" s="6"/>
      <c r="AC157" s="301"/>
      <c r="AD157" s="294"/>
    </row>
    <row r="158" spans="15:30" hidden="1" outlineLevel="1" x14ac:dyDescent="0.3">
      <c r="O158" s="110"/>
      <c r="T158" s="293"/>
      <c r="U158" s="295">
        <f t="shared" si="3"/>
        <v>44103</v>
      </c>
      <c r="V158" s="6"/>
      <c r="W158" s="296">
        <v>419325</v>
      </c>
      <c r="X158" s="6"/>
      <c r="Y158" s="44">
        <v>5.7000000000000002E-2</v>
      </c>
      <c r="Z158" s="6"/>
      <c r="AA158" s="297">
        <f t="shared" si="8"/>
        <v>-755</v>
      </c>
      <c r="AB158" s="6"/>
      <c r="AC158" s="301"/>
      <c r="AD158" s="294"/>
    </row>
    <row r="159" spans="15:30" hidden="1" outlineLevel="1" x14ac:dyDescent="0.3">
      <c r="O159" s="110"/>
      <c r="T159" s="293"/>
      <c r="U159" s="295">
        <f t="shared" si="3"/>
        <v>44104</v>
      </c>
      <c r="V159" s="6"/>
      <c r="W159" s="296">
        <v>426855</v>
      </c>
      <c r="X159" s="6"/>
      <c r="Y159" s="44">
        <v>5.7000000000000002E-2</v>
      </c>
      <c r="Z159" s="6"/>
      <c r="AA159" s="297">
        <f t="shared" si="8"/>
        <v>-7530</v>
      </c>
      <c r="AB159" s="6"/>
      <c r="AC159" s="301"/>
      <c r="AD159" s="294"/>
    </row>
    <row r="160" spans="15:30" hidden="1" outlineLevel="1" x14ac:dyDescent="0.3">
      <c r="O160" s="110"/>
      <c r="T160" s="293"/>
      <c r="U160" s="295">
        <f t="shared" si="3"/>
        <v>44105</v>
      </c>
      <c r="V160" s="6"/>
      <c r="W160" s="296">
        <v>437437</v>
      </c>
      <c r="X160" s="6"/>
      <c r="Y160" s="44">
        <v>5.8000000000000003E-2</v>
      </c>
      <c r="Z160" s="6"/>
      <c r="AA160" s="297">
        <f t="shared" si="8"/>
        <v>-10582</v>
      </c>
      <c r="AB160" s="6"/>
      <c r="AC160" s="301"/>
      <c r="AD160" s="294"/>
    </row>
    <row r="161" spans="15:30" hidden="1" outlineLevel="1" x14ac:dyDescent="0.3">
      <c r="O161" s="110"/>
      <c r="T161" s="293"/>
      <c r="U161" s="295">
        <f t="shared" si="3"/>
        <v>44106</v>
      </c>
      <c r="V161" s="6"/>
      <c r="W161" s="296">
        <v>453144</v>
      </c>
      <c r="X161" s="6"/>
      <c r="Y161" s="44">
        <v>0.06</v>
      </c>
      <c r="Z161" s="6"/>
      <c r="AA161" s="297">
        <f t="shared" si="8"/>
        <v>-15707</v>
      </c>
      <c r="AB161" s="6"/>
      <c r="AC161" s="301"/>
      <c r="AD161" s="294"/>
    </row>
    <row r="162" spans="15:30" hidden="1" outlineLevel="1" x14ac:dyDescent="0.3">
      <c r="O162" s="110"/>
      <c r="T162" s="293"/>
      <c r="U162" s="295">
        <f t="shared" si="3"/>
        <v>44107</v>
      </c>
      <c r="V162" s="6"/>
      <c r="W162" s="296">
        <v>460453</v>
      </c>
      <c r="X162" s="6"/>
      <c r="Y162" s="44">
        <v>6.0999999999999999E-2</v>
      </c>
      <c r="Z162" s="6"/>
      <c r="AA162" s="297">
        <f t="shared" si="8"/>
        <v>-7309</v>
      </c>
      <c r="AB162" s="6"/>
      <c r="AC162" s="301"/>
      <c r="AD162" s="294"/>
    </row>
    <row r="163" spans="15:30" hidden="1" outlineLevel="1" x14ac:dyDescent="0.3">
      <c r="O163" s="110"/>
      <c r="T163" s="293"/>
      <c r="U163" s="295">
        <f t="shared" si="3"/>
        <v>44108</v>
      </c>
      <c r="V163" s="6"/>
      <c r="W163" s="296">
        <v>449172</v>
      </c>
      <c r="X163" s="6"/>
      <c r="Y163" s="44">
        <v>5.8999999999999997E-2</v>
      </c>
      <c r="Z163" s="6"/>
      <c r="AA163" s="297">
        <f t="shared" si="8"/>
        <v>11281</v>
      </c>
      <c r="AB163" s="6"/>
      <c r="AC163" s="301"/>
      <c r="AD163" s="294"/>
    </row>
    <row r="164" spans="15:30" hidden="1" outlineLevel="1" x14ac:dyDescent="0.3">
      <c r="O164" s="110"/>
      <c r="T164" s="293"/>
      <c r="U164" s="295">
        <f t="shared" si="3"/>
        <v>44109</v>
      </c>
      <c r="V164" s="6"/>
      <c r="W164" s="296">
        <v>433260</v>
      </c>
      <c r="X164" s="6"/>
      <c r="Y164" s="44">
        <v>5.7000000000000002E-2</v>
      </c>
      <c r="Z164" s="6"/>
      <c r="AA164" s="297">
        <f t="shared" si="8"/>
        <v>15912</v>
      </c>
      <c r="AB164" s="6"/>
      <c r="AC164" s="301"/>
      <c r="AD164" s="294"/>
    </row>
    <row r="165" spans="15:30" hidden="1" outlineLevel="1" x14ac:dyDescent="0.3">
      <c r="O165" s="110"/>
      <c r="T165" s="293"/>
      <c r="U165" s="295">
        <f t="shared" si="3"/>
        <v>44110</v>
      </c>
      <c r="V165" s="6"/>
      <c r="W165" s="296">
        <v>434017</v>
      </c>
      <c r="X165" s="6"/>
      <c r="Y165" s="44">
        <v>5.6000000000000001E-2</v>
      </c>
      <c r="Z165" s="6"/>
      <c r="AA165" s="297">
        <f t="shared" si="8"/>
        <v>-757</v>
      </c>
      <c r="AB165" s="6"/>
      <c r="AC165" s="301"/>
      <c r="AD165" s="294"/>
    </row>
    <row r="166" spans="15:30" hidden="1" outlineLevel="1" x14ac:dyDescent="0.3">
      <c r="O166" s="110"/>
      <c r="T166" s="293"/>
      <c r="U166" s="295">
        <f t="shared" si="3"/>
        <v>44111</v>
      </c>
      <c r="V166" s="6"/>
      <c r="W166" s="296">
        <v>448950</v>
      </c>
      <c r="X166" s="6"/>
      <c r="Y166" s="44">
        <v>5.8000000000000003E-2</v>
      </c>
      <c r="Z166" s="6"/>
      <c r="AA166" s="297">
        <f t="shared" si="8"/>
        <v>-14933</v>
      </c>
      <c r="AB166" s="6"/>
      <c r="AC166" s="301"/>
      <c r="AD166" s="294"/>
    </row>
    <row r="167" spans="15:30" hidden="1" outlineLevel="1" x14ac:dyDescent="0.3">
      <c r="O167" s="110"/>
      <c r="T167" s="293"/>
      <c r="U167" s="295">
        <f t="shared" si="3"/>
        <v>44112</v>
      </c>
      <c r="V167" s="6"/>
      <c r="W167" s="296">
        <v>468336</v>
      </c>
      <c r="X167" s="6"/>
      <c r="Y167" s="44">
        <v>0.06</v>
      </c>
      <c r="Z167" s="6"/>
      <c r="AA167" s="297">
        <f t="shared" si="8"/>
        <v>-19386</v>
      </c>
      <c r="AB167" s="6"/>
      <c r="AC167" s="301"/>
      <c r="AD167" s="294"/>
    </row>
    <row r="168" spans="15:30" hidden="1" outlineLevel="1" x14ac:dyDescent="0.3">
      <c r="O168" s="110"/>
      <c r="T168" s="293"/>
      <c r="U168" s="295">
        <f t="shared" si="3"/>
        <v>44113</v>
      </c>
      <c r="V168" s="6"/>
      <c r="W168" s="296">
        <v>484791</v>
      </c>
      <c r="X168" s="6"/>
      <c r="Y168" s="44">
        <v>6.2E-2</v>
      </c>
      <c r="Z168" s="6"/>
      <c r="AA168" s="297">
        <f t="shared" ref="AA168:AA177" si="9">+W167-W168</f>
        <v>-16455</v>
      </c>
      <c r="AB168" s="6"/>
      <c r="AC168" s="301"/>
      <c r="AD168" s="294"/>
    </row>
    <row r="169" spans="15:30" hidden="1" outlineLevel="1" x14ac:dyDescent="0.3">
      <c r="O169" s="110"/>
      <c r="T169" s="293"/>
      <c r="U169" s="295">
        <f t="shared" si="3"/>
        <v>44114</v>
      </c>
      <c r="V169" s="6"/>
      <c r="W169" s="296">
        <v>494681</v>
      </c>
      <c r="X169" s="6"/>
      <c r="Y169" s="44">
        <v>6.2E-2</v>
      </c>
      <c r="Z169" s="6"/>
      <c r="AA169" s="297">
        <f t="shared" si="9"/>
        <v>-9890</v>
      </c>
      <c r="AB169" s="6"/>
      <c r="AC169" s="301"/>
      <c r="AD169" s="294"/>
    </row>
    <row r="170" spans="15:30" hidden="1" outlineLevel="1" x14ac:dyDescent="0.3">
      <c r="O170" s="110"/>
      <c r="T170" s="293"/>
      <c r="U170" s="295">
        <f t="shared" si="3"/>
        <v>44115</v>
      </c>
      <c r="V170" s="6"/>
      <c r="W170" s="296">
        <v>489248</v>
      </c>
      <c r="X170" s="6"/>
      <c r="Y170" s="44">
        <v>6.0999999999999999E-2</v>
      </c>
      <c r="Z170" s="6"/>
      <c r="AA170" s="297">
        <f t="shared" si="9"/>
        <v>5433</v>
      </c>
      <c r="AB170" s="6"/>
      <c r="AC170" s="301"/>
      <c r="AD170" s="294"/>
    </row>
    <row r="171" spans="15:30" hidden="1" outlineLevel="1" x14ac:dyDescent="0.3">
      <c r="O171" s="110"/>
      <c r="T171" s="293"/>
      <c r="U171" s="295">
        <f t="shared" si="3"/>
        <v>44116</v>
      </c>
      <c r="V171" s="6"/>
      <c r="W171" s="296">
        <v>489910</v>
      </c>
      <c r="X171" s="6"/>
      <c r="Y171" s="44">
        <v>6.0999999999999999E-2</v>
      </c>
      <c r="Z171" s="6"/>
      <c r="AA171" s="297">
        <f t="shared" si="9"/>
        <v>-662</v>
      </c>
      <c r="AB171" s="6"/>
      <c r="AC171" s="301"/>
      <c r="AD171" s="294"/>
    </row>
    <row r="172" spans="15:30" hidden="1" outlineLevel="1" x14ac:dyDescent="0.3">
      <c r="O172" s="110"/>
      <c r="T172" s="293"/>
      <c r="U172" s="295">
        <f t="shared" si="3"/>
        <v>44117</v>
      </c>
      <c r="V172" s="6"/>
      <c r="W172" s="296">
        <v>492684</v>
      </c>
      <c r="X172" s="6"/>
      <c r="Y172" s="44">
        <v>6.0999999999999999E-2</v>
      </c>
      <c r="Z172" s="6"/>
      <c r="AA172" s="297">
        <f t="shared" si="9"/>
        <v>-2774</v>
      </c>
      <c r="AB172" s="6"/>
      <c r="AC172" s="301"/>
      <c r="AD172" s="294"/>
    </row>
    <row r="173" spans="15:30" hidden="1" outlineLevel="1" x14ac:dyDescent="0.3">
      <c r="O173" s="110"/>
      <c r="T173" s="293"/>
      <c r="U173" s="295">
        <f t="shared" si="3"/>
        <v>44118</v>
      </c>
      <c r="V173" s="6"/>
      <c r="W173" s="296">
        <v>518684</v>
      </c>
      <c r="X173" s="6"/>
      <c r="Y173" s="44">
        <v>6.4000000000000001E-2</v>
      </c>
      <c r="Z173" s="6"/>
      <c r="AA173" s="297">
        <f t="shared" si="9"/>
        <v>-26000</v>
      </c>
      <c r="AB173" s="6"/>
      <c r="AC173" s="301"/>
      <c r="AD173" s="294"/>
    </row>
    <row r="174" spans="15:30" hidden="1" outlineLevel="1" x14ac:dyDescent="0.3">
      <c r="O174" s="110"/>
      <c r="T174" s="293"/>
      <c r="U174" s="295">
        <f t="shared" si="3"/>
        <v>44119</v>
      </c>
      <c r="V174" s="6"/>
      <c r="W174" s="296">
        <v>546914</v>
      </c>
      <c r="X174" s="6"/>
      <c r="Y174" s="44">
        <v>6.7000000000000004E-2</v>
      </c>
      <c r="Z174" s="6"/>
      <c r="AA174" s="297">
        <f t="shared" si="9"/>
        <v>-28230</v>
      </c>
      <c r="AB174" s="6"/>
      <c r="AC174" s="301"/>
      <c r="AD174" s="294"/>
    </row>
    <row r="175" spans="15:30" collapsed="1" x14ac:dyDescent="0.3">
      <c r="O175" s="110"/>
      <c r="T175" s="293"/>
      <c r="U175" s="295">
        <f t="shared" si="3"/>
        <v>44120</v>
      </c>
      <c r="V175" s="6"/>
      <c r="W175" s="296">
        <v>573981</v>
      </c>
      <c r="X175" s="6"/>
      <c r="Y175" s="44">
        <v>6.9000000000000006E-2</v>
      </c>
      <c r="Z175" s="6"/>
      <c r="AA175" s="297">
        <f t="shared" si="9"/>
        <v>-27067</v>
      </c>
      <c r="AB175" s="6"/>
      <c r="AC175" s="301"/>
      <c r="AD175" s="294"/>
    </row>
    <row r="176" spans="15:30" x14ac:dyDescent="0.3">
      <c r="O176" s="110"/>
      <c r="T176" s="293"/>
      <c r="U176" s="295">
        <f t="shared" si="3"/>
        <v>44121</v>
      </c>
      <c r="V176" s="6"/>
      <c r="W176" s="296">
        <v>578954</v>
      </c>
      <c r="X176" s="6"/>
      <c r="Y176" s="44">
        <v>6.9000000000000006E-2</v>
      </c>
      <c r="Z176" s="6"/>
      <c r="AA176" s="297">
        <f t="shared" si="9"/>
        <v>-4973</v>
      </c>
      <c r="AB176" s="6"/>
      <c r="AC176" s="301"/>
      <c r="AD176" s="294"/>
    </row>
    <row r="177" spans="15:30" x14ac:dyDescent="0.3">
      <c r="O177" s="110"/>
      <c r="T177" s="293"/>
      <c r="U177" s="295">
        <f t="shared" si="3"/>
        <v>44122</v>
      </c>
      <c r="V177" s="6"/>
      <c r="W177" s="296">
        <v>566575</v>
      </c>
      <c r="X177" s="6"/>
      <c r="Y177" s="44">
        <v>6.8000000000000005E-2</v>
      </c>
      <c r="Z177" s="6"/>
      <c r="AA177" s="297">
        <f t="shared" si="9"/>
        <v>12379</v>
      </c>
      <c r="AB177" s="6"/>
      <c r="AC177" s="301"/>
      <c r="AD177" s="294"/>
    </row>
    <row r="178" spans="15:30" x14ac:dyDescent="0.3">
      <c r="O178" s="110"/>
      <c r="T178" s="293"/>
      <c r="U178" s="295">
        <f t="shared" si="3"/>
        <v>44123</v>
      </c>
      <c r="V178" s="6"/>
      <c r="W178" s="296">
        <v>563005</v>
      </c>
      <c r="X178" s="6"/>
      <c r="Y178" s="44">
        <v>6.7000000000000004E-2</v>
      </c>
      <c r="Z178" s="6"/>
      <c r="AA178" s="297">
        <f t="shared" ref="AA178:AA184" si="10">+W177-W178</f>
        <v>3570</v>
      </c>
      <c r="AB178" s="6"/>
      <c r="AC178" s="301"/>
      <c r="AD178" s="294"/>
    </row>
    <row r="179" spans="15:30" x14ac:dyDescent="0.3">
      <c r="O179" s="110"/>
      <c r="T179" s="293"/>
      <c r="U179" s="295">
        <f t="shared" si="3"/>
        <v>44124</v>
      </c>
      <c r="V179" s="6"/>
      <c r="W179" s="296">
        <v>571055</v>
      </c>
      <c r="X179" s="6"/>
      <c r="Y179" s="44">
        <v>6.7000000000000004E-2</v>
      </c>
      <c r="Z179" s="6"/>
      <c r="AA179" s="297">
        <f t="shared" si="10"/>
        <v>-8050</v>
      </c>
      <c r="AB179" s="6"/>
      <c r="AC179" s="301"/>
      <c r="AD179" s="294"/>
    </row>
    <row r="180" spans="15:30" x14ac:dyDescent="0.3">
      <c r="O180" s="110"/>
      <c r="T180" s="293"/>
      <c r="U180" s="295">
        <f t="shared" si="3"/>
        <v>44125</v>
      </c>
      <c r="V180" s="6"/>
      <c r="W180" s="296">
        <v>592755</v>
      </c>
      <c r="X180" s="6"/>
      <c r="Y180" s="44">
        <v>6.9000000000000006E-2</v>
      </c>
      <c r="Z180" s="6"/>
      <c r="AA180" s="297">
        <f t="shared" si="10"/>
        <v>-21700</v>
      </c>
      <c r="AB180" s="6"/>
      <c r="AC180" s="301"/>
      <c r="AD180" s="294"/>
    </row>
    <row r="181" spans="15:30" x14ac:dyDescent="0.3">
      <c r="O181" s="110"/>
      <c r="T181" s="293"/>
      <c r="U181" s="295">
        <f t="shared" si="3"/>
        <v>44126</v>
      </c>
      <c r="V181" s="6"/>
      <c r="W181" s="296">
        <v>621488</v>
      </c>
      <c r="X181" s="6"/>
      <c r="Y181" s="44">
        <v>7.1999999999999995E-2</v>
      </c>
      <c r="Z181" s="6"/>
      <c r="AA181" s="297">
        <f t="shared" si="10"/>
        <v>-28733</v>
      </c>
      <c r="AB181" s="6"/>
      <c r="AC181" s="301"/>
      <c r="AD181" s="294"/>
    </row>
    <row r="182" spans="15:30" x14ac:dyDescent="0.3">
      <c r="O182" s="110"/>
      <c r="T182" s="293"/>
      <c r="U182" s="295">
        <f t="shared" si="3"/>
        <v>44127</v>
      </c>
      <c r="V182" s="6"/>
      <c r="W182" s="296">
        <v>651368</v>
      </c>
      <c r="X182" s="6"/>
      <c r="Y182" s="44">
        <v>7.4999999999999997E-2</v>
      </c>
      <c r="Z182" s="6"/>
      <c r="AA182" s="297">
        <f t="shared" si="10"/>
        <v>-29880</v>
      </c>
      <c r="AB182" s="6"/>
      <c r="AC182" s="301"/>
      <c r="AD182" s="294"/>
    </row>
    <row r="183" spans="15:30" x14ac:dyDescent="0.3">
      <c r="O183" s="110"/>
      <c r="T183" s="293"/>
      <c r="U183" s="295">
        <f t="shared" si="3"/>
        <v>44128</v>
      </c>
      <c r="V183" s="6"/>
      <c r="W183" s="296">
        <v>671584</v>
      </c>
      <c r="X183" s="6"/>
      <c r="Y183" s="44">
        <v>7.5999999999999998E-2</v>
      </c>
      <c r="Z183" s="6"/>
      <c r="AA183" s="297">
        <f t="shared" si="10"/>
        <v>-20216</v>
      </c>
      <c r="AB183" s="6"/>
      <c r="AC183" s="301"/>
      <c r="AD183" s="294"/>
    </row>
    <row r="184" spans="15:30" x14ac:dyDescent="0.3">
      <c r="O184" s="110"/>
      <c r="T184" s="293"/>
      <c r="U184" s="295">
        <f t="shared" si="3"/>
        <v>44129</v>
      </c>
      <c r="V184" s="6"/>
      <c r="W184" s="296">
        <v>666352</v>
      </c>
      <c r="X184" s="6"/>
      <c r="Y184" s="44">
        <v>7.4999999999999997E-2</v>
      </c>
      <c r="Z184" s="6"/>
      <c r="AA184" s="297">
        <f t="shared" si="10"/>
        <v>5232</v>
      </c>
      <c r="AB184" s="6"/>
      <c r="AC184" s="301"/>
      <c r="AD184" s="294"/>
    </row>
    <row r="185" spans="15:30" x14ac:dyDescent="0.3">
      <c r="O185" s="110"/>
      <c r="T185" s="293"/>
      <c r="U185" s="295">
        <f t="shared" si="3"/>
        <v>44130</v>
      </c>
      <c r="V185" s="6"/>
      <c r="W185" s="296">
        <v>644740</v>
      </c>
      <c r="X185" s="6"/>
      <c r="Y185" s="44">
        <v>7.3999999999999996E-2</v>
      </c>
      <c r="Z185" s="6"/>
      <c r="AA185" s="297">
        <f t="shared" ref="AA185" si="11">+W184-W185</f>
        <v>21612</v>
      </c>
      <c r="AB185" s="6"/>
      <c r="AC185" s="301"/>
      <c r="AD185" s="294"/>
    </row>
    <row r="186" spans="15:30" x14ac:dyDescent="0.3">
      <c r="O186" s="110"/>
      <c r="T186" s="293"/>
      <c r="U186" s="295">
        <f t="shared" si="3"/>
        <v>44131</v>
      </c>
      <c r="V186" s="6"/>
      <c r="W186" s="296">
        <v>685730</v>
      </c>
      <c r="X186" s="6"/>
      <c r="Y186" s="44">
        <v>7.5999999999999998E-2</v>
      </c>
      <c r="Z186" s="6"/>
      <c r="AA186" s="297">
        <f t="shared" ref="AA186" si="12">+W185-W186</f>
        <v>-40990</v>
      </c>
      <c r="AB186" s="6"/>
      <c r="AC186" s="301"/>
      <c r="AD186" s="294"/>
    </row>
    <row r="187" spans="15:30" x14ac:dyDescent="0.3">
      <c r="O187" s="110"/>
      <c r="T187" s="293"/>
      <c r="U187" s="295">
        <f t="shared" si="3"/>
        <v>44132</v>
      </c>
      <c r="V187" s="6"/>
      <c r="W187" s="296">
        <v>722475</v>
      </c>
      <c r="X187" s="6"/>
      <c r="Y187" s="44">
        <v>7.9000000000000001E-2</v>
      </c>
      <c r="Z187" s="6"/>
      <c r="AA187" s="297">
        <f t="shared" ref="AA187" si="13">+W186-W187</f>
        <v>-36745</v>
      </c>
      <c r="AB187" s="6"/>
      <c r="AC187" s="301"/>
      <c r="AD187" s="294"/>
    </row>
    <row r="188" spans="15:30" x14ac:dyDescent="0.3">
      <c r="O188" s="110"/>
      <c r="T188" s="293"/>
      <c r="U188" s="295">
        <f t="shared" si="3"/>
        <v>44133</v>
      </c>
      <c r="V188" s="6"/>
      <c r="W188" s="296">
        <v>756762</v>
      </c>
      <c r="X188" s="6"/>
      <c r="Y188" s="44">
        <v>8.2000000000000003E-2</v>
      </c>
      <c r="Z188" s="6"/>
      <c r="AA188" s="297">
        <f t="shared" ref="AA188" si="14">+W187-W188</f>
        <v>-34287</v>
      </c>
      <c r="AB188" s="6"/>
      <c r="AC188" s="301"/>
      <c r="AD188" s="294"/>
    </row>
    <row r="189" spans="15:30" x14ac:dyDescent="0.3">
      <c r="O189" s="110"/>
      <c r="T189" s="293"/>
      <c r="U189" s="295">
        <f t="shared" si="3"/>
        <v>44134</v>
      </c>
      <c r="V189" s="6"/>
      <c r="W189" s="296">
        <v>796351</v>
      </c>
      <c r="X189" s="6"/>
      <c r="Y189" s="44">
        <v>8.5999999999999993E-2</v>
      </c>
      <c r="Z189" s="6"/>
      <c r="AA189" s="297">
        <f t="shared" ref="AA189" si="15">+W188-W189</f>
        <v>-39589</v>
      </c>
      <c r="AB189" s="6"/>
      <c r="AC189" s="301"/>
      <c r="AD189" s="294"/>
    </row>
    <row r="190" spans="15:30" x14ac:dyDescent="0.3">
      <c r="O190" s="110"/>
      <c r="T190" s="293"/>
      <c r="U190" s="295">
        <f t="shared" si="3"/>
        <v>44135</v>
      </c>
      <c r="V190" s="6"/>
      <c r="W190" s="296">
        <v>819039</v>
      </c>
      <c r="X190" s="6"/>
      <c r="Y190" s="44">
        <v>8.6999999999999994E-2</v>
      </c>
      <c r="Z190" s="6"/>
      <c r="AA190" s="297">
        <f t="shared" ref="AA190" si="16">+W189-W190</f>
        <v>-22688</v>
      </c>
      <c r="AB190" s="6"/>
      <c r="AC190" s="301"/>
      <c r="AD190" s="294"/>
    </row>
    <row r="191" spans="15:30" x14ac:dyDescent="0.3">
      <c r="O191" s="110"/>
      <c r="T191" s="293"/>
      <c r="U191" s="295">
        <f t="shared" si="3"/>
        <v>44136</v>
      </c>
      <c r="V191" s="6"/>
      <c r="W191" s="296">
        <f>+I$36</f>
        <v>816056</v>
      </c>
      <c r="X191" s="6"/>
      <c r="Y191" s="44">
        <f>+L$36</f>
        <v>8.6426294497088024E-2</v>
      </c>
      <c r="Z191" s="6"/>
      <c r="AA191" s="297">
        <f t="shared" ref="AA191" si="17">+W190-W191</f>
        <v>2983</v>
      </c>
      <c r="AB191" s="6"/>
      <c r="AC191" s="301"/>
      <c r="AD191" s="294"/>
    </row>
    <row r="192" spans="15:30" x14ac:dyDescent="0.3">
      <c r="O192" s="110"/>
      <c r="T192" s="293"/>
      <c r="U192" s="295">
        <f t="shared" si="3"/>
        <v>44137</v>
      </c>
      <c r="V192" s="6"/>
      <c r="W192" s="296"/>
      <c r="X192" s="6"/>
      <c r="Y192" s="44"/>
      <c r="Z192" s="6"/>
      <c r="AA192" s="297"/>
      <c r="AB192" s="6"/>
      <c r="AC192" s="301"/>
      <c r="AD192" s="294"/>
    </row>
    <row r="193" spans="5:36" x14ac:dyDescent="0.3">
      <c r="O193" s="110"/>
      <c r="T193" s="293"/>
      <c r="U193" s="295">
        <f t="shared" si="3"/>
        <v>44138</v>
      </c>
      <c r="V193" s="6"/>
      <c r="W193" s="296"/>
      <c r="X193" s="6"/>
      <c r="Y193" s="44"/>
      <c r="Z193" s="6"/>
      <c r="AA193" s="297"/>
      <c r="AB193" s="6"/>
      <c r="AC193" s="301"/>
      <c r="AD193" s="294"/>
    </row>
    <row r="194" spans="5:36" x14ac:dyDescent="0.3">
      <c r="O194" s="110"/>
      <c r="T194" s="293"/>
      <c r="U194" s="295">
        <f t="shared" si="3"/>
        <v>44139</v>
      </c>
      <c r="V194" s="6"/>
      <c r="W194" s="296"/>
      <c r="X194" s="6"/>
      <c r="Y194" s="44"/>
      <c r="Z194" s="6"/>
      <c r="AA194" s="297"/>
      <c r="AB194" s="6"/>
      <c r="AC194" s="301"/>
      <c r="AD194" s="294"/>
    </row>
    <row r="195" spans="5:36" x14ac:dyDescent="0.3">
      <c r="O195" s="110"/>
      <c r="T195" s="293"/>
      <c r="U195" s="295">
        <f t="shared" si="3"/>
        <v>44140</v>
      </c>
      <c r="V195" s="6"/>
      <c r="W195" s="296"/>
      <c r="X195" s="6"/>
      <c r="Y195" s="44"/>
      <c r="Z195" s="6"/>
      <c r="AA195" s="297"/>
      <c r="AB195" s="6"/>
      <c r="AC195" s="301"/>
      <c r="AD195" s="294"/>
    </row>
    <row r="196" spans="5:36" x14ac:dyDescent="0.3">
      <c r="O196" s="110"/>
      <c r="T196" s="293"/>
      <c r="U196" s="295">
        <f t="shared" si="3"/>
        <v>44141</v>
      </c>
      <c r="V196" s="6"/>
      <c r="W196" s="296"/>
      <c r="X196" s="6"/>
      <c r="Y196" s="44"/>
      <c r="Z196" s="6"/>
      <c r="AA196" s="297"/>
      <c r="AB196" s="6"/>
      <c r="AC196" s="301"/>
      <c r="AD196" s="294"/>
    </row>
    <row r="197" spans="5:36" ht="15" thickBot="1" x14ac:dyDescent="0.35">
      <c r="O197" s="110"/>
      <c r="T197" s="298"/>
      <c r="U197" s="393">
        <f t="shared" si="3"/>
        <v>44142</v>
      </c>
      <c r="V197" s="290"/>
      <c r="W197" s="394"/>
      <c r="X197" s="290"/>
      <c r="Y197" s="299"/>
      <c r="Z197" s="290"/>
      <c r="AA197" s="395"/>
      <c r="AB197" s="290"/>
      <c r="AC197" s="396"/>
      <c r="AD197" s="300"/>
    </row>
    <row r="198" spans="5:36" x14ac:dyDescent="0.3">
      <c r="O198" s="110"/>
    </row>
    <row r="199" spans="5:36" x14ac:dyDescent="0.3">
      <c r="O199" s="110"/>
      <c r="P199" s="57"/>
      <c r="Q199" s="57"/>
      <c r="R199" s="57"/>
    </row>
    <row r="200" spans="5:36" x14ac:dyDescent="0.3">
      <c r="O200" s="110"/>
    </row>
    <row r="201" spans="5:36" ht="15" thickBot="1" x14ac:dyDescent="0.35">
      <c r="O201" s="110"/>
    </row>
    <row r="202" spans="5:36" ht="15.6" thickTop="1" thickBot="1" x14ac:dyDescent="0.35">
      <c r="Q202" s="484"/>
      <c r="R202" s="485"/>
      <c r="S202" s="485"/>
      <c r="T202" s="485"/>
      <c r="U202" s="485"/>
      <c r="V202" s="485"/>
      <c r="W202" s="485"/>
      <c r="X202" s="485"/>
      <c r="Y202" s="485"/>
      <c r="Z202" s="485"/>
      <c r="AA202" s="485"/>
      <c r="AB202" s="486"/>
    </row>
    <row r="203" spans="5:36" ht="15" thickBot="1" x14ac:dyDescent="0.35">
      <c r="E203" s="702" t="s">
        <v>119</v>
      </c>
      <c r="F203" s="703"/>
      <c r="G203" s="703"/>
      <c r="H203" s="703"/>
      <c r="I203" s="703"/>
      <c r="J203" s="703"/>
      <c r="K203" s="703"/>
      <c r="L203" s="703"/>
      <c r="M203" s="704"/>
      <c r="Q203" s="487"/>
      <c r="R203" s="6"/>
      <c r="S203" s="6"/>
      <c r="T203" s="6"/>
      <c r="U203" s="5" t="s">
        <v>146</v>
      </c>
      <c r="V203" s="5"/>
      <c r="W203" s="5"/>
      <c r="X203" s="5"/>
      <c r="Y203" s="5"/>
      <c r="Z203" s="5"/>
      <c r="AA203" s="5" t="s">
        <v>30</v>
      </c>
      <c r="AB203" s="488"/>
    </row>
    <row r="204" spans="5:36" x14ac:dyDescent="0.3">
      <c r="E204" s="438"/>
      <c r="F204" s="439" t="s">
        <v>120</v>
      </c>
      <c r="G204" s="439"/>
      <c r="H204" s="439"/>
      <c r="I204" s="705">
        <v>21477737</v>
      </c>
      <c r="J204" s="705"/>
      <c r="K204" s="705"/>
      <c r="L204" s="705"/>
      <c r="M204" s="440"/>
      <c r="Q204" s="487"/>
      <c r="R204" s="480" t="s">
        <v>148</v>
      </c>
      <c r="S204" s="6"/>
      <c r="T204" s="6"/>
      <c r="U204" s="480" t="s">
        <v>147</v>
      </c>
      <c r="V204" s="5"/>
      <c r="W204" s="480" t="s">
        <v>20</v>
      </c>
      <c r="X204" s="5"/>
      <c r="Y204" s="480" t="s">
        <v>4</v>
      </c>
      <c r="Z204" s="5"/>
      <c r="AA204" s="489" t="s">
        <v>145</v>
      </c>
      <c r="AB204" s="488"/>
    </row>
    <row r="205" spans="5:36" x14ac:dyDescent="0.3">
      <c r="E205" s="438"/>
      <c r="F205" s="439" t="s">
        <v>110</v>
      </c>
      <c r="G205" s="439"/>
      <c r="H205" s="439"/>
      <c r="I205" s="439"/>
      <c r="J205" s="439"/>
      <c r="K205" s="439"/>
      <c r="L205" s="441">
        <f>+I217/I204</f>
        <v>4.5847474526762295E-4</v>
      </c>
      <c r="M205" s="440"/>
      <c r="Q205" s="487"/>
      <c r="R205" s="6" t="s">
        <v>135</v>
      </c>
      <c r="S205" s="6"/>
      <c r="T205" s="6"/>
      <c r="U205" s="7">
        <v>2003</v>
      </c>
      <c r="V205" s="6"/>
      <c r="W205" s="7">
        <v>389666</v>
      </c>
      <c r="X205" s="6"/>
      <c r="Y205" s="7">
        <v>31257</v>
      </c>
      <c r="Z205" s="6"/>
      <c r="AA205" s="296">
        <f>+AJ205</f>
        <v>19500</v>
      </c>
      <c r="AB205" s="488"/>
      <c r="AJ205" s="1">
        <v>19500</v>
      </c>
    </row>
    <row r="206" spans="5:36" x14ac:dyDescent="0.3">
      <c r="E206" s="438"/>
      <c r="F206" s="706" t="s">
        <v>108</v>
      </c>
      <c r="G206" s="706"/>
      <c r="H206" s="439"/>
      <c r="I206" s="439"/>
      <c r="J206" s="439"/>
      <c r="K206" s="439"/>
      <c r="L206" s="442">
        <f>+I217/(I204/100000)</f>
        <v>45.847474526762298</v>
      </c>
      <c r="M206" s="440"/>
      <c r="Q206" s="487"/>
      <c r="R206" s="6" t="s">
        <v>136</v>
      </c>
      <c r="S206" s="6"/>
      <c r="T206" s="6"/>
      <c r="U206" s="7">
        <v>1913</v>
      </c>
      <c r="V206" s="6"/>
      <c r="W206" s="7">
        <v>169892</v>
      </c>
      <c r="X206" s="6"/>
      <c r="Y206" s="7">
        <v>13076</v>
      </c>
      <c r="Z206" s="6"/>
      <c r="AA206" s="296">
        <f t="shared" ref="AA206:AA214" si="18">+AJ206</f>
        <v>8900</v>
      </c>
      <c r="AB206" s="488"/>
      <c r="AJ206" s="1">
        <v>8900</v>
      </c>
    </row>
    <row r="207" spans="5:36" x14ac:dyDescent="0.3">
      <c r="E207" s="438"/>
      <c r="F207" s="443"/>
      <c r="G207" s="443"/>
      <c r="H207" s="439"/>
      <c r="I207" s="439"/>
      <c r="J207" s="439"/>
      <c r="K207" s="439"/>
      <c r="L207" s="442"/>
      <c r="M207" s="440"/>
      <c r="Q207" s="487"/>
      <c r="R207" s="6" t="s">
        <v>137</v>
      </c>
      <c r="S207" s="6"/>
      <c r="T207" s="6"/>
      <c r="U207" s="7">
        <v>1568</v>
      </c>
      <c r="V207" s="6"/>
      <c r="W207" s="7">
        <v>16606</v>
      </c>
      <c r="X207" s="6"/>
      <c r="Y207" s="7">
        <v>912</v>
      </c>
      <c r="Z207" s="6"/>
      <c r="AA207" s="296">
        <f t="shared" si="18"/>
        <v>1100</v>
      </c>
      <c r="AB207" s="488"/>
      <c r="AJ207" s="1">
        <v>1100</v>
      </c>
    </row>
    <row r="208" spans="5:36" x14ac:dyDescent="0.3">
      <c r="E208" s="438"/>
      <c r="F208" s="443" t="s">
        <v>121</v>
      </c>
      <c r="G208" s="443"/>
      <c r="H208" s="706" t="s">
        <v>122</v>
      </c>
      <c r="I208" s="706"/>
      <c r="J208" s="439"/>
      <c r="K208" s="439"/>
      <c r="L208" s="442"/>
      <c r="M208" s="440"/>
      <c r="Q208" s="487"/>
      <c r="R208" s="6" t="s">
        <v>58</v>
      </c>
      <c r="S208" s="6"/>
      <c r="T208" s="6"/>
      <c r="U208" s="7">
        <v>1561</v>
      </c>
      <c r="V208" s="6"/>
      <c r="W208" s="7">
        <v>107611</v>
      </c>
      <c r="X208" s="6"/>
      <c r="Y208" s="7">
        <v>7937</v>
      </c>
      <c r="Z208" s="6"/>
      <c r="AA208" s="296">
        <f t="shared" si="18"/>
        <v>7000</v>
      </c>
      <c r="AB208" s="488"/>
      <c r="AJ208" s="1">
        <v>7000</v>
      </c>
    </row>
    <row r="209" spans="4:36" ht="15" thickBot="1" x14ac:dyDescent="0.35">
      <c r="E209" s="444"/>
      <c r="F209" s="445"/>
      <c r="G209" s="445"/>
      <c r="H209" s="445"/>
      <c r="I209" s="445"/>
      <c r="J209" s="445"/>
      <c r="K209" s="445"/>
      <c r="L209" s="445"/>
      <c r="M209" s="446"/>
      <c r="Q209" s="487"/>
      <c r="R209" s="6" t="s">
        <v>142</v>
      </c>
      <c r="S209" s="6"/>
      <c r="T209" s="6"/>
      <c r="U209" s="7">
        <v>1435</v>
      </c>
      <c r="V209" s="6"/>
      <c r="W209" s="7">
        <v>10128</v>
      </c>
      <c r="X209" s="6"/>
      <c r="Y209" s="7">
        <v>541</v>
      </c>
      <c r="Z209" s="6"/>
      <c r="AA209" s="296">
        <f t="shared" si="18"/>
        <v>700</v>
      </c>
      <c r="AB209" s="488"/>
      <c r="AJ209" s="1">
        <v>700</v>
      </c>
    </row>
    <row r="210" spans="4:36" x14ac:dyDescent="0.3">
      <c r="Q210" s="487"/>
      <c r="R210" s="6" t="s">
        <v>138</v>
      </c>
      <c r="S210" s="6"/>
      <c r="T210" s="6"/>
      <c r="U210" s="7">
        <v>1288</v>
      </c>
      <c r="V210" s="6"/>
      <c r="W210" s="7">
        <v>45913</v>
      </c>
      <c r="X210" s="6"/>
      <c r="Y210" s="7">
        <v>4287</v>
      </c>
      <c r="Z210" s="6"/>
      <c r="AA210" s="296">
        <f t="shared" si="18"/>
        <v>3600</v>
      </c>
      <c r="AB210" s="488"/>
      <c r="AJ210" s="1">
        <v>3600</v>
      </c>
    </row>
    <row r="211" spans="4:36" ht="15" thickBot="1" x14ac:dyDescent="0.35">
      <c r="D211" s="90"/>
      <c r="E211" s="151"/>
      <c r="F211" s="151"/>
      <c r="G211" s="151"/>
      <c r="H211" s="151"/>
      <c r="I211" s="353"/>
      <c r="J211" s="90"/>
      <c r="K211" s="110"/>
      <c r="L211" s="110"/>
      <c r="M211" s="110"/>
      <c r="N211" s="110"/>
      <c r="Q211" s="487"/>
      <c r="R211" s="6" t="s">
        <v>143</v>
      </c>
      <c r="S211" s="6"/>
      <c r="T211" s="6"/>
      <c r="U211" s="7">
        <v>1129</v>
      </c>
      <c r="V211" s="6"/>
      <c r="W211" s="7">
        <v>52477</v>
      </c>
      <c r="X211" s="6"/>
      <c r="Y211" s="7">
        <v>3152</v>
      </c>
      <c r="Z211" s="6"/>
      <c r="AA211" s="296">
        <f t="shared" si="18"/>
        <v>4600</v>
      </c>
      <c r="AB211" s="488"/>
      <c r="AJ211" s="1">
        <v>4600</v>
      </c>
    </row>
    <row r="212" spans="4:36" ht="16.2" thickBot="1" x14ac:dyDescent="0.35">
      <c r="D212" s="424"/>
      <c r="E212" s="707" t="s">
        <v>132</v>
      </c>
      <c r="F212" s="708"/>
      <c r="G212" s="708"/>
      <c r="H212" s="708"/>
      <c r="I212" s="708"/>
      <c r="J212" s="709"/>
      <c r="K212" s="425"/>
      <c r="L212" s="437" t="s">
        <v>10</v>
      </c>
      <c r="M212" s="426"/>
      <c r="N212" s="110"/>
      <c r="Q212" s="487"/>
      <c r="R212" s="6" t="s">
        <v>139</v>
      </c>
      <c r="S212" s="6"/>
      <c r="T212" s="6"/>
      <c r="U212" s="7">
        <v>1118</v>
      </c>
      <c r="V212" s="6"/>
      <c r="W212" s="7">
        <v>10889</v>
      </c>
      <c r="X212" s="6"/>
      <c r="Y212" s="7">
        <v>505</v>
      </c>
      <c r="Z212" s="6"/>
      <c r="AA212" s="296">
        <f t="shared" si="18"/>
        <v>980</v>
      </c>
      <c r="AB212" s="488"/>
      <c r="AJ212" s="1">
        <v>980</v>
      </c>
    </row>
    <row r="213" spans="4:36" x14ac:dyDescent="0.3">
      <c r="D213" s="403"/>
      <c r="E213" s="427" t="s">
        <v>88</v>
      </c>
      <c r="F213" s="16"/>
      <c r="G213" s="16"/>
      <c r="H213" s="16"/>
      <c r="I213" s="710">
        <f>+K81</f>
        <v>48675</v>
      </c>
      <c r="J213" s="710"/>
      <c r="K213" s="16"/>
      <c r="L213" s="60">
        <f>+I213/$I$213</f>
        <v>1</v>
      </c>
      <c r="M213" s="428"/>
      <c r="N213" s="110"/>
      <c r="Q213" s="487"/>
      <c r="R213" s="6" t="s">
        <v>140</v>
      </c>
      <c r="S213" s="6"/>
      <c r="T213" s="6"/>
      <c r="U213" s="7">
        <v>1093</v>
      </c>
      <c r="V213" s="6"/>
      <c r="W213" s="7">
        <v>138546</v>
      </c>
      <c r="X213" s="6"/>
      <c r="Y213" s="7">
        <v>6770</v>
      </c>
      <c r="Z213" s="6"/>
      <c r="AA213" s="296">
        <f t="shared" si="18"/>
        <v>12700</v>
      </c>
      <c r="AB213" s="488"/>
      <c r="AJ213" s="1">
        <v>12700</v>
      </c>
    </row>
    <row r="214" spans="4:36" x14ac:dyDescent="0.3">
      <c r="D214" s="403"/>
      <c r="E214" s="427"/>
      <c r="F214" s="16"/>
      <c r="G214" s="16"/>
      <c r="H214" s="16"/>
      <c r="I214" s="16"/>
      <c r="J214" s="16"/>
      <c r="K214" s="16"/>
      <c r="L214" s="16"/>
      <c r="M214" s="428"/>
      <c r="N214" s="110"/>
      <c r="Q214" s="487"/>
      <c r="R214" s="6" t="s">
        <v>141</v>
      </c>
      <c r="S214" s="6"/>
      <c r="T214" s="6"/>
      <c r="U214" s="490">
        <v>1081</v>
      </c>
      <c r="V214" s="6"/>
      <c r="W214" s="490">
        <v>65337</v>
      </c>
      <c r="X214" s="6"/>
      <c r="Y214" s="490">
        <v>3108</v>
      </c>
      <c r="Z214" s="6"/>
      <c r="AA214" s="491">
        <f t="shared" si="18"/>
        <v>6100</v>
      </c>
      <c r="AB214" s="488"/>
      <c r="AJ214" s="482">
        <v>6100</v>
      </c>
    </row>
    <row r="215" spans="4:36" x14ac:dyDescent="0.3">
      <c r="D215" s="415"/>
      <c r="E215" s="15"/>
      <c r="F215" s="429" t="s">
        <v>113</v>
      </c>
      <c r="G215" s="429"/>
      <c r="H215" s="15"/>
      <c r="I215" s="711">
        <f>+I81</f>
        <v>36684</v>
      </c>
      <c r="J215" s="712"/>
      <c r="K215" s="15"/>
      <c r="L215" s="60">
        <f>+I215/$I$213</f>
        <v>0.75365177195685673</v>
      </c>
      <c r="M215" s="408"/>
      <c r="N215" s="110"/>
      <c r="Q215" s="487"/>
      <c r="R215" s="5" t="s">
        <v>33</v>
      </c>
      <c r="S215" s="6"/>
      <c r="T215" s="6"/>
      <c r="U215" s="296">
        <f>+W215/(AA215/100)</f>
        <v>1545.0521632402579</v>
      </c>
      <c r="V215" s="6"/>
      <c r="W215" s="296">
        <f>SUM(W205:W214)</f>
        <v>1007065</v>
      </c>
      <c r="X215" s="6"/>
      <c r="Y215" s="296">
        <f>SUM(Y205:Y214)</f>
        <v>71545</v>
      </c>
      <c r="Z215" s="6"/>
      <c r="AA215" s="296">
        <f>SUM(AA205:AA214)</f>
        <v>65180</v>
      </c>
      <c r="AB215" s="488"/>
      <c r="AJ215" s="56">
        <f>SUM(AJ205:AJ214)</f>
        <v>65180</v>
      </c>
    </row>
    <row r="216" spans="4:36" x14ac:dyDescent="0.3">
      <c r="D216" s="415"/>
      <c r="E216" s="15"/>
      <c r="F216" s="15" t="s">
        <v>89</v>
      </c>
      <c r="G216" s="15"/>
      <c r="H216" s="15"/>
      <c r="I216" s="713">
        <f>+I75</f>
        <v>2144</v>
      </c>
      <c r="J216" s="714"/>
      <c r="K216" s="15"/>
      <c r="L216" s="60">
        <f>+I216/$I$213</f>
        <v>4.4047252182845401E-2</v>
      </c>
      <c r="M216" s="408"/>
      <c r="N216" s="110"/>
      <c r="Q216" s="487"/>
      <c r="R216" s="5"/>
      <c r="S216" s="6"/>
      <c r="T216" s="6"/>
      <c r="U216" s="6"/>
      <c r="V216" s="6"/>
      <c r="W216" s="296"/>
      <c r="X216" s="6"/>
      <c r="Y216" s="296"/>
      <c r="Z216" s="6"/>
      <c r="AA216" s="6"/>
      <c r="AB216" s="488"/>
      <c r="AJ216" s="56"/>
    </row>
    <row r="217" spans="4:36" ht="15" thickBot="1" x14ac:dyDescent="0.35">
      <c r="D217" s="415"/>
      <c r="E217" s="699" t="s">
        <v>114</v>
      </c>
      <c r="F217" s="699"/>
      <c r="G217" s="699"/>
      <c r="H217" s="15"/>
      <c r="I217" s="700">
        <f>+I213-I215-I216</f>
        <v>9847</v>
      </c>
      <c r="J217" s="701"/>
      <c r="K217" s="430"/>
      <c r="L217" s="431">
        <f>+I217/$I$213</f>
        <v>0.20230097586029788</v>
      </c>
      <c r="M217" s="408"/>
      <c r="N217" s="110"/>
      <c r="Q217" s="487"/>
      <c r="R217" s="5" t="s">
        <v>59</v>
      </c>
      <c r="S217" s="6"/>
      <c r="T217" s="6"/>
      <c r="U217" s="7">
        <v>7441</v>
      </c>
      <c r="V217" s="6"/>
      <c r="W217" s="7">
        <f>+'Main Table'!H106</f>
        <v>2465403</v>
      </c>
      <c r="X217" s="6"/>
      <c r="Y217" s="7">
        <f>+'Main Table'!AA106</f>
        <v>126977</v>
      </c>
      <c r="Z217" s="6"/>
      <c r="AA217" s="296">
        <v>331000</v>
      </c>
      <c r="AB217" s="488"/>
      <c r="AJ217" s="56">
        <v>333000</v>
      </c>
    </row>
    <row r="218" spans="4:36" ht="15.6" thickTop="1" thickBot="1" x14ac:dyDescent="0.35">
      <c r="D218" s="415"/>
      <c r="E218" s="432"/>
      <c r="F218" s="432"/>
      <c r="G218" s="432"/>
      <c r="H218" s="15"/>
      <c r="I218" s="433"/>
      <c r="J218" s="432"/>
      <c r="K218" s="430"/>
      <c r="L218" s="434"/>
      <c r="M218" s="408"/>
      <c r="N218" s="110"/>
      <c r="Q218" s="487"/>
      <c r="R218" s="5" t="s">
        <v>144</v>
      </c>
      <c r="S218" s="6"/>
      <c r="T218" s="6"/>
      <c r="U218" s="492"/>
      <c r="V218" s="6"/>
      <c r="W218" s="493">
        <f>+W215/W217</f>
        <v>0.40847885720914595</v>
      </c>
      <c r="X218" s="6"/>
      <c r="Y218" s="493">
        <f>+Y215/Y217</f>
        <v>0.56344849854698098</v>
      </c>
      <c r="Z218" s="6"/>
      <c r="AA218" s="493">
        <f>+AA215/AA217</f>
        <v>0.19691842900302114</v>
      </c>
      <c r="AB218" s="488"/>
      <c r="AJ218" s="483">
        <f>+AJ215/AJ217</f>
        <v>0.19573573573573574</v>
      </c>
    </row>
    <row r="219" spans="4:36" ht="15.6" thickTop="1" thickBot="1" x14ac:dyDescent="0.35">
      <c r="D219" s="435"/>
      <c r="E219" s="436"/>
      <c r="F219" s="436"/>
      <c r="G219" s="436"/>
      <c r="H219" s="436"/>
      <c r="I219" s="436"/>
      <c r="J219" s="436"/>
      <c r="K219" s="436"/>
      <c r="L219" s="436"/>
      <c r="M219" s="423"/>
      <c r="N219" s="110"/>
      <c r="Q219" s="494"/>
      <c r="R219" s="495"/>
      <c r="S219" s="495"/>
      <c r="T219" s="495"/>
      <c r="U219" s="495"/>
      <c r="V219" s="495"/>
      <c r="W219" s="495"/>
      <c r="X219" s="495"/>
      <c r="Y219" s="495"/>
      <c r="Z219" s="495"/>
      <c r="AA219" s="495"/>
      <c r="AB219" s="496"/>
    </row>
    <row r="223" spans="4:36" x14ac:dyDescent="0.3">
      <c r="F223" s="1">
        <v>1248371</v>
      </c>
    </row>
    <row r="224" spans="4:36" x14ac:dyDescent="0.3">
      <c r="W224" s="1"/>
    </row>
    <row r="225" spans="6:6" x14ac:dyDescent="0.3">
      <c r="F225">
        <v>700</v>
      </c>
    </row>
    <row r="226" spans="6:6" x14ac:dyDescent="0.3">
      <c r="F226" s="87">
        <f>+F225/F223</f>
        <v>5.6073074430597954E-4</v>
      </c>
    </row>
    <row r="228" spans="6:6" x14ac:dyDescent="0.3">
      <c r="F228" s="1">
        <v>60000</v>
      </c>
    </row>
    <row r="229" spans="6:6" x14ac:dyDescent="0.3">
      <c r="F229">
        <f>+F226*F228</f>
        <v>33.643844658358773</v>
      </c>
    </row>
    <row r="231" spans="6:6" x14ac:dyDescent="0.3">
      <c r="F231" s="1">
        <v>331000000</v>
      </c>
    </row>
    <row r="232" spans="6:6" x14ac:dyDescent="0.3">
      <c r="F232" s="56">
        <f>+W86</f>
        <v>811067</v>
      </c>
    </row>
    <row r="233" spans="6:6" x14ac:dyDescent="0.3">
      <c r="F233" s="57">
        <f>+F232/F231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217:G217"/>
    <mergeCell ref="I217:J217"/>
    <mergeCell ref="E203:M203"/>
    <mergeCell ref="I204:L204"/>
    <mergeCell ref="F206:G206"/>
    <mergeCell ref="E212:J212"/>
    <mergeCell ref="I213:J213"/>
    <mergeCell ref="I215:J215"/>
    <mergeCell ref="I216:J216"/>
    <mergeCell ref="H208:I208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95" t="s">
        <v>5</v>
      </c>
      <c r="C1" s="595"/>
      <c r="D1" s="595"/>
    </row>
    <row r="2" spans="2:31" ht="15.6" x14ac:dyDescent="0.3">
      <c r="B2" s="595" t="s">
        <v>6</v>
      </c>
      <c r="C2" s="595"/>
      <c r="D2" s="595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25" t="s">
        <v>23</v>
      </c>
      <c r="E12" s="726"/>
      <c r="F12" s="726"/>
      <c r="G12" s="726"/>
      <c r="H12" s="726"/>
      <c r="I12" s="726"/>
      <c r="J12" s="726"/>
      <c r="K12" s="726"/>
      <c r="L12" s="726"/>
      <c r="M12" s="726"/>
      <c r="N12" s="726"/>
      <c r="O12" s="726"/>
      <c r="P12" s="726"/>
      <c r="Q12" s="726"/>
      <c r="R12" s="726"/>
      <c r="S12" s="726"/>
      <c r="T12" s="726"/>
      <c r="U12" s="727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24" t="s">
        <v>62</v>
      </c>
      <c r="Z14" s="724"/>
      <c r="AA14" s="724"/>
      <c r="AB14" s="724"/>
      <c r="AC14" s="724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2020-08-27T12:00:07Z</cp:lastPrinted>
  <dcterms:created xsi:type="dcterms:W3CDTF">2020-03-28T00:34:23Z</dcterms:created>
  <dcterms:modified xsi:type="dcterms:W3CDTF">2020-11-02T02:34:12Z</dcterms:modified>
</cp:coreProperties>
</file>