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B1C5997B-6437-460F-BFC3-FBAB43FF590F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Table'!$A$1:$CJ$266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65" i="1" l="1"/>
  <c r="BJ265" i="1"/>
  <c r="BI265" i="1"/>
  <c r="BH265" i="1"/>
  <c r="BF265" i="1"/>
  <c r="BB265" i="1"/>
  <c r="AZ265" i="1"/>
  <c r="AU265" i="1"/>
  <c r="AT265" i="1"/>
  <c r="AS265" i="1"/>
  <c r="AM265" i="1"/>
  <c r="AL265" i="1"/>
  <c r="AK265" i="1"/>
  <c r="AJ265" i="1"/>
  <c r="AD265" i="1"/>
  <c r="AB265" i="1"/>
  <c r="Z265" i="1"/>
  <c r="W265" i="1"/>
  <c r="V265" i="1"/>
  <c r="U265" i="1"/>
  <c r="T265" i="1"/>
  <c r="R265" i="1"/>
  <c r="M265" i="1"/>
  <c r="L265" i="1"/>
  <c r="BQ264" i="1"/>
  <c r="BO264" i="1"/>
  <c r="BO265" i="1" s="1"/>
  <c r="BN264" i="1"/>
  <c r="BN265" i="1" s="1"/>
  <c r="BL264" i="1"/>
  <c r="BL265" i="1" s="1"/>
  <c r="BJ264" i="1"/>
  <c r="BI264" i="1"/>
  <c r="BH264" i="1"/>
  <c r="BF264" i="1"/>
  <c r="BD264" i="1"/>
  <c r="BD265" i="1" s="1"/>
  <c r="BC264" i="1"/>
  <c r="BC265" i="1" s="1"/>
  <c r="BB264" i="1"/>
  <c r="AZ264" i="1"/>
  <c r="AY264" i="1"/>
  <c r="AY265" i="1" s="1"/>
  <c r="AW264" i="1"/>
  <c r="AW265" i="1" s="1"/>
  <c r="AU264" i="1"/>
  <c r="AT264" i="1"/>
  <c r="AS264" i="1"/>
  <c r="AQ264" i="1"/>
  <c r="AQ265" i="1" s="1"/>
  <c r="AP264" i="1"/>
  <c r="AP265" i="1" s="1"/>
  <c r="AO264" i="1"/>
  <c r="AO265" i="1" s="1"/>
  <c r="AN264" i="1"/>
  <c r="AN265" i="1" s="1"/>
  <c r="AM264" i="1"/>
  <c r="AL264" i="1"/>
  <c r="AK264" i="1"/>
  <c r="AJ264" i="1"/>
  <c r="AF264" i="1"/>
  <c r="AF265" i="1" s="1"/>
  <c r="AD264" i="1"/>
  <c r="AB264" i="1"/>
  <c r="Z264" i="1"/>
  <c r="Y264" i="1"/>
  <c r="Y265" i="1" s="1"/>
  <c r="X264" i="1"/>
  <c r="X265" i="1" s="1"/>
  <c r="W264" i="1"/>
  <c r="V264" i="1"/>
  <c r="U264" i="1"/>
  <c r="T264" i="1"/>
  <c r="R264" i="1"/>
  <c r="P264" i="1"/>
  <c r="P265" i="1" s="1"/>
  <c r="N264" i="1"/>
  <c r="N265" i="1" s="1"/>
  <c r="M264" i="1"/>
  <c r="L264" i="1"/>
  <c r="K264" i="1"/>
  <c r="K265" i="1" s="1"/>
  <c r="I264" i="1"/>
  <c r="I265" i="1" s="1"/>
  <c r="D265" i="1"/>
  <c r="D264" i="1"/>
  <c r="BW257" i="1"/>
  <c r="BN257" i="1" s="1"/>
  <c r="BE257" i="1"/>
  <c r="BA257" i="1"/>
  <c r="BK257" i="1" s="1"/>
  <c r="BK264" i="1" s="1"/>
  <c r="BK265" i="1" s="1"/>
  <c r="AX257" i="1"/>
  <c r="AX264" i="1" s="1"/>
  <c r="AX265" i="1" s="1"/>
  <c r="AL257" i="1"/>
  <c r="AR257" i="1" s="1"/>
  <c r="AR264" i="1" s="1"/>
  <c r="AR265" i="1" s="1"/>
  <c r="AG257" i="1"/>
  <c r="AI257" i="1" s="1"/>
  <c r="AI264" i="1" s="1"/>
  <c r="AI265" i="1" s="1"/>
  <c r="AA257" i="1"/>
  <c r="AE257" i="1" s="1"/>
  <c r="AE264" i="1" s="1"/>
  <c r="AE265" i="1" s="1"/>
  <c r="V257" i="1"/>
  <c r="S257" i="1"/>
  <c r="S264" i="1" s="1"/>
  <c r="S265" i="1" s="1"/>
  <c r="Q257" i="1"/>
  <c r="Q264" i="1" s="1"/>
  <c r="Q265" i="1" s="1"/>
  <c r="N257" i="1"/>
  <c r="J257" i="1"/>
  <c r="J264" i="1" s="1"/>
  <c r="J265" i="1" s="1"/>
  <c r="H257" i="1"/>
  <c r="O257" i="1" s="1"/>
  <c r="O264" i="1" s="1"/>
  <c r="O265" i="1" s="1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E264" i="2"/>
  <c r="S258" i="2"/>
  <c r="W258" i="2"/>
  <c r="K258" i="2"/>
  <c r="Q258" i="2" s="1"/>
  <c r="I20" i="3"/>
  <c r="BW256" i="1"/>
  <c r="AX256" i="1" s="1"/>
  <c r="BN256" i="1"/>
  <c r="BE256" i="1"/>
  <c r="BP256" i="1" s="1"/>
  <c r="BR256" i="1" s="1"/>
  <c r="BA256" i="1"/>
  <c r="AL256" i="1"/>
  <c r="AR256" i="1" s="1"/>
  <c r="AG256" i="1"/>
  <c r="AI256" i="1" s="1"/>
  <c r="AA256" i="1"/>
  <c r="AE256" i="1" s="1"/>
  <c r="V256" i="1"/>
  <c r="Q256" i="1"/>
  <c r="N256" i="1"/>
  <c r="J256" i="1"/>
  <c r="H256" i="1"/>
  <c r="AV256" i="1" s="1"/>
  <c r="S257" i="2"/>
  <c r="S256" i="2"/>
  <c r="W257" i="2"/>
  <c r="K257" i="2"/>
  <c r="Q257" i="2" s="1"/>
  <c r="BW255" i="1"/>
  <c r="BN255" i="1" s="1"/>
  <c r="BE255" i="1"/>
  <c r="BA255" i="1"/>
  <c r="BK255" i="1" s="1"/>
  <c r="AX255" i="1"/>
  <c r="AL255" i="1"/>
  <c r="AR255" i="1" s="1"/>
  <c r="AG255" i="1"/>
  <c r="AI255" i="1" s="1"/>
  <c r="AA255" i="1"/>
  <c r="AE255" i="1" s="1"/>
  <c r="V255" i="1"/>
  <c r="Q255" i="1"/>
  <c r="N255" i="1"/>
  <c r="J255" i="1"/>
  <c r="H255" i="1"/>
  <c r="O255" i="1" s="1"/>
  <c r="W256" i="2"/>
  <c r="K256" i="2"/>
  <c r="BA264" i="1" l="1"/>
  <c r="BA265" i="1" s="1"/>
  <c r="BG257" i="1"/>
  <c r="BG264" i="1" s="1"/>
  <c r="BG265" i="1" s="1"/>
  <c r="AG264" i="1"/>
  <c r="AG265" i="1" s="1"/>
  <c r="AA264" i="1"/>
  <c r="AA265" i="1" s="1"/>
  <c r="BP257" i="1"/>
  <c r="AH257" i="1"/>
  <c r="AH264" i="1" s="1"/>
  <c r="H264" i="1"/>
  <c r="H265" i="1" s="1"/>
  <c r="BE264" i="1"/>
  <c r="BE265" i="1" s="1"/>
  <c r="AV257" i="1"/>
  <c r="AV264" i="1" s="1"/>
  <c r="AV265" i="1" s="1"/>
  <c r="BM257" i="1"/>
  <c r="BM264" i="1" s="1"/>
  <c r="BM265" i="1" s="1"/>
  <c r="AC257" i="1"/>
  <c r="AC264" i="1" s="1"/>
  <c r="AC265" i="1" s="1"/>
  <c r="U258" i="2"/>
  <c r="M258" i="2"/>
  <c r="BK256" i="1"/>
  <c r="O256" i="1"/>
  <c r="AH256" i="1"/>
  <c r="AH265" i="1" s="1"/>
  <c r="BG256" i="1"/>
  <c r="S256" i="1"/>
  <c r="AC256" i="1"/>
  <c r="U256" i="2"/>
  <c r="U257" i="2"/>
  <c r="M257" i="2"/>
  <c r="BM255" i="1"/>
  <c r="BG255" i="1"/>
  <c r="S255" i="1"/>
  <c r="BP255" i="1"/>
  <c r="BR255" i="1" s="1"/>
  <c r="AV255" i="1"/>
  <c r="AC255" i="1"/>
  <c r="M256" i="2"/>
  <c r="Q256" i="2"/>
  <c r="BW254" i="1"/>
  <c r="BP254" i="1"/>
  <c r="BR254" i="1" s="1"/>
  <c r="BN254" i="1"/>
  <c r="BE254" i="1"/>
  <c r="BA254" i="1"/>
  <c r="BK254" i="1" s="1"/>
  <c r="AX254" i="1"/>
  <c r="AL254" i="1"/>
  <c r="AR254" i="1" s="1"/>
  <c r="AG254" i="1"/>
  <c r="AI254" i="1" s="1"/>
  <c r="AA254" i="1"/>
  <c r="AE254" i="1" s="1"/>
  <c r="V254" i="1"/>
  <c r="Q254" i="1"/>
  <c r="S254" i="1" s="1"/>
  <c r="N254" i="1"/>
  <c r="J254" i="1"/>
  <c r="H254" i="1"/>
  <c r="O254" i="1" s="1"/>
  <c r="W255" i="2"/>
  <c r="S255" i="2"/>
  <c r="K255" i="2"/>
  <c r="M255" i="2" s="1"/>
  <c r="W254" i="2"/>
  <c r="S254" i="2"/>
  <c r="U254" i="2" s="1"/>
  <c r="M254" i="2"/>
  <c r="K254" i="2"/>
  <c r="Q254" i="2" s="1"/>
  <c r="BR257" i="1" l="1"/>
  <c r="BR264" i="1" s="1"/>
  <c r="BR265" i="1" s="1"/>
  <c r="BP264" i="1"/>
  <c r="BP265" i="1" s="1"/>
  <c r="BM256" i="1"/>
  <c r="AH255" i="1"/>
  <c r="BG254" i="1"/>
  <c r="AV254" i="1"/>
  <c r="BM254" i="1"/>
  <c r="AC254" i="1"/>
  <c r="U255" i="2"/>
  <c r="Q255" i="2"/>
  <c r="AA208" i="3"/>
  <c r="AH254" i="1" l="1"/>
  <c r="BW253" i="1"/>
  <c r="BN253" i="1"/>
  <c r="BE253" i="1"/>
  <c r="BA253" i="1"/>
  <c r="BK253" i="1" s="1"/>
  <c r="AX253" i="1"/>
  <c r="AL253" i="1"/>
  <c r="AG253" i="1"/>
  <c r="AI253" i="1" s="1"/>
  <c r="AA253" i="1"/>
  <c r="V253" i="1"/>
  <c r="Q253" i="1"/>
  <c r="N253" i="1"/>
  <c r="J253" i="1"/>
  <c r="H253" i="1"/>
  <c r="O253" i="1" s="1"/>
  <c r="W253" i="2"/>
  <c r="W259" i="2" s="1"/>
  <c r="W260" i="2" s="1"/>
  <c r="W261" i="2" s="1"/>
  <c r="S253" i="2"/>
  <c r="K253" i="2"/>
  <c r="Q253" i="2" s="1"/>
  <c r="C253" i="2"/>
  <c r="C254" i="2" s="1"/>
  <c r="C255" i="2" s="1"/>
  <c r="C256" i="2" s="1"/>
  <c r="C257" i="2" s="1"/>
  <c r="C258" i="2" s="1"/>
  <c r="C259" i="2" s="1"/>
  <c r="C260" i="2" s="1"/>
  <c r="C261" i="2" s="1"/>
  <c r="BM253" i="1" l="1"/>
  <c r="BG253" i="1"/>
  <c r="AR253" i="1"/>
  <c r="AV253" i="1"/>
  <c r="AC253" i="1"/>
  <c r="BP253" i="1"/>
  <c r="AE253" i="1"/>
  <c r="S253" i="1"/>
  <c r="U253" i="2"/>
  <c r="M253" i="2"/>
  <c r="AH253" i="1"/>
  <c r="BW252" i="1"/>
  <c r="AX252" i="1" s="1"/>
  <c r="BE252" i="1"/>
  <c r="BA252" i="1"/>
  <c r="BK252" i="1" s="1"/>
  <c r="AL252" i="1"/>
  <c r="AG252" i="1"/>
  <c r="AI252" i="1" s="1"/>
  <c r="AA252" i="1"/>
  <c r="AE252" i="1" s="1"/>
  <c r="V252" i="1"/>
  <c r="Q252" i="1"/>
  <c r="N252" i="1"/>
  <c r="J252" i="1"/>
  <c r="H252" i="1"/>
  <c r="AV252" i="1" s="1"/>
  <c r="B252" i="1"/>
  <c r="B253" i="1" s="1"/>
  <c r="B254" i="1" s="1"/>
  <c r="B255" i="1" s="1"/>
  <c r="B256" i="1" s="1"/>
  <c r="B257" i="1" s="1"/>
  <c r="B258" i="1" s="1"/>
  <c r="B259" i="1" s="1"/>
  <c r="B260" i="1" s="1"/>
  <c r="B261" i="1" s="1"/>
  <c r="S252" i="2"/>
  <c r="K252" i="2"/>
  <c r="Q252" i="2" s="1"/>
  <c r="BR253" i="1" l="1"/>
  <c r="BG252" i="1"/>
  <c r="AR252" i="1"/>
  <c r="AC252" i="1"/>
  <c r="BM252" i="1"/>
  <c r="O252" i="1"/>
  <c r="S252" i="1"/>
  <c r="BP252" i="1"/>
  <c r="BN252" i="1"/>
  <c r="U252" i="2"/>
  <c r="M252" i="2"/>
  <c r="AH252" i="1"/>
  <c r="BK251" i="1"/>
  <c r="BE251" i="1"/>
  <c r="BA251" i="1"/>
  <c r="AL251" i="1"/>
  <c r="AR251" i="1" s="1"/>
  <c r="AG251" i="1"/>
  <c r="AI251" i="1" s="1"/>
  <c r="Q251" i="1"/>
  <c r="S251" i="1" s="1"/>
  <c r="N251" i="1"/>
  <c r="S251" i="2"/>
  <c r="U206" i="3"/>
  <c r="U207" i="3" s="1"/>
  <c r="U208" i="3" s="1"/>
  <c r="U209" i="3" s="1"/>
  <c r="U210" i="3" s="1"/>
  <c r="U211" i="3" s="1"/>
  <c r="U212" i="3" s="1"/>
  <c r="U213" i="3" s="1"/>
  <c r="BE250" i="1"/>
  <c r="BG250" i="1" s="1"/>
  <c r="BA250" i="1"/>
  <c r="BK250" i="1" s="1"/>
  <c r="AL250" i="1"/>
  <c r="AR250" i="1" s="1"/>
  <c r="AG250" i="1"/>
  <c r="AI250" i="1" s="1"/>
  <c r="Q250" i="1"/>
  <c r="S250" i="1" s="1"/>
  <c r="N250" i="1"/>
  <c r="K251" i="2"/>
  <c r="M251" i="2" s="1"/>
  <c r="BR252" i="1" l="1"/>
  <c r="AH251" i="1"/>
  <c r="BM251" i="1"/>
  <c r="BG251" i="1"/>
  <c r="BM250" i="1"/>
  <c r="U251" i="2"/>
  <c r="Q251" i="2"/>
  <c r="AH250" i="1"/>
  <c r="AH249" i="1"/>
  <c r="BE249" i="1"/>
  <c r="BA249" i="1"/>
  <c r="BK249" i="1" s="1"/>
  <c r="AL249" i="1"/>
  <c r="AR249" i="1" s="1"/>
  <c r="AG249" i="1"/>
  <c r="AI249" i="1" s="1"/>
  <c r="Q249" i="1"/>
  <c r="BM249" i="1" s="1"/>
  <c r="N249" i="1"/>
  <c r="S250" i="2"/>
  <c r="K250" i="2"/>
  <c r="Q250" i="2" s="1"/>
  <c r="BS264" i="1"/>
  <c r="BS265" i="1" s="1"/>
  <c r="BE248" i="1"/>
  <c r="BA248" i="1"/>
  <c r="BK248" i="1" s="1"/>
  <c r="AL248" i="1"/>
  <c r="AR248" i="1" s="1"/>
  <c r="AG248" i="1"/>
  <c r="AI248" i="1" s="1"/>
  <c r="Q248" i="1"/>
  <c r="N248" i="1"/>
  <c r="S249" i="2"/>
  <c r="K249" i="2"/>
  <c r="M249" i="2" s="1"/>
  <c r="BG249" i="1" l="1"/>
  <c r="S249" i="1"/>
  <c r="U250" i="2"/>
  <c r="M250" i="2"/>
  <c r="BG248" i="1"/>
  <c r="BM248" i="1"/>
  <c r="S248" i="1"/>
  <c r="U249" i="2"/>
  <c r="Q249" i="2"/>
  <c r="AH248" i="1"/>
  <c r="BK247" i="1"/>
  <c r="BE247" i="1"/>
  <c r="BA247" i="1"/>
  <c r="AL247" i="1"/>
  <c r="AR247" i="1" s="1"/>
  <c r="AG247" i="1"/>
  <c r="AI247" i="1" s="1"/>
  <c r="Q247" i="1"/>
  <c r="N247" i="1"/>
  <c r="S248" i="2"/>
  <c r="K248" i="2"/>
  <c r="M248" i="2" s="1"/>
  <c r="BM247" i="1" l="1"/>
  <c r="BG247" i="1"/>
  <c r="S247" i="1"/>
  <c r="U248" i="2"/>
  <c r="Q248" i="2"/>
  <c r="AH247" i="1"/>
  <c r="BE246" i="1"/>
  <c r="BA246" i="1"/>
  <c r="BK246" i="1" s="1"/>
  <c r="AL246" i="1"/>
  <c r="AR246" i="1" s="1"/>
  <c r="AG246" i="1"/>
  <c r="AI246" i="1" s="1"/>
  <c r="Q246" i="1"/>
  <c r="N246" i="1"/>
  <c r="S247" i="2"/>
  <c r="K247" i="2"/>
  <c r="Q247" i="2" s="1"/>
  <c r="BE245" i="1"/>
  <c r="BA245" i="1"/>
  <c r="BK245" i="1" s="1"/>
  <c r="AL245" i="1"/>
  <c r="AR245" i="1" s="1"/>
  <c r="AG245" i="1"/>
  <c r="AI245" i="1" s="1"/>
  <c r="Q245" i="1"/>
  <c r="N245" i="1"/>
  <c r="S246" i="2"/>
  <c r="K246" i="2"/>
  <c r="U246" i="2" s="1"/>
  <c r="AH246" i="1" l="1"/>
  <c r="BM246" i="1"/>
  <c r="BG246" i="1"/>
  <c r="S246" i="1"/>
  <c r="U247" i="2"/>
  <c r="M247" i="2"/>
  <c r="BM245" i="1"/>
  <c r="BG245" i="1"/>
  <c r="S245" i="1"/>
  <c r="M246" i="2"/>
  <c r="Q246" i="2"/>
  <c r="AR285" i="1"/>
  <c r="S245" i="2"/>
  <c r="AH245" i="1" l="1"/>
  <c r="BE244" i="1"/>
  <c r="BA244" i="1"/>
  <c r="BK244" i="1" s="1"/>
  <c r="AL244" i="1"/>
  <c r="AR244" i="1" s="1"/>
  <c r="AG244" i="1"/>
  <c r="AI244" i="1" s="1"/>
  <c r="Q244" i="1"/>
  <c r="S244" i="1" s="1"/>
  <c r="N244" i="1"/>
  <c r="K245" i="2"/>
  <c r="Q245" i="2" s="1"/>
  <c r="BG244" i="1" l="1"/>
  <c r="BM244" i="1"/>
  <c r="U245" i="2"/>
  <c r="M245" i="2"/>
  <c r="N235" i="1"/>
  <c r="AI270" i="1"/>
  <c r="AA267" i="1"/>
  <c r="AA268" i="1"/>
  <c r="W268" i="1"/>
  <c r="W267" i="1"/>
  <c r="AH244" i="1"/>
  <c r="BE243" i="1"/>
  <c r="BA243" i="1"/>
  <c r="BK243" i="1" s="1"/>
  <c r="AL243" i="1"/>
  <c r="AR243" i="1" s="1"/>
  <c r="AG243" i="1"/>
  <c r="AI243" i="1" s="1"/>
  <c r="Q243" i="1"/>
  <c r="N243" i="1"/>
  <c r="S244" i="2"/>
  <c r="K244" i="2"/>
  <c r="Q244" i="2" s="1"/>
  <c r="BG243" i="1" l="1"/>
  <c r="BM243" i="1"/>
  <c r="U244" i="2"/>
  <c r="M244" i="2"/>
  <c r="BE242" i="1" l="1"/>
  <c r="BA242" i="1"/>
  <c r="BK242" i="1" s="1"/>
  <c r="AL242" i="1"/>
  <c r="AR242" i="1" s="1"/>
  <c r="AG242" i="1"/>
  <c r="AI242" i="1" s="1"/>
  <c r="Q242" i="1"/>
  <c r="N242" i="1"/>
  <c r="S243" i="2"/>
  <c r="K243" i="2"/>
  <c r="Q243" i="2" s="1"/>
  <c r="AH243" i="1"/>
  <c r="BE241" i="1"/>
  <c r="BA241" i="1"/>
  <c r="BK241" i="1" s="1"/>
  <c r="AL241" i="1"/>
  <c r="AR241" i="1" s="1"/>
  <c r="AG241" i="1"/>
  <c r="AI241" i="1" s="1"/>
  <c r="Q241" i="1"/>
  <c r="N241" i="1"/>
  <c r="S242" i="2"/>
  <c r="K242" i="2"/>
  <c r="Q242" i="2" s="1"/>
  <c r="AH242" i="1" l="1"/>
  <c r="BG242" i="1"/>
  <c r="BM242" i="1"/>
  <c r="U243" i="2"/>
  <c r="M243" i="2"/>
  <c r="AH241" i="1"/>
  <c r="BG241" i="1"/>
  <c r="BM241" i="1"/>
  <c r="U242" i="2"/>
  <c r="M242" i="2"/>
  <c r="BE240" i="1"/>
  <c r="BA240" i="1"/>
  <c r="BK240" i="1" s="1"/>
  <c r="AL240" i="1"/>
  <c r="AG240" i="1"/>
  <c r="AI240" i="1" s="1"/>
  <c r="Q240" i="1"/>
  <c r="N240" i="1"/>
  <c r="S241" i="2"/>
  <c r="K241" i="2"/>
  <c r="Q241" i="2" s="1"/>
  <c r="BE239" i="1"/>
  <c r="BA239" i="1"/>
  <c r="BK239" i="1" s="1"/>
  <c r="AL239" i="1"/>
  <c r="AR239" i="1" s="1"/>
  <c r="AG239" i="1"/>
  <c r="AI239" i="1" s="1"/>
  <c r="Q239" i="1"/>
  <c r="N239" i="1"/>
  <c r="S240" i="2"/>
  <c r="K240" i="2"/>
  <c r="Q240" i="2" s="1"/>
  <c r="G265" i="1"/>
  <c r="G264" i="1"/>
  <c r="F264" i="1"/>
  <c r="F265" i="1" s="1"/>
  <c r="E264" i="1"/>
  <c r="E265" i="1" s="1"/>
  <c r="BE238" i="1"/>
  <c r="BA238" i="1"/>
  <c r="BK238" i="1" s="1"/>
  <c r="AL238" i="1"/>
  <c r="AR238" i="1" s="1"/>
  <c r="AG238" i="1"/>
  <c r="AI238" i="1" s="1"/>
  <c r="Q238" i="1"/>
  <c r="N238" i="1"/>
  <c r="S239" i="2"/>
  <c r="K239" i="2"/>
  <c r="Q239" i="2" s="1"/>
  <c r="AR240" i="1" l="1"/>
  <c r="AH240" i="1"/>
  <c r="BM240" i="1"/>
  <c r="BG240" i="1"/>
  <c r="U241" i="2"/>
  <c r="M241" i="2"/>
  <c r="BM239" i="1"/>
  <c r="AH239" i="1"/>
  <c r="BG239" i="1"/>
  <c r="U240" i="2"/>
  <c r="M240" i="2"/>
  <c r="BG238" i="1"/>
  <c r="BM238" i="1"/>
  <c r="U239" i="2"/>
  <c r="M239" i="2"/>
  <c r="AH238" i="1"/>
  <c r="BE237" i="1" l="1"/>
  <c r="BA237" i="1"/>
  <c r="BK237" i="1" s="1"/>
  <c r="AL237" i="1"/>
  <c r="AR237" i="1" s="1"/>
  <c r="AG237" i="1"/>
  <c r="AI237" i="1" s="1"/>
  <c r="Q237" i="1"/>
  <c r="N237" i="1"/>
  <c r="S238" i="2"/>
  <c r="K238" i="2"/>
  <c r="Q238" i="2" s="1"/>
  <c r="BM237" i="1" l="1"/>
  <c r="BG237" i="1"/>
  <c r="U238" i="2"/>
  <c r="M238" i="2"/>
  <c r="AR288" i="1"/>
  <c r="Q236" i="1" l="1"/>
  <c r="S243" i="1" s="1"/>
  <c r="Q235" i="1"/>
  <c r="Q234" i="1"/>
  <c r="Q233" i="1"/>
  <c r="Q232" i="1"/>
  <c r="Q231" i="1"/>
  <c r="Q230" i="1"/>
  <c r="Q229" i="1"/>
  <c r="S229" i="1" s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S198" i="1" s="1"/>
  <c r="Q197" i="1"/>
  <c r="S197" i="1" s="1"/>
  <c r="Q196" i="1"/>
  <c r="Q195" i="1"/>
  <c r="Q194" i="1"/>
  <c r="Q193" i="1"/>
  <c r="S193" i="1" s="1"/>
  <c r="Q192" i="1"/>
  <c r="S192" i="1" s="1"/>
  <c r="Q191" i="1"/>
  <c r="S191" i="1" s="1"/>
  <c r="Q190" i="1"/>
  <c r="S190" i="1" s="1"/>
  <c r="Q189" i="1"/>
  <c r="Q188" i="1"/>
  <c r="Q187" i="1"/>
  <c r="S207" i="1" l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AH237" i="1"/>
  <c r="BK236" i="1"/>
  <c r="BM236" i="1" s="1"/>
  <c r="BE236" i="1"/>
  <c r="BA236" i="1"/>
  <c r="AL236" i="1"/>
  <c r="AR236" i="1" s="1"/>
  <c r="AG236" i="1"/>
  <c r="N236" i="1"/>
  <c r="S237" i="2"/>
  <c r="K237" i="2"/>
  <c r="Q237" i="2" s="1"/>
  <c r="AH236" i="1" l="1"/>
  <c r="BG236" i="1"/>
  <c r="U237" i="2"/>
  <c r="M237" i="2"/>
  <c r="BE235" i="1"/>
  <c r="BA235" i="1"/>
  <c r="AL235" i="1"/>
  <c r="AR235" i="1" s="1"/>
  <c r="AH235" i="1"/>
  <c r="AG235" i="1"/>
  <c r="S236" i="2"/>
  <c r="U236" i="2"/>
  <c r="K236" i="2"/>
  <c r="Q236" i="2" s="1"/>
  <c r="BE234" i="1"/>
  <c r="BA234" i="1"/>
  <c r="AL234" i="1"/>
  <c r="AR234" i="1" s="1"/>
  <c r="AG234" i="1"/>
  <c r="N234" i="1"/>
  <c r="S235" i="2"/>
  <c r="K235" i="2"/>
  <c r="M235" i="2" s="1"/>
  <c r="BG235" i="1" l="1"/>
  <c r="M236" i="2"/>
  <c r="BG234" i="1"/>
  <c r="U235" i="2"/>
  <c r="Q235" i="2"/>
  <c r="AH234" i="1" l="1"/>
  <c r="BE233" i="1"/>
  <c r="BA233" i="1"/>
  <c r="AL233" i="1"/>
  <c r="AR233" i="1" s="1"/>
  <c r="AG233" i="1"/>
  <c r="N233" i="1"/>
  <c r="S234" i="2"/>
  <c r="K234" i="2"/>
  <c r="M234" i="2" s="1"/>
  <c r="BG233" i="1" l="1"/>
  <c r="Q234" i="2"/>
  <c r="U234" i="2"/>
  <c r="AH233" i="1"/>
  <c r="BE232" i="1"/>
  <c r="BG232" i="1" s="1"/>
  <c r="BA232" i="1"/>
  <c r="AL232" i="1"/>
  <c r="AR232" i="1" s="1"/>
  <c r="AG232" i="1"/>
  <c r="N232" i="1"/>
  <c r="S233" i="2"/>
  <c r="K233" i="2"/>
  <c r="Q233" i="2" s="1"/>
  <c r="U233" i="2" l="1"/>
  <c r="M233" i="2"/>
  <c r="AH232" i="1"/>
  <c r="BE231" i="1"/>
  <c r="BG231" i="1" s="1"/>
  <c r="BA231" i="1"/>
  <c r="AL231" i="1"/>
  <c r="AR231" i="1" s="1"/>
  <c r="AG231" i="1"/>
  <c r="N231" i="1"/>
  <c r="S232" i="2"/>
  <c r="K232" i="2"/>
  <c r="Q232" i="2" s="1"/>
  <c r="U232" i="2" l="1"/>
  <c r="M232" i="2"/>
  <c r="AP285" i="1" l="1"/>
  <c r="AR284" i="1"/>
  <c r="AV284" i="1" s="1"/>
  <c r="AP284" i="1"/>
  <c r="AR283" i="1"/>
  <c r="AV283" i="1" s="1"/>
  <c r="AP283" i="1"/>
  <c r="AV285" i="1" l="1"/>
  <c r="BA285" i="1" s="1"/>
  <c r="BA286" i="1" s="1"/>
  <c r="AH231" i="1"/>
  <c r="BE230" i="1"/>
  <c r="BA230" i="1"/>
  <c r="AL230" i="1"/>
  <c r="AR230" i="1" s="1"/>
  <c r="AG230" i="1"/>
  <c r="N230" i="1"/>
  <c r="S231" i="2"/>
  <c r="K231" i="2"/>
  <c r="Q231" i="2" s="1"/>
  <c r="BG230" i="1" l="1"/>
  <c r="U231" i="2"/>
  <c r="M231" i="2"/>
  <c r="S230" i="2"/>
  <c r="BE229" i="1" l="1"/>
  <c r="BA229" i="1"/>
  <c r="BK235" i="1" s="1"/>
  <c r="BM235" i="1" s="1"/>
  <c r="AL229" i="1"/>
  <c r="AG229" i="1"/>
  <c r="AI236" i="1" s="1"/>
  <c r="N229" i="1"/>
  <c r="K230" i="2"/>
  <c r="Q230" i="2" s="1"/>
  <c r="AR229" i="1" l="1"/>
  <c r="BG229" i="1"/>
  <c r="U230" i="2"/>
  <c r="M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M229" i="2" s="1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Q227" i="2" s="1"/>
  <c r="BK233" i="1" l="1"/>
  <c r="BM233" i="1" s="1"/>
  <c r="BK232" i="1"/>
  <c r="BM232" i="1" s="1"/>
  <c r="BG228" i="1"/>
  <c r="U229" i="2"/>
  <c r="Q229" i="2"/>
  <c r="BG227" i="1"/>
  <c r="U228" i="2"/>
  <c r="M228" i="2"/>
  <c r="BG226" i="1"/>
  <c r="U227" i="2"/>
  <c r="M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6" i="2" s="1"/>
  <c r="BG225" i="1" l="1"/>
  <c r="Q226" i="2"/>
  <c r="U226" i="2"/>
  <c r="BE224" i="1"/>
  <c r="BA224" i="1"/>
  <c r="BK230" i="1" s="1"/>
  <c r="AL224" i="1"/>
  <c r="AR224" i="1" s="1"/>
  <c r="AG224" i="1"/>
  <c r="AI231" i="1" s="1"/>
  <c r="N224" i="1"/>
  <c r="S225" i="2"/>
  <c r="K225" i="2"/>
  <c r="M225" i="2" s="1"/>
  <c r="BM230" i="1" l="1"/>
  <c r="BG224" i="1"/>
  <c r="U225" i="2"/>
  <c r="Q225" i="2"/>
  <c r="S224" i="2"/>
  <c r="K224" i="2"/>
  <c r="Q224" i="2" s="1"/>
  <c r="BE223" i="1"/>
  <c r="BA223" i="1"/>
  <c r="BK229" i="1" s="1"/>
  <c r="BM229" i="1" s="1"/>
  <c r="AL223" i="1"/>
  <c r="AR223" i="1" s="1"/>
  <c r="AG223" i="1"/>
  <c r="AI230" i="1" s="1"/>
  <c r="N223" i="1"/>
  <c r="U224" i="2" l="1"/>
  <c r="M224" i="2"/>
  <c r="BG223" i="1"/>
  <c r="BE222" i="1" l="1"/>
  <c r="BA222" i="1"/>
  <c r="AL222" i="1"/>
  <c r="AR222" i="1" s="1"/>
  <c r="AG222" i="1"/>
  <c r="N222" i="1"/>
  <c r="S223" i="2"/>
  <c r="K223" i="2"/>
  <c r="Q223" i="2" s="1"/>
  <c r="BK228" i="1" l="1"/>
  <c r="BM228" i="1" s="1"/>
  <c r="AI229" i="1"/>
  <c r="BG222" i="1"/>
  <c r="U223" i="2"/>
  <c r="M223" i="2"/>
  <c r="BE221" i="1" l="1"/>
  <c r="BA221" i="1"/>
  <c r="BK227" i="1" s="1"/>
  <c r="BM227" i="1" s="1"/>
  <c r="AL221" i="1"/>
  <c r="AR221" i="1" s="1"/>
  <c r="AG221" i="1"/>
  <c r="N221" i="1"/>
  <c r="S222" i="2"/>
  <c r="K222" i="2"/>
  <c r="M222" i="2" s="1"/>
  <c r="AI228" i="1" l="1"/>
  <c r="BG221" i="1"/>
  <c r="U222" i="2"/>
  <c r="Q222" i="2"/>
  <c r="BE220" i="1" l="1"/>
  <c r="BA220" i="1"/>
  <c r="AL220" i="1"/>
  <c r="AR220" i="1" s="1"/>
  <c r="AG220" i="1"/>
  <c r="N220" i="1"/>
  <c r="S221" i="2"/>
  <c r="U221" i="2"/>
  <c r="K221" i="2"/>
  <c r="M221" i="2" s="1"/>
  <c r="BK226" i="1" l="1"/>
  <c r="BM226" i="1" s="1"/>
  <c r="AI227" i="1"/>
  <c r="BG220" i="1"/>
  <c r="Q221" i="2"/>
  <c r="BE219" i="1"/>
  <c r="BA219" i="1"/>
  <c r="AL219" i="1"/>
  <c r="AR219" i="1" s="1"/>
  <c r="AG219" i="1"/>
  <c r="AI226" i="1" s="1"/>
  <c r="N219" i="1"/>
  <c r="S220" i="2"/>
  <c r="K220" i="2"/>
  <c r="Q220" i="2" s="1"/>
  <c r="BK225" i="1" l="1"/>
  <c r="BM225" i="1" s="1"/>
  <c r="BG219" i="1"/>
  <c r="U220" i="2"/>
  <c r="M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19" i="2" s="1"/>
  <c r="BG218" i="1" l="1"/>
  <c r="U219" i="2"/>
  <c r="M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8" i="2" s="1"/>
  <c r="BG217" i="1" l="1"/>
  <c r="U218" i="2"/>
  <c r="M218" i="2"/>
  <c r="BE216" i="1"/>
  <c r="S217" i="2"/>
  <c r="BA329" i="1"/>
  <c r="N214" i="1"/>
  <c r="N204" i="1"/>
  <c r="BA328" i="1" s="1"/>
  <c r="BC328" i="1" s="1"/>
  <c r="BE328" i="1" s="1"/>
  <c r="N174" i="1"/>
  <c r="BA327" i="1" s="1"/>
  <c r="N112" i="1"/>
  <c r="BA216" i="1"/>
  <c r="BK222" i="1" s="1"/>
  <c r="BM222" i="1" s="1"/>
  <c r="AL216" i="1"/>
  <c r="AR216" i="1" s="1"/>
  <c r="AG216" i="1"/>
  <c r="AI223" i="1" s="1"/>
  <c r="N216" i="1"/>
  <c r="K217" i="2"/>
  <c r="M217" i="2" s="1"/>
  <c r="BC329" i="1" l="1"/>
  <c r="BE329" i="1" s="1"/>
  <c r="BG216" i="1"/>
  <c r="U217" i="2"/>
  <c r="Q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6" i="2" s="1"/>
  <c r="BG215" i="1" l="1"/>
  <c r="U216" i="2"/>
  <c r="Q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BK219" i="1" l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M209" i="2"/>
  <c r="K208" i="2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297" i="1"/>
  <c r="H297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316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V264" i="2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Q198" i="2"/>
  <c r="S197" i="2"/>
  <c r="K197" i="2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Q195" i="2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6" i="2" l="1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269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N186" i="1"/>
  <c r="S187" i="2"/>
  <c r="K187" i="2"/>
  <c r="BE185" i="1"/>
  <c r="BA185" i="1"/>
  <c r="AL185" i="1"/>
  <c r="AR185" i="1" s="1"/>
  <c r="AG185" i="1"/>
  <c r="AI192" i="1" s="1"/>
  <c r="Q185" i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M182" i="2" s="1"/>
  <c r="BE180" i="1"/>
  <c r="BA180" i="1"/>
  <c r="AL180" i="1"/>
  <c r="AR180" i="1" s="1"/>
  <c r="AG180" i="1"/>
  <c r="Q180" i="1"/>
  <c r="S187" i="1" s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Q179" i="2" l="1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267" i="1"/>
  <c r="BK270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E172" i="1"/>
  <c r="BA172" i="1"/>
  <c r="AL172" i="1"/>
  <c r="AG172" i="1"/>
  <c r="Q172" i="1"/>
  <c r="S179" i="1" s="1"/>
  <c r="N172" i="1"/>
  <c r="K173" i="2"/>
  <c r="M175" i="2" l="1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3" i="2" l="1"/>
  <c r="BG171" i="1"/>
  <c r="BK177" i="1"/>
  <c r="BM177" i="1" s="1"/>
  <c r="U172" i="2"/>
  <c r="S170" i="2" l="1"/>
  <c r="K170" i="2"/>
  <c r="S171" i="2"/>
  <c r="U171" i="2" s="1"/>
  <c r="K171" i="2"/>
  <c r="Q172" i="2" l="1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61" i="2" l="1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317" i="1"/>
  <c r="AP318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312" i="1"/>
  <c r="H313" i="1"/>
  <c r="J313" i="1" s="1"/>
  <c r="H314" i="1"/>
  <c r="J314" i="1" s="1"/>
  <c r="S154" i="2"/>
  <c r="M156" i="2" l="1"/>
  <c r="Q156" i="2"/>
  <c r="O314" i="1"/>
  <c r="AI154" i="1"/>
  <c r="AI161" i="1"/>
  <c r="BK160" i="1"/>
  <c r="BM160" i="1" s="1"/>
  <c r="AR154" i="1"/>
  <c r="BG154" i="1"/>
  <c r="U155" i="2"/>
  <c r="M155" i="2"/>
  <c r="J312" i="1"/>
  <c r="J319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Q155" i="2" l="1"/>
  <c r="O315" i="1"/>
  <c r="AA314" i="1"/>
  <c r="BG153" i="1"/>
  <c r="AI153" i="1"/>
  <c r="U154" i="2"/>
  <c r="S153" i="2"/>
  <c r="AG112" i="1" l="1"/>
  <c r="N131" i="1"/>
  <c r="K153" i="2"/>
  <c r="K152" i="2"/>
  <c r="S152" i="2"/>
  <c r="U152" i="2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250" i="3"/>
  <c r="F249" i="3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M147" i="2" l="1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90" i="1" l="1"/>
  <c r="AR282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8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294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V242" i="1" l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9" i="2" l="1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Q128" i="2" l="1"/>
  <c r="BG126" i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81" i="1" s="1"/>
  <c r="AH113" i="1"/>
  <c r="AP281" i="1" s="1"/>
  <c r="BE124" i="1"/>
  <c r="BA124" i="1"/>
  <c r="AL124" i="1"/>
  <c r="AG124" i="1"/>
  <c r="AI131" i="1" s="1"/>
  <c r="K125" i="2"/>
  <c r="S124" i="2"/>
  <c r="AV281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301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BA326" i="1" s="1"/>
  <c r="AG288" i="1"/>
  <c r="AP282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G329" i="1" l="1"/>
  <c r="BC327" i="1"/>
  <c r="BE327" i="1" s="1"/>
  <c r="AV282" i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231" i="3"/>
  <c r="AA230" i="3"/>
  <c r="AA229" i="3"/>
  <c r="AA228" i="3"/>
  <c r="AA227" i="3"/>
  <c r="AA226" i="3"/>
  <c r="AA225" i="3"/>
  <c r="AA224" i="3"/>
  <c r="AA223" i="3"/>
  <c r="AA222" i="3"/>
  <c r="AJ232" i="3"/>
  <c r="AJ235" i="3" s="1"/>
  <c r="Y232" i="3"/>
  <c r="W232" i="3"/>
  <c r="S107" i="2"/>
  <c r="AA232" i="3" l="1"/>
  <c r="AA235" i="3" s="1"/>
  <c r="U232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43" i="3"/>
  <c r="F246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80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30" i="1" l="1"/>
  <c r="AH222" i="1"/>
  <c r="AH219" i="1"/>
  <c r="AH228" i="1"/>
  <c r="AH225" i="1"/>
  <c r="AH217" i="1"/>
  <c r="AH229" i="1"/>
  <c r="AH221" i="1"/>
  <c r="AH226" i="1"/>
  <c r="AH215" i="1"/>
  <c r="AH227" i="1"/>
  <c r="AH218" i="1"/>
  <c r="AH216" i="1"/>
  <c r="AH220" i="1"/>
  <c r="AH223" i="1"/>
  <c r="AH224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80" i="1"/>
  <c r="AV280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33" i="3" l="1"/>
  <c r="I230" i="3"/>
  <c r="L230" i="3" s="1"/>
  <c r="I78" i="3"/>
  <c r="I80" i="3" s="1"/>
  <c r="I77" i="3"/>
  <c r="BE64" i="1"/>
  <c r="BA64" i="1"/>
  <c r="AL64" i="1"/>
  <c r="AR64" i="1" s="1"/>
  <c r="K65" i="2"/>
  <c r="Y19" i="3"/>
  <c r="Q66" i="2" l="1"/>
  <c r="M66" i="2"/>
  <c r="L233" i="3"/>
  <c r="I79" i="3"/>
  <c r="I81" i="3" s="1"/>
  <c r="I82" i="3" s="1"/>
  <c r="BG64" i="1"/>
  <c r="U65" i="2"/>
  <c r="S64" i="2"/>
  <c r="N81" i="3" l="1"/>
  <c r="N82" i="3" s="1"/>
  <c r="I232" i="3"/>
  <c r="L232" i="3" s="1"/>
  <c r="K64" i="2"/>
  <c r="BE63" i="1"/>
  <c r="BA63" i="1"/>
  <c r="AL63" i="1"/>
  <c r="AR63" i="1" s="1"/>
  <c r="Y18" i="3"/>
  <c r="Q65" i="2" l="1"/>
  <c r="M65" i="2"/>
  <c r="I234" i="3"/>
  <c r="U64" i="2"/>
  <c r="BG63" i="1"/>
  <c r="L223" i="3" l="1"/>
  <c r="L234" i="3"/>
  <c r="L222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76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325" i="1"/>
  <c r="B328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U214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C223" i="2" l="1"/>
  <c r="C224" i="2" s="1"/>
  <c r="C225" i="2" s="1"/>
  <c r="C226" i="2" s="1"/>
  <c r="C227" i="2" s="1"/>
  <c r="W152" i="2"/>
  <c r="W153" i="2" s="1"/>
  <c r="BW22" i="1"/>
  <c r="AX21" i="1"/>
  <c r="BG45" i="1"/>
  <c r="C228" i="2" l="1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C235" i="2" l="1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C244" i="2" l="1"/>
  <c r="C245" i="2" s="1"/>
  <c r="C246" i="2" s="1"/>
  <c r="C247" i="2" s="1"/>
  <c r="C248" i="2" s="1"/>
  <c r="C249" i="2" s="1"/>
  <c r="C250" i="2" s="1"/>
  <c r="C251" i="2" s="1"/>
  <c r="C252" i="2" s="1"/>
  <c r="C262" i="2" s="1"/>
  <c r="W162" i="2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W223" i="2" l="1"/>
  <c r="BW36" i="1"/>
  <c r="AX35" i="1"/>
  <c r="BE33" i="1"/>
  <c r="BA33" i="1"/>
  <c r="AL33" i="1"/>
  <c r="AR33" i="1" s="1"/>
  <c r="BE32" i="1"/>
  <c r="BA32" i="1"/>
  <c r="AL32" i="1"/>
  <c r="AR32" i="1" s="1"/>
  <c r="W224" i="2" l="1"/>
  <c r="BW37" i="1"/>
  <c r="AX36" i="1"/>
  <c r="BE31" i="1"/>
  <c r="BA31" i="1"/>
  <c r="AL31" i="1"/>
  <c r="AR31" i="1" s="1"/>
  <c r="W225" i="2" l="1"/>
  <c r="W226" i="2" s="1"/>
  <c r="W227" i="2" s="1"/>
  <c r="BW38" i="1"/>
  <c r="AX37" i="1"/>
  <c r="W29" i="1"/>
  <c r="AG33" i="1" s="1"/>
  <c r="W228" i="2" l="1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W230" i="2" l="1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W235" i="2" l="1"/>
  <c r="W236" i="2" s="1"/>
  <c r="BW41" i="1"/>
  <c r="BN41" i="1" s="1"/>
  <c r="AX40" i="1"/>
  <c r="BE27" i="1"/>
  <c r="AL27" i="1"/>
  <c r="AR27" i="1" s="1"/>
  <c r="BE26" i="1"/>
  <c r="AL26" i="1"/>
  <c r="AR26" i="1" s="1"/>
  <c r="W237" i="2" l="1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W244" i="2" l="1"/>
  <c r="AG26" i="1"/>
  <c r="AI33" i="1" s="1"/>
  <c r="AR279" i="1"/>
  <c r="BW43" i="1"/>
  <c r="BN43" i="1" s="1"/>
  <c r="AX42" i="1"/>
  <c r="BE24" i="1"/>
  <c r="BC24" i="1"/>
  <c r="W245" i="2" l="1"/>
  <c r="W246" i="2" s="1"/>
  <c r="W247" i="2" s="1"/>
  <c r="W248" i="2" s="1"/>
  <c r="W249" i="2" s="1"/>
  <c r="W250" i="2" s="1"/>
  <c r="W251" i="2" s="1"/>
  <c r="W252" i="2" s="1"/>
  <c r="W262" i="2" s="1"/>
  <c r="AR287" i="1"/>
  <c r="AR289" i="1" s="1"/>
  <c r="AV289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BW45" i="1" l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79" i="1" l="1"/>
  <c r="AV279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B262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AA23" i="1" l="1"/>
  <c r="AE23" i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34" i="3"/>
  <c r="Y235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34" i="3"/>
  <c r="W235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298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W260" i="1"/>
  <c r="BW261" i="1" s="1"/>
  <c r="BW262" i="1" s="1"/>
  <c r="BR235" i="1"/>
  <c r="BP236" i="1"/>
  <c r="AA218" i="1"/>
  <c r="AE217" i="1"/>
  <c r="AE216" i="1"/>
  <c r="J174" i="1"/>
  <c r="H174" i="1"/>
  <c r="O173" i="1"/>
  <c r="AV173" i="1"/>
  <c r="AC173" i="1"/>
  <c r="BN248" i="1" l="1"/>
  <c r="AX248" i="1"/>
  <c r="BW249" i="1"/>
  <c r="BR236" i="1"/>
  <c r="BP237" i="1"/>
  <c r="AA219" i="1"/>
  <c r="AE218" i="1"/>
  <c r="O174" i="1"/>
  <c r="J175" i="1"/>
  <c r="H175" i="1"/>
  <c r="AV174" i="1"/>
  <c r="AC174" i="1"/>
  <c r="AX249" i="1" l="1"/>
  <c r="BW250" i="1"/>
  <c r="BN249" i="1"/>
  <c r="BR237" i="1"/>
  <c r="BP238" i="1"/>
  <c r="AA220" i="1"/>
  <c r="AE219" i="1"/>
  <c r="AV175" i="1"/>
  <c r="J176" i="1"/>
  <c r="H176" i="1"/>
  <c r="O175" i="1"/>
  <c r="AC175" i="1"/>
  <c r="BN250" i="1" l="1"/>
  <c r="BW251" i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1" i="1" l="1"/>
  <c r="BN251" i="1"/>
  <c r="BR239" i="1"/>
  <c r="BP240" i="1"/>
  <c r="AE222" i="1"/>
  <c r="AA223" i="1"/>
  <c r="AE221" i="1"/>
  <c r="AV177" i="1"/>
  <c r="H178" i="1"/>
  <c r="J178" i="1"/>
  <c r="O177" i="1"/>
  <c r="AC177" i="1"/>
  <c r="BR240" i="1" l="1"/>
  <c r="BP241" i="1"/>
  <c r="AE223" i="1"/>
  <c r="AA224" i="1"/>
  <c r="AV178" i="1"/>
  <c r="J179" i="1"/>
  <c r="H179" i="1"/>
  <c r="O178" i="1"/>
  <c r="AC178" i="1"/>
  <c r="BR241" i="1" l="1"/>
  <c r="BP242" i="1"/>
  <c r="BP243" i="1" s="1"/>
  <c r="AE224" i="1"/>
  <c r="AA225" i="1"/>
  <c r="AV179" i="1"/>
  <c r="J180" i="1"/>
  <c r="H180" i="1"/>
  <c r="O179" i="1"/>
  <c r="AC179" i="1"/>
  <c r="BR243" i="1" l="1"/>
  <c r="BP244" i="1"/>
  <c r="BR242" i="1"/>
  <c r="AE225" i="1"/>
  <c r="AA226" i="1"/>
  <c r="AV180" i="1"/>
  <c r="J181" i="1"/>
  <c r="H181" i="1"/>
  <c r="O180" i="1"/>
  <c r="AC180" i="1"/>
  <c r="BR244" i="1" l="1"/>
  <c r="BP245" i="1"/>
  <c r="AE226" i="1"/>
  <c r="AA227" i="1"/>
  <c r="J182" i="1"/>
  <c r="H182" i="1"/>
  <c r="O181" i="1"/>
  <c r="AV181" i="1"/>
  <c r="AC181" i="1"/>
  <c r="BR245" i="1" l="1"/>
  <c r="BP246" i="1"/>
  <c r="BP247" i="1" s="1"/>
  <c r="AA228" i="1"/>
  <c r="AE227" i="1"/>
  <c r="AV182" i="1"/>
  <c r="J183" i="1"/>
  <c r="O182" i="1"/>
  <c r="H183" i="1"/>
  <c r="AC182" i="1"/>
  <c r="BR247" i="1" l="1"/>
  <c r="BP248" i="1"/>
  <c r="BR246" i="1"/>
  <c r="AE228" i="1"/>
  <c r="AA229" i="1"/>
  <c r="AC183" i="1"/>
  <c r="AV183" i="1"/>
  <c r="H184" i="1"/>
  <c r="J184" i="1"/>
  <c r="O183" i="1"/>
  <c r="BR248" i="1" l="1"/>
  <c r="BP249" i="1"/>
  <c r="AE229" i="1"/>
  <c r="AA230" i="1"/>
  <c r="AA231" i="1" s="1"/>
  <c r="H185" i="1"/>
  <c r="J185" i="1"/>
  <c r="AV184" i="1"/>
  <c r="O184" i="1"/>
  <c r="AC184" i="1"/>
  <c r="AA138" i="3"/>
  <c r="AA137" i="3"/>
  <c r="BR249" i="1" l="1"/>
  <c r="BP250" i="1"/>
  <c r="AA232" i="1"/>
  <c r="AE231" i="1"/>
  <c r="AE230" i="1"/>
  <c r="AV185" i="1"/>
  <c r="O185" i="1"/>
  <c r="J186" i="1"/>
  <c r="H186" i="1"/>
  <c r="AC185" i="1"/>
  <c r="BP251" i="1" l="1"/>
  <c r="BR250" i="1"/>
  <c r="AA233" i="1"/>
  <c r="AA234" i="1" s="1"/>
  <c r="AE232" i="1"/>
  <c r="O186" i="1"/>
  <c r="H187" i="1"/>
  <c r="J187" i="1"/>
  <c r="AV186" i="1"/>
  <c r="AC186" i="1"/>
  <c r="BR251" i="1" l="1"/>
  <c r="AE234" i="1"/>
  <c r="AA235" i="1"/>
  <c r="AE233" i="1"/>
  <c r="H188" i="1"/>
  <c r="J188" i="1"/>
  <c r="O187" i="1"/>
  <c r="AV187" i="1"/>
  <c r="AC187" i="1"/>
  <c r="AA140" i="3"/>
  <c r="AA141" i="3"/>
  <c r="AA139" i="3"/>
  <c r="AA236" i="1" l="1"/>
  <c r="AE235" i="1"/>
  <c r="AV188" i="1"/>
  <c r="J189" i="1"/>
  <c r="H189" i="1"/>
  <c r="O188" i="1"/>
  <c r="AC188" i="1"/>
  <c r="AE236" i="1" l="1"/>
  <c r="AA237" i="1"/>
  <c r="O189" i="1"/>
  <c r="J190" i="1"/>
  <c r="H190" i="1"/>
  <c r="AV189" i="1"/>
  <c r="AC189" i="1"/>
  <c r="AA238" i="1" l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A239" i="1" l="1"/>
  <c r="AE238" i="1"/>
  <c r="AV191" i="1"/>
  <c r="J192" i="1"/>
  <c r="H192" i="1"/>
  <c r="O191" i="1"/>
  <c r="AC191" i="1"/>
  <c r="AE239" i="1" l="1"/>
  <c r="AA240" i="1"/>
  <c r="J193" i="1"/>
  <c r="H193" i="1"/>
  <c r="AV192" i="1"/>
  <c r="O192" i="1"/>
  <c r="AC192" i="1"/>
  <c r="AA241" i="1" l="1"/>
  <c r="AE240" i="1"/>
  <c r="J194" i="1"/>
  <c r="H194" i="1"/>
  <c r="O193" i="1"/>
  <c r="AV193" i="1"/>
  <c r="AC193" i="1"/>
  <c r="AE241" i="1" l="1"/>
  <c r="AA242" i="1"/>
  <c r="AA243" i="1" s="1"/>
  <c r="AV194" i="1"/>
  <c r="J195" i="1"/>
  <c r="H195" i="1"/>
  <c r="O194" i="1"/>
  <c r="AC194" i="1"/>
  <c r="AE243" i="1" l="1"/>
  <c r="AA244" i="1"/>
  <c r="AE242" i="1"/>
  <c r="H196" i="1"/>
  <c r="J196" i="1"/>
  <c r="AV195" i="1"/>
  <c r="O195" i="1"/>
  <c r="AC195" i="1"/>
  <c r="AA245" i="1" l="1"/>
  <c r="AE244" i="1"/>
  <c r="AV196" i="1"/>
  <c r="J197" i="1"/>
  <c r="H197" i="1"/>
  <c r="O196" i="1"/>
  <c r="AC196" i="1"/>
  <c r="AE245" i="1" l="1"/>
  <c r="AA246" i="1"/>
  <c r="AA247" i="1" s="1"/>
  <c r="H198" i="1"/>
  <c r="J198" i="1"/>
  <c r="O197" i="1"/>
  <c r="AV197" i="1"/>
  <c r="AC197" i="1"/>
  <c r="AE247" i="1" l="1"/>
  <c r="AA248" i="1"/>
  <c r="AE246" i="1"/>
  <c r="J199" i="1"/>
  <c r="O198" i="1"/>
  <c r="H199" i="1"/>
  <c r="AV198" i="1"/>
  <c r="AC198" i="1"/>
  <c r="AA151" i="3"/>
  <c r="AA150" i="3"/>
  <c r="AE248" i="1" l="1"/>
  <c r="AA249" i="1"/>
  <c r="J200" i="1"/>
  <c r="H200" i="1"/>
  <c r="AV199" i="1"/>
  <c r="O199" i="1"/>
  <c r="AC199" i="1"/>
  <c r="AA152" i="3"/>
  <c r="AA153" i="3"/>
  <c r="AE249" i="1" l="1"/>
  <c r="AA250" i="1"/>
  <c r="O200" i="1"/>
  <c r="H201" i="1"/>
  <c r="J201" i="1"/>
  <c r="AV200" i="1"/>
  <c r="AC200" i="1"/>
  <c r="AA251" i="1" l="1"/>
  <c r="AE250" i="1"/>
  <c r="AV201" i="1"/>
  <c r="J202" i="1"/>
  <c r="H202" i="1"/>
  <c r="O201" i="1"/>
  <c r="AC201" i="1"/>
  <c r="AE251" i="1" l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J21" i="2" l="1"/>
  <c r="I21" i="3"/>
  <c r="I35" i="3" s="1"/>
  <c r="AD49" i="2"/>
  <c r="AD51" i="2" s="1"/>
  <c r="AD53" i="2" s="1"/>
  <c r="AD55" i="2" s="1"/>
  <c r="AD57" i="2" s="1"/>
  <c r="AV203" i="1"/>
  <c r="H204" i="1"/>
  <c r="J204" i="1"/>
  <c r="O203" i="1"/>
  <c r="AC203" i="1"/>
  <c r="AV204" i="1" l="1"/>
  <c r="H205" i="1"/>
  <c r="J205" i="1"/>
  <c r="O204" i="1"/>
  <c r="AC204" i="1"/>
  <c r="H206" i="1" l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AV211" i="1"/>
  <c r="AC211" i="1"/>
  <c r="AV212" i="1" l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AC215" i="1"/>
  <c r="O215" i="1"/>
  <c r="H217" i="1" l="1"/>
  <c r="J217" i="1"/>
  <c r="O216" i="1"/>
  <c r="AV216" i="1"/>
  <c r="AC216" i="1"/>
  <c r="AV217" i="1" l="1"/>
  <c r="J218" i="1"/>
  <c r="H218" i="1"/>
  <c r="O217" i="1"/>
  <c r="AC217" i="1"/>
  <c r="AA170" i="3"/>
  <c r="O218" i="1" l="1"/>
  <c r="J219" i="1"/>
  <c r="H219" i="1"/>
  <c r="AV218" i="1"/>
  <c r="AC218" i="1"/>
  <c r="AV219" i="1" l="1"/>
  <c r="J220" i="1"/>
  <c r="H220" i="1"/>
  <c r="O219" i="1"/>
  <c r="AC219" i="1"/>
  <c r="AA176" i="3"/>
  <c r="AA174" i="3"/>
  <c r="AA175" i="3"/>
  <c r="AA172" i="3"/>
  <c r="AA173" i="3"/>
  <c r="AA171" i="3"/>
  <c r="AV220" i="1" l="1"/>
  <c r="H221" i="1"/>
  <c r="J221" i="1"/>
  <c r="O220" i="1"/>
  <c r="AC220" i="1"/>
  <c r="J222" i="1" l="1"/>
  <c r="H222" i="1"/>
  <c r="AV221" i="1"/>
  <c r="O221" i="1"/>
  <c r="AC221" i="1"/>
  <c r="AV222" i="1" l="1"/>
  <c r="H223" i="1"/>
  <c r="J223" i="1"/>
  <c r="O222" i="1"/>
  <c r="AC222" i="1"/>
  <c r="AV223" i="1" l="1"/>
  <c r="H224" i="1"/>
  <c r="J224" i="1"/>
  <c r="O223" i="1"/>
  <c r="AC223" i="1"/>
  <c r="AV224" i="1" l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O225" i="1" l="1"/>
  <c r="H226" i="1"/>
  <c r="J226" i="1"/>
  <c r="AV225" i="1"/>
  <c r="AC225" i="1"/>
  <c r="O226" i="1" l="1"/>
  <c r="J227" i="1"/>
  <c r="H227" i="1"/>
  <c r="AV226" i="1"/>
  <c r="AC226" i="1"/>
  <c r="AV227" i="1" l="1"/>
  <c r="H228" i="1"/>
  <c r="J228" i="1"/>
  <c r="O227" i="1"/>
  <c r="AC227" i="1"/>
  <c r="J229" i="1" l="1"/>
  <c r="H229" i="1"/>
  <c r="O228" i="1"/>
  <c r="AV228" i="1"/>
  <c r="AC228" i="1"/>
  <c r="O229" i="1" l="1"/>
  <c r="H230" i="1"/>
  <c r="J230" i="1"/>
  <c r="AV229" i="1"/>
  <c r="AC229" i="1"/>
  <c r="J231" i="1" l="1"/>
  <c r="H231" i="1"/>
  <c r="AV230" i="1"/>
  <c r="O230" i="1"/>
  <c r="AC230" i="1"/>
  <c r="O231" i="1" l="1"/>
  <c r="H232" i="1"/>
  <c r="J232" i="1"/>
  <c r="AV231" i="1"/>
  <c r="AC231" i="1"/>
  <c r="O232" i="1" l="1"/>
  <c r="H233" i="1"/>
  <c r="J233" i="1"/>
  <c r="AV232" i="1"/>
  <c r="AC232" i="1"/>
  <c r="J234" i="1" l="1"/>
  <c r="H234" i="1"/>
  <c r="O233" i="1"/>
  <c r="AV233" i="1"/>
  <c r="AC233" i="1"/>
  <c r="AA186" i="3"/>
  <c r="AA187" i="3"/>
  <c r="AA185" i="3"/>
  <c r="AV234" i="1" l="1"/>
  <c r="H235" i="1"/>
  <c r="J235" i="1"/>
  <c r="O234" i="1"/>
  <c r="AC234" i="1"/>
  <c r="AV235" i="1" l="1"/>
  <c r="J236" i="1"/>
  <c r="H236" i="1"/>
  <c r="O235" i="1"/>
  <c r="AC235" i="1"/>
  <c r="AV236" i="1" l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O237" i="1" l="1"/>
  <c r="H238" i="1"/>
  <c r="J238" i="1"/>
  <c r="AV237" i="1"/>
  <c r="AC237" i="1"/>
  <c r="AV238" i="1" l="1"/>
  <c r="J239" i="1"/>
  <c r="H239" i="1"/>
  <c r="O238" i="1"/>
  <c r="AC238" i="1"/>
  <c r="AV239" i="1" l="1"/>
  <c r="H240" i="1"/>
  <c r="J240" i="1"/>
  <c r="O239" i="1"/>
  <c r="AC239" i="1"/>
  <c r="J241" i="1" l="1"/>
  <c r="H241" i="1"/>
  <c r="O240" i="1"/>
  <c r="AV240" i="1"/>
  <c r="AC240" i="1"/>
  <c r="O241" i="1" l="1"/>
  <c r="J242" i="1"/>
  <c r="H242" i="1"/>
  <c r="AV241" i="1"/>
  <c r="AC241" i="1"/>
  <c r="J243" i="1" l="1"/>
  <c r="H243" i="1"/>
  <c r="I23" i="3" s="1"/>
  <c r="I25" i="3" s="1"/>
  <c r="I27" i="3" s="1"/>
  <c r="O242" i="1"/>
  <c r="AV242" i="1"/>
  <c r="AC242" i="1"/>
  <c r="I34" i="3" l="1"/>
  <c r="N27" i="3"/>
  <c r="N28" i="3" s="1"/>
  <c r="O243" i="1"/>
  <c r="J244" i="1"/>
  <c r="H244" i="1"/>
  <c r="AV243" i="1"/>
  <c r="AC243" i="1"/>
  <c r="AV244" i="1" l="1"/>
  <c r="J245" i="1"/>
  <c r="H245" i="1"/>
  <c r="O244" i="1"/>
  <c r="AC244" i="1"/>
  <c r="AA201" i="3"/>
  <c r="AA199" i="3"/>
  <c r="AA200" i="3"/>
  <c r="AA198" i="3"/>
  <c r="AC245" i="1" l="1"/>
  <c r="J246" i="1"/>
  <c r="H246" i="1"/>
  <c r="O245" i="1"/>
  <c r="AV245" i="1"/>
  <c r="H247" i="1" l="1"/>
  <c r="J247" i="1"/>
  <c r="O246" i="1"/>
  <c r="AV246" i="1"/>
  <c r="AC246" i="1"/>
  <c r="H248" i="1" l="1"/>
  <c r="J248" i="1"/>
  <c r="O247" i="1"/>
  <c r="AV247" i="1"/>
  <c r="AC247" i="1"/>
  <c r="O248" i="1" l="1"/>
  <c r="H249" i="1"/>
  <c r="AV248" i="1"/>
  <c r="J249" i="1"/>
  <c r="AC248" i="1"/>
  <c r="AV249" i="1" l="1"/>
  <c r="J250" i="1"/>
  <c r="H250" i="1"/>
  <c r="O249" i="1"/>
  <c r="AC249" i="1"/>
  <c r="AA205" i="3"/>
  <c r="AA203" i="3"/>
  <c r="AA204" i="3"/>
  <c r="AA202" i="3"/>
  <c r="O250" i="1" l="1"/>
  <c r="J251" i="1"/>
  <c r="AV250" i="1"/>
  <c r="H251" i="1"/>
  <c r="AC250" i="1"/>
  <c r="AV251" i="1" l="1"/>
  <c r="O251" i="1"/>
  <c r="AC251" i="1"/>
  <c r="AF21" i="2" l="1"/>
  <c r="I32" i="3"/>
  <c r="I28" i="3" l="1"/>
  <c r="L35" i="3"/>
  <c r="I36" i="3"/>
  <c r="W212" i="3" s="1"/>
  <c r="AA212" i="3" s="1"/>
  <c r="L32" i="3"/>
  <c r="L34" i="3"/>
  <c r="AA210" i="3" l="1"/>
  <c r="AA211" i="3"/>
  <c r="AA207" i="3"/>
  <c r="AA209" i="3"/>
  <c r="L36" i="3"/>
  <c r="Y212" i="3" s="1"/>
  <c r="AA206" i="3"/>
  <c r="Y12" i="3" l="1"/>
  <c r="Y121" i="3"/>
</calcChain>
</file>

<file path=xl/sharedStrings.xml><?xml version="1.0" encoding="utf-8"?>
<sst xmlns="http://schemas.openxmlformats.org/spreadsheetml/2006/main" count="307" uniqueCount="171">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</sst>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18" fillId="13" borderId="0" xfId="0" applyFont="1" applyFill="1" applyBorder="1" applyAlignment="1">
      <alignment horizontal="center"/>
    </xf>
    <xf numFmtId="164" fontId="0" fillId="13" borderId="0" xfId="0" applyNumberFormat="1" applyFill="1"/>
    <xf numFmtId="3" fontId="22" fillId="0" borderId="0" xfId="0" applyNumberFormat="1" applyFont="1"/>
    <xf numFmtId="164" fontId="0" fillId="13" borderId="0" xfId="1" applyNumberFormat="1" applyFont="1" applyFill="1"/>
    <xf numFmtId="164" fontId="0" fillId="24" borderId="17" xfId="1" applyNumberFormat="1" applyFont="1" applyFill="1" applyBorder="1"/>
    <xf numFmtId="164" fontId="0" fillId="13" borderId="17" xfId="1" applyNumberFormat="1" applyFont="1" applyFill="1" applyBorder="1"/>
    <xf numFmtId="9" fontId="0" fillId="13" borderId="0" xfId="2" applyFont="1" applyFill="1" applyBorder="1"/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6" fontId="18" fillId="13" borderId="0" xfId="0" applyNumberFormat="1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Table'!$BK$40:$BK$261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277</xdr:row>
      <xdr:rowOff>99060</xdr:rowOff>
    </xdr:from>
    <xdr:to>
      <xdr:col>22</xdr:col>
      <xdr:colOff>312420</xdr:colOff>
      <xdr:row>278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277</xdr:row>
      <xdr:rowOff>129540</xdr:rowOff>
    </xdr:from>
    <xdr:to>
      <xdr:col>23</xdr:col>
      <xdr:colOff>68580</xdr:colOff>
      <xdr:row>278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295</xdr:row>
      <xdr:rowOff>125730</xdr:rowOff>
    </xdr:from>
    <xdr:to>
      <xdr:col>54</xdr:col>
      <xdr:colOff>213360</xdr:colOff>
      <xdr:row>310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0</xdr:colOff>
      <xdr:row>3</xdr:row>
      <xdr:rowOff>1</xdr:rowOff>
    </xdr:from>
    <xdr:to>
      <xdr:col>80</xdr:col>
      <xdr:colOff>243819</xdr:colOff>
      <xdr:row>5</xdr:row>
      <xdr:rowOff>7634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2623780" y="601981"/>
          <a:ext cx="1005819" cy="396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2711CF6F-A91A-40DE-BCEB-8F7D9D4A1A7E}"/>
            </a:ext>
          </a:extLst>
        </xdr:cNvPr>
        <xdr:cNvSpPr/>
      </xdr:nvSpPr>
      <xdr:spPr>
        <a:xfrm rot="10800000">
          <a:off x="11803380" y="2268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45"/>
  <sheetViews>
    <sheetView tabSelected="1" zoomScaleNormal="100" workbookViewId="0">
      <selection activeCell="AV269" sqref="AV26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1.554687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6" t="s">
        <v>5</v>
      </c>
      <c r="C1" s="596"/>
      <c r="D1" s="596"/>
    </row>
    <row r="2" spans="2:90" ht="15.6" x14ac:dyDescent="0.3">
      <c r="B2" s="596" t="s">
        <v>6</v>
      </c>
      <c r="C2" s="596"/>
      <c r="D2" s="596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1" t="s">
        <v>13</v>
      </c>
      <c r="C3" s="601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7" t="s">
        <v>11</v>
      </c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11"/>
      <c r="AE4" s="325"/>
      <c r="AF4" s="447"/>
      <c r="AG4" s="447"/>
      <c r="AH4" s="447"/>
      <c r="AI4" s="447"/>
      <c r="AJ4" s="12"/>
      <c r="AL4" s="616" t="s">
        <v>14</v>
      </c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7"/>
      <c r="BF4" s="617"/>
      <c r="BG4" s="617"/>
      <c r="BH4" s="617"/>
      <c r="BI4" s="617"/>
      <c r="BJ4" s="617"/>
      <c r="BK4" s="617"/>
      <c r="BL4" s="617"/>
      <c r="BM4" s="617"/>
      <c r="BN4" s="617"/>
      <c r="BO4" s="617"/>
      <c r="BP4" s="617"/>
      <c r="BQ4" s="617"/>
      <c r="BR4" s="617"/>
      <c r="BS4" s="617"/>
      <c r="BT4" s="617"/>
      <c r="BU4" s="618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2" t="s">
        <v>12</v>
      </c>
      <c r="G6" s="602"/>
      <c r="H6" s="602"/>
      <c r="I6" s="602"/>
      <c r="J6" s="602"/>
      <c r="K6" s="602"/>
      <c r="L6" s="602"/>
      <c r="M6" s="335"/>
      <c r="N6" s="542"/>
      <c r="O6" s="335"/>
      <c r="P6" s="336"/>
      <c r="Q6" s="608" t="s">
        <v>124</v>
      </c>
      <c r="R6" s="602"/>
      <c r="S6" s="602"/>
      <c r="T6" s="602"/>
      <c r="U6" s="609"/>
      <c r="V6" s="3"/>
      <c r="W6" s="8" t="s">
        <v>7</v>
      </c>
      <c r="X6" s="30"/>
      <c r="Y6" s="603">
        <v>1.2500000000000001E-2</v>
      </c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4"/>
      <c r="AK6" s="3"/>
      <c r="AL6" s="623" t="s">
        <v>27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4"/>
      <c r="AY6" s="625"/>
      <c r="AZ6" s="3"/>
      <c r="BA6" s="626" t="s">
        <v>7</v>
      </c>
      <c r="BB6" s="620"/>
      <c r="BC6" s="620"/>
      <c r="BD6" s="97"/>
      <c r="BE6" s="619" t="s">
        <v>26</v>
      </c>
      <c r="BF6" s="619"/>
      <c r="BG6" s="619"/>
      <c r="BH6" s="619"/>
      <c r="BI6" s="619"/>
      <c r="BJ6" s="619"/>
      <c r="BK6" s="619"/>
      <c r="BL6" s="619"/>
      <c r="BM6" s="619"/>
      <c r="BN6" s="619"/>
      <c r="BO6" s="619"/>
      <c r="BP6" s="619"/>
      <c r="BQ6" s="619"/>
      <c r="BR6" s="620"/>
      <c r="BS6" s="620"/>
      <c r="BT6" s="620"/>
      <c r="BU6" s="621"/>
      <c r="BV6" s="3"/>
    </row>
    <row r="7" spans="2:90" ht="16.2" x14ac:dyDescent="0.3">
      <c r="D7" s="599" t="s">
        <v>20</v>
      </c>
      <c r="E7" s="600"/>
      <c r="F7" s="600"/>
      <c r="G7" s="600"/>
      <c r="H7" s="600"/>
      <c r="I7" s="600"/>
      <c r="J7" s="600"/>
      <c r="K7" s="465"/>
      <c r="L7" s="465"/>
      <c r="M7" s="465"/>
      <c r="N7" s="541"/>
      <c r="O7" s="465"/>
      <c r="P7" s="466"/>
      <c r="Q7" s="448"/>
      <c r="R7" s="449"/>
      <c r="S7" s="449"/>
      <c r="T7" s="449"/>
      <c r="U7" s="337"/>
      <c r="V7" s="3"/>
      <c r="W7" s="605" t="s">
        <v>35</v>
      </c>
      <c r="X7" s="606"/>
      <c r="Y7" s="606"/>
      <c r="Z7" s="606"/>
      <c r="AA7" s="606"/>
      <c r="AB7" s="606"/>
      <c r="AC7" s="606"/>
      <c r="AD7" s="606"/>
      <c r="AE7" s="606"/>
      <c r="AF7" s="606"/>
      <c r="AG7" s="606"/>
      <c r="AH7" s="606"/>
      <c r="AI7" s="606"/>
      <c r="AJ7" s="607"/>
      <c r="AK7" s="3"/>
      <c r="AL7" s="599" t="s">
        <v>76</v>
      </c>
      <c r="AM7" s="600"/>
      <c r="AN7" s="600"/>
      <c r="AO7" s="600"/>
      <c r="AP7" s="600"/>
      <c r="AQ7" s="600"/>
      <c r="AR7" s="600"/>
      <c r="AS7" s="600"/>
      <c r="AT7" s="600"/>
      <c r="AU7" s="600"/>
      <c r="AV7" s="600"/>
      <c r="AW7" s="600"/>
      <c r="AX7" s="600"/>
      <c r="AY7" s="622"/>
      <c r="BA7" s="599" t="s">
        <v>25</v>
      </c>
      <c r="BB7" s="600"/>
      <c r="BC7" s="600"/>
      <c r="BD7" s="600"/>
      <c r="BE7" s="600"/>
      <c r="BF7" s="600"/>
      <c r="BG7" s="600"/>
      <c r="BH7" s="600"/>
      <c r="BI7" s="600"/>
      <c r="BJ7" s="600"/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22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614" t="s">
        <v>1</v>
      </c>
      <c r="BB8" s="615"/>
      <c r="BC8" s="615"/>
      <c r="BD8" s="64"/>
      <c r="BE8" s="615" t="s">
        <v>24</v>
      </c>
      <c r="BF8" s="615"/>
      <c r="BG8" s="615"/>
      <c r="BH8" s="615"/>
      <c r="BI8" s="627"/>
      <c r="BJ8" s="628" t="s">
        <v>124</v>
      </c>
      <c r="BK8" s="629"/>
      <c r="BL8" s="629"/>
      <c r="BM8" s="630"/>
      <c r="BN8" s="614" t="s">
        <v>24</v>
      </c>
      <c r="BO8" s="615"/>
      <c r="BP8" s="615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149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3" t="s">
        <v>149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149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149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7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5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SUM(D102:D263)</f>
        <v>10086474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SUM(D109:D270)</f>
        <v>10006397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8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57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SUM(D116:D277)</f>
        <v>9662437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8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 t="shared" ref="AH152:AH183" si="112">SUM(D123:D287)</f>
        <v>9267567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7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 t="shared" si="112"/>
        <v>9205848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 t="shared" si="112"/>
        <v>9147499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 t="shared" si="112"/>
        <v>9082011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 t="shared" si="112"/>
        <v>9015963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 t="shared" si="112"/>
        <v>8943968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 t="shared" si="112"/>
        <v>85870580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 t="shared" si="112"/>
        <v>85795593.232628405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4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 t="shared" si="112"/>
        <v>85732334.232628405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 t="shared" si="112"/>
        <v>416667055.23262841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4"/>
        <v>335914</v>
      </c>
      <c r="O162" s="16">
        <f t="shared" si="115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 t="shared" si="112"/>
        <v>460958176.23262841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4"/>
        <v>325907</v>
      </c>
      <c r="O163" s="16">
        <f t="shared" si="115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 t="shared" si="112"/>
        <v>460890697.30462843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4"/>
        <v>315788</v>
      </c>
      <c r="O164" s="16">
        <f t="shared" si="115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 t="shared" si="112"/>
        <v>460818730.30462843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5891925</v>
      </c>
      <c r="I165" s="16"/>
      <c r="J165" s="479">
        <f t="shared" ref="J165:J182" si="117">+D165/H164</f>
        <v>7.4945760124320807E-3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37768.75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180189</v>
      </c>
      <c r="AB165" s="33"/>
      <c r="AC165" s="46">
        <f t="shared" ref="AC165:AC182" si="122">+AA165/H165</f>
        <v>3.0582364846803038E-2</v>
      </c>
      <c r="AD165" s="33"/>
      <c r="AE165" s="33">
        <f t="shared" ref="AE165:AE182" si="123">+AA165/BW165</f>
        <v>1155.0576923076924</v>
      </c>
      <c r="AF165" s="50"/>
      <c r="AG165" s="33">
        <f t="shared" ref="AG165:AG182" si="124">SUM(W159:W165)</f>
        <v>6994</v>
      </c>
      <c r="AH165" s="33">
        <f t="shared" si="112"/>
        <v>460749287.34662843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0.5343041535661095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5924643</v>
      </c>
      <c r="I166" s="16"/>
      <c r="J166" s="479">
        <f t="shared" si="117"/>
        <v>5.5530238419531815E-3</v>
      </c>
      <c r="K166" s="16"/>
      <c r="L166" s="16"/>
      <c r="M166" s="16"/>
      <c r="N166" s="16">
        <f t="shared" si="118"/>
        <v>301969</v>
      </c>
      <c r="O166" s="16">
        <f t="shared" si="115"/>
        <v>37736.579617834395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180619</v>
      </c>
      <c r="AB166" s="33"/>
      <c r="AC166" s="46">
        <f t="shared" si="122"/>
        <v>3.0486056290649075E-2</v>
      </c>
      <c r="AD166" s="33"/>
      <c r="AE166" s="33">
        <f t="shared" si="123"/>
        <v>1150.43949044586</v>
      </c>
      <c r="AF166" s="50"/>
      <c r="AG166" s="33">
        <f t="shared" si="124"/>
        <v>6902</v>
      </c>
      <c r="AH166" s="33">
        <f t="shared" si="112"/>
        <v>461672253.34662843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0.53455760963150012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5966127</v>
      </c>
      <c r="I167" s="16"/>
      <c r="J167" s="479">
        <f t="shared" si="117"/>
        <v>7.0019408764376186E-3</v>
      </c>
      <c r="K167" s="16"/>
      <c r="L167" s="16"/>
      <c r="M167" s="16"/>
      <c r="N167" s="16">
        <f t="shared" si="118"/>
        <v>302841</v>
      </c>
      <c r="O167" s="16">
        <f t="shared" si="115"/>
        <v>37760.297468354431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181129</v>
      </c>
      <c r="AB167" s="33"/>
      <c r="AC167" s="46">
        <f t="shared" si="122"/>
        <v>3.0359561571518676E-2</v>
      </c>
      <c r="AD167" s="33"/>
      <c r="AE167" s="33">
        <f t="shared" si="123"/>
        <v>1146.3860759493671</v>
      </c>
      <c r="AF167" s="50"/>
      <c r="AG167" s="33">
        <f t="shared" si="124"/>
        <v>6823</v>
      </c>
      <c r="AH167" s="33">
        <f t="shared" si="112"/>
        <v>461604840.34662843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0.53937520941139871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6006225</v>
      </c>
      <c r="I168" s="16"/>
      <c r="J168" s="479">
        <f t="shared" si="117"/>
        <v>6.7209430841817484E-3</v>
      </c>
      <c r="K168" s="16"/>
      <c r="L168" s="16"/>
      <c r="M168" s="16"/>
      <c r="N168" s="16">
        <f t="shared" si="118"/>
        <v>298940</v>
      </c>
      <c r="O168" s="16">
        <f t="shared" si="115"/>
        <v>37775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182419</v>
      </c>
      <c r="AB168" s="33"/>
      <c r="AC168" s="46">
        <f t="shared" si="122"/>
        <v>3.0371656073490419E-2</v>
      </c>
      <c r="AD168" s="33"/>
      <c r="AE168" s="33">
        <f t="shared" si="123"/>
        <v>1147.2893081761006</v>
      </c>
      <c r="AF168" s="50"/>
      <c r="AG168" s="33">
        <f t="shared" si="124"/>
        <v>6755</v>
      </c>
      <c r="AH168" s="33">
        <f t="shared" si="112"/>
        <v>461548710.34662843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0.54181819695399358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6050862</v>
      </c>
      <c r="I169" s="16"/>
      <c r="J169" s="479">
        <f t="shared" si="117"/>
        <v>7.4317895183746863E-3</v>
      </c>
      <c r="K169" s="16"/>
      <c r="L169" s="16"/>
      <c r="M169" s="16"/>
      <c r="N169" s="16">
        <f t="shared" si="118"/>
        <v>298604</v>
      </c>
      <c r="O169" s="16">
        <f t="shared" si="115"/>
        <v>37817.887499999997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183699</v>
      </c>
      <c r="AB169" s="33"/>
      <c r="AC169" s="46">
        <f t="shared" si="122"/>
        <v>3.0359145523398155E-2</v>
      </c>
      <c r="AD169" s="33"/>
      <c r="AE169" s="33">
        <f t="shared" si="123"/>
        <v>1148.1187500000001</v>
      </c>
      <c r="AF169" s="50"/>
      <c r="AG169" s="33">
        <f t="shared" si="124"/>
        <v>6751</v>
      </c>
      <c r="AH169" s="33">
        <f t="shared" si="112"/>
        <v>461487139.34662843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0.54766758851879282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6096868</v>
      </c>
      <c r="I170" s="16"/>
      <c r="J170" s="479">
        <f t="shared" si="117"/>
        <v>7.6032142197260486E-3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37868.745341614907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184842</v>
      </c>
      <c r="AB170" s="33"/>
      <c r="AC170" s="46">
        <f t="shared" si="122"/>
        <v>3.0317533527050283E-2</v>
      </c>
      <c r="AD170" s="33"/>
      <c r="AE170" s="33">
        <f t="shared" si="123"/>
        <v>1148.0869565217392</v>
      </c>
      <c r="AF170" s="50"/>
      <c r="AG170" s="33">
        <f t="shared" si="124"/>
        <v>6797</v>
      </c>
      <c r="AH170" s="33">
        <f t="shared" si="112"/>
        <v>461422410.34662843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0.54912456690878009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6146469</v>
      </c>
      <c r="I171" s="16"/>
      <c r="J171" s="479">
        <f t="shared" si="117"/>
        <v>8.1354885820063682E-3</v>
      </c>
      <c r="K171" s="16"/>
      <c r="L171" s="16"/>
      <c r="M171" s="16"/>
      <c r="N171" s="16">
        <f t="shared" si="118"/>
        <v>298373</v>
      </c>
      <c r="O171" s="16">
        <f t="shared" si="138"/>
        <v>37941.166666666664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185947</v>
      </c>
      <c r="AB171" s="33"/>
      <c r="AC171" s="46">
        <f t="shared" si="122"/>
        <v>3.0252654003461173E-2</v>
      </c>
      <c r="AD171" s="33"/>
      <c r="AE171" s="33">
        <f t="shared" si="123"/>
        <v>1147.820987654321</v>
      </c>
      <c r="AF171" s="50"/>
      <c r="AG171" s="33">
        <f t="shared" si="124"/>
        <v>6732</v>
      </c>
      <c r="AH171" s="33">
        <f t="shared" si="112"/>
        <v>461355489.34662843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0.54923208756116726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6189129</v>
      </c>
      <c r="I172" s="16"/>
      <c r="J172" s="479">
        <f t="shared" si="117"/>
        <v>6.9405702688812064E-3</v>
      </c>
      <c r="K172" s="16"/>
      <c r="L172" s="16"/>
      <c r="M172" s="16"/>
      <c r="N172" s="16">
        <f t="shared" si="118"/>
        <v>297204</v>
      </c>
      <c r="O172" s="16">
        <f t="shared" si="138"/>
        <v>37970.116564417178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186901</v>
      </c>
      <c r="AB172" s="33"/>
      <c r="AC172" s="46">
        <f t="shared" si="122"/>
        <v>3.0198271840835761E-2</v>
      </c>
      <c r="AD172" s="33"/>
      <c r="AE172" s="33">
        <f t="shared" si="123"/>
        <v>1146.6319018404909</v>
      </c>
      <c r="AF172" s="50"/>
      <c r="AG172" s="33">
        <f t="shared" si="124"/>
        <v>6712</v>
      </c>
      <c r="AH172" s="33">
        <f t="shared" si="112"/>
        <v>461286920.34662843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0.55077200685266048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6223110</v>
      </c>
      <c r="I173" s="16"/>
      <c r="J173" s="479">
        <f t="shared" si="117"/>
        <v>5.4904333065282692E-3</v>
      </c>
      <c r="K173" s="16"/>
      <c r="L173" s="16"/>
      <c r="M173" s="16"/>
      <c r="N173" s="16">
        <f t="shared" si="118"/>
        <v>298467</v>
      </c>
      <c r="O173" s="16">
        <f t="shared" si="138"/>
        <v>37945.792682926833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187270</v>
      </c>
      <c r="AB173" s="33"/>
      <c r="AC173" s="46">
        <f t="shared" si="122"/>
        <v>3.009267070644742E-2</v>
      </c>
      <c r="AD173" s="33"/>
      <c r="AE173" s="33">
        <f t="shared" si="123"/>
        <v>1141.8902439024391</v>
      </c>
      <c r="AF173" s="50"/>
      <c r="AG173" s="33">
        <f t="shared" si="124"/>
        <v>6651</v>
      </c>
      <c r="AH173" s="33">
        <f t="shared" si="112"/>
        <v>461215837.34662843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0.55048408271748372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6261670</v>
      </c>
      <c r="I174" s="16"/>
      <c r="J174" s="479">
        <f t="shared" si="117"/>
        <v>6.1962587837913839E-3</v>
      </c>
      <c r="K174" s="16"/>
      <c r="L174" s="16"/>
      <c r="M174" s="16"/>
      <c r="N174" s="469">
        <f>SUM(D144:D174)</f>
        <v>1493931</v>
      </c>
      <c r="O174" s="16">
        <f t="shared" si="138"/>
        <v>37949.515151515152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187782</v>
      </c>
      <c r="AB174" s="33"/>
      <c r="AC174" s="46">
        <f t="shared" si="122"/>
        <v>2.9989124307093794E-2</v>
      </c>
      <c r="AD174" s="33"/>
      <c r="AE174" s="33">
        <f t="shared" si="123"/>
        <v>1138.0727272727272</v>
      </c>
      <c r="AF174" s="50"/>
      <c r="AG174" s="33">
        <f t="shared" si="124"/>
        <v>6653</v>
      </c>
      <c r="AH174" s="33">
        <f t="shared" si="112"/>
        <v>461157296.34662843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0.55197143892923128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6303649</v>
      </c>
      <c r="I175" s="16"/>
      <c r="J175" s="479">
        <f t="shared" si="117"/>
        <v>6.7041220632834374E-3</v>
      </c>
      <c r="K175" s="16"/>
      <c r="L175" s="16"/>
      <c r="M175" s="16"/>
      <c r="N175" s="16">
        <f t="shared" si="118"/>
        <v>297424</v>
      </c>
      <c r="O175" s="16">
        <f t="shared" si="138"/>
        <v>37973.789156626503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188946</v>
      </c>
      <c r="AB175" s="33"/>
      <c r="AC175" s="46">
        <f t="shared" si="122"/>
        <v>2.9974067401278212E-2</v>
      </c>
      <c r="AD175" s="33"/>
      <c r="AE175" s="33">
        <f t="shared" si="123"/>
        <v>1138.2289156626507</v>
      </c>
      <c r="AF175" s="50"/>
      <c r="AG175" s="33">
        <f t="shared" si="124"/>
        <v>6527</v>
      </c>
      <c r="AH175" s="33">
        <f t="shared" si="112"/>
        <v>461108258.34662843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0.55474424416714829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6344860</v>
      </c>
      <c r="I176" s="16"/>
      <c r="J176" s="479">
        <f t="shared" si="117"/>
        <v>6.537641927715201E-3</v>
      </c>
      <c r="K176" s="16"/>
      <c r="L176" s="16"/>
      <c r="M176" s="16"/>
      <c r="N176" s="16">
        <f t="shared" si="118"/>
        <v>293998</v>
      </c>
      <c r="O176" s="16">
        <f t="shared" si="138"/>
        <v>37993.173652694612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190036</v>
      </c>
      <c r="AB176" s="33"/>
      <c r="AC176" s="46">
        <f t="shared" si="122"/>
        <v>2.9951173075528852E-2</v>
      </c>
      <c r="AD176" s="33"/>
      <c r="AE176" s="33">
        <f t="shared" si="123"/>
        <v>1137.9401197604791</v>
      </c>
      <c r="AF176" s="50"/>
      <c r="AG176" s="33">
        <f t="shared" si="124"/>
        <v>6337</v>
      </c>
      <c r="AH176" s="33">
        <f t="shared" si="112"/>
        <v>461059612.34662843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0.55904023099012434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6390324</v>
      </c>
      <c r="I177" s="16"/>
      <c r="J177" s="479">
        <f t="shared" si="117"/>
        <v>7.1654851328476913E-3</v>
      </c>
      <c r="K177" s="16"/>
      <c r="L177" s="16"/>
      <c r="M177" s="16"/>
      <c r="N177" s="16">
        <f t="shared" si="118"/>
        <v>293456</v>
      </c>
      <c r="O177" s="16">
        <f t="shared" si="138"/>
        <v>38037.642857142855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191150</v>
      </c>
      <c r="AB177" s="33"/>
      <c r="AC177" s="46">
        <f t="shared" si="122"/>
        <v>2.9912411326874819E-2</v>
      </c>
      <c r="AD177" s="33"/>
      <c r="AE177" s="33">
        <f t="shared" si="123"/>
        <v>1137.797619047619</v>
      </c>
      <c r="AF177" s="50"/>
      <c r="AG177" s="33">
        <f t="shared" si="124"/>
        <v>6308</v>
      </c>
      <c r="AH177" s="33">
        <f t="shared" si="112"/>
        <v>461005048.34662843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0.55945457538616195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6443173</v>
      </c>
      <c r="I178" s="16"/>
      <c r="J178" s="479">
        <f t="shared" si="117"/>
        <v>8.2701596976929494E-3</v>
      </c>
      <c r="K178" s="16"/>
      <c r="L178" s="16"/>
      <c r="M178" s="16"/>
      <c r="N178" s="16">
        <f t="shared" si="118"/>
        <v>296704</v>
      </c>
      <c r="O178" s="16">
        <f t="shared" si="138"/>
        <v>38125.284023668639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192183</v>
      </c>
      <c r="AB178" s="33"/>
      <c r="AC178" s="46">
        <f t="shared" si="122"/>
        <v>2.9827384737302568E-2</v>
      </c>
      <c r="AD178" s="33"/>
      <c r="AE178" s="33">
        <f t="shared" si="123"/>
        <v>1137.1775147928995</v>
      </c>
      <c r="AF178" s="50"/>
      <c r="AG178" s="33">
        <f t="shared" si="124"/>
        <v>6236</v>
      </c>
      <c r="AH178" s="33">
        <f t="shared" si="112"/>
        <v>460949900.34662843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0.5706146645449377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6485265</v>
      </c>
      <c r="I179" s="16"/>
      <c r="J179" s="479">
        <f t="shared" si="117"/>
        <v>6.5328061189727487E-3</v>
      </c>
      <c r="K179" s="16"/>
      <c r="L179" s="16"/>
      <c r="M179" s="16"/>
      <c r="N179" s="16">
        <f t="shared" si="118"/>
        <v>296136</v>
      </c>
      <c r="O179" s="16">
        <f t="shared" si="138"/>
        <v>38148.617647058825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192890</v>
      </c>
      <c r="AB179" s="33"/>
      <c r="AC179" s="46">
        <f t="shared" si="122"/>
        <v>2.9742809276105141E-2</v>
      </c>
      <c r="AD179" s="33"/>
      <c r="AE179" s="33">
        <f t="shared" si="123"/>
        <v>1134.6470588235295</v>
      </c>
      <c r="AF179" s="50"/>
      <c r="AG179" s="33">
        <f t="shared" si="124"/>
        <v>5989</v>
      </c>
      <c r="AH179" s="33">
        <f t="shared" si="112"/>
        <v>460891190.34662843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0.57160347341242035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6516375</v>
      </c>
      <c r="I180" s="16"/>
      <c r="J180" s="479">
        <f t="shared" si="117"/>
        <v>4.7970283403993511E-3</v>
      </c>
      <c r="K180" s="16"/>
      <c r="L180" s="16"/>
      <c r="M180" s="16"/>
      <c r="N180" s="16">
        <f t="shared" si="118"/>
        <v>293265</v>
      </c>
      <c r="O180" s="16">
        <f t="shared" si="138"/>
        <v>38107.456140350878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193320</v>
      </c>
      <c r="AB180" s="33"/>
      <c r="AC180" s="46">
        <f t="shared" si="122"/>
        <v>2.9666800943776255E-2</v>
      </c>
      <c r="AD180" s="33"/>
      <c r="AE180" s="33">
        <f t="shared" si="123"/>
        <v>1130.5263157894738</v>
      </c>
      <c r="AF180" s="50"/>
      <c r="AG180" s="33">
        <f t="shared" si="124"/>
        <v>6050</v>
      </c>
      <c r="AH180" s="33">
        <f t="shared" si="112"/>
        <v>460827944.34662843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0.57178569373309551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6541795</v>
      </c>
      <c r="I181" s="16"/>
      <c r="J181" s="479">
        <f t="shared" si="117"/>
        <v>3.9009418580115479E-3</v>
      </c>
      <c r="K181" s="16"/>
      <c r="L181" s="16"/>
      <c r="M181" s="16"/>
      <c r="N181" s="16">
        <f t="shared" si="118"/>
        <v>280125</v>
      </c>
      <c r="O181" s="16">
        <f t="shared" si="138"/>
        <v>38033.691860465115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193606</v>
      </c>
      <c r="AB181" s="33"/>
      <c r="AC181" s="46">
        <f t="shared" si="122"/>
        <v>2.9595241061512935E-2</v>
      </c>
      <c r="AD181" s="33"/>
      <c r="AE181" s="33">
        <f t="shared" si="123"/>
        <v>1125.6162790697674</v>
      </c>
      <c r="AF181" s="50"/>
      <c r="AG181" s="33">
        <f t="shared" si="124"/>
        <v>5824</v>
      </c>
      <c r="AH181" s="33">
        <f t="shared" si="112"/>
        <v>460773745.34662843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0.57455621889710695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6570234</v>
      </c>
      <c r="I182" s="16"/>
      <c r="J182" s="479">
        <f t="shared" si="117"/>
        <v>4.3472777731494187E-3</v>
      </c>
      <c r="K182" s="16"/>
      <c r="L182" s="16"/>
      <c r="M182" s="16"/>
      <c r="N182" s="16">
        <f t="shared" si="118"/>
        <v>266585</v>
      </c>
      <c r="O182" s="16">
        <f t="shared" si="138"/>
        <v>37978.23121387283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194102</v>
      </c>
      <c r="AB182" s="33"/>
      <c r="AC182" s="46">
        <f t="shared" si="122"/>
        <v>2.9542631206133603E-2</v>
      </c>
      <c r="AD182" s="33"/>
      <c r="AE182" s="33">
        <f t="shared" si="123"/>
        <v>1121.9768786127167</v>
      </c>
      <c r="AF182" s="50"/>
      <c r="AG182" s="33">
        <f t="shared" si="124"/>
        <v>5156</v>
      </c>
      <c r="AH182" s="33">
        <f t="shared" si="112"/>
        <v>460725896.34662843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0.57787287332536408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9">+H182+D183</f>
        <v>6605477</v>
      </c>
      <c r="I183" s="16"/>
      <c r="J183" s="479">
        <f t="shared" ref="J183:J212" si="140">+D183/H182</f>
        <v>5.3640403066313926E-3</v>
      </c>
      <c r="K183" s="16"/>
      <c r="L183" s="16"/>
      <c r="M183" s="16"/>
      <c r="N183" s="16">
        <f t="shared" ref="N183:N212" si="141">SUM(D177:D183)</f>
        <v>260617</v>
      </c>
      <c r="O183" s="16">
        <f t="shared" ref="O183:O212" si="142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3">+AA182+W183</f>
        <v>195310</v>
      </c>
      <c r="AB183" s="33"/>
      <c r="AC183" s="46">
        <f t="shared" ref="AC183:AC212" si="144">+AA183/H183</f>
        <v>2.9567887375885192E-2</v>
      </c>
      <c r="AD183" s="33"/>
      <c r="AE183" s="33">
        <f t="shared" ref="AE183:AE212" si="145">+AA183/BW183</f>
        <v>1122.471264367816</v>
      </c>
      <c r="AF183" s="50"/>
      <c r="AG183" s="33">
        <f t="shared" ref="AG183:AG195" si="146">SUM(W177:W183)</f>
        <v>5274</v>
      </c>
      <c r="AH183" s="33">
        <f t="shared" si="112"/>
        <v>460676096.34662843</v>
      </c>
      <c r="AI183" s="231">
        <f t="shared" ref="AI183:AI212" si="147">+(AG183-AG176)/AG176</f>
        <v>-0.16774498974278049</v>
      </c>
      <c r="AJ183" s="50"/>
      <c r="AK183" s="10"/>
      <c r="AL183" s="23">
        <f t="shared" ref="AL183:AL212" si="148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9">+AL183/AP182</f>
        <v>1.2993973809247885E-2</v>
      </c>
      <c r="AS183" s="25"/>
      <c r="AT183" s="25"/>
      <c r="AU183" s="24"/>
      <c r="AV183" s="341">
        <f t="shared" ref="AV183:AV212" si="150">+AP183/H183</f>
        <v>0.58225848034895888</v>
      </c>
      <c r="AW183" s="341"/>
      <c r="AX183" s="24">
        <f t="shared" ref="AX183:AX212" si="151">+AP183/BW183</f>
        <v>22103.994252873563</v>
      </c>
      <c r="AY183" s="351"/>
      <c r="AZ183" s="10"/>
      <c r="BA183" s="66">
        <f t="shared" ref="BA183:BA212" si="152">+BC183-BC182</f>
        <v>626098</v>
      </c>
      <c r="BB183" s="67"/>
      <c r="BC183" s="67">
        <v>89283072</v>
      </c>
      <c r="BD183" s="67"/>
      <c r="BE183" s="67">
        <f t="shared" ref="BE183:BE212" si="153">+D183</f>
        <v>35243</v>
      </c>
      <c r="BF183" s="67"/>
      <c r="BG183" s="156">
        <f t="shared" ref="BG183:BG212" si="154">+BE183/BA183</f>
        <v>5.6289909886311724E-2</v>
      </c>
      <c r="BH183" s="67"/>
      <c r="BI183" s="183"/>
      <c r="BJ183" s="67"/>
      <c r="BK183" s="67">
        <f t="shared" ref="BK183:BK212" si="155">SUM(BA177:BA183)</f>
        <v>5184661</v>
      </c>
      <c r="BL183" s="67"/>
      <c r="BM183" s="156">
        <f t="shared" ref="BM183:BM212" si="156">+Q183/BK183</f>
        <v>5.026693162773805E-2</v>
      </c>
      <c r="BN183" s="66">
        <f t="shared" ref="BN183:BN212" si="157">+BC183/BW183</f>
        <v>513121.10344827588</v>
      </c>
      <c r="BO183" s="67"/>
      <c r="BP183" s="67">
        <f t="shared" ref="BP183:BP212" si="158">+BP182+BE183</f>
        <v>6262830</v>
      </c>
      <c r="BQ183" s="67"/>
      <c r="BR183" s="478">
        <f t="shared" ref="BR183:BR212" si="159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9"/>
        <v>6644288</v>
      </c>
      <c r="I184" s="16"/>
      <c r="J184" s="479">
        <f t="shared" si="140"/>
        <v>5.8755787053682874E-3</v>
      </c>
      <c r="K184" s="16"/>
      <c r="L184" s="16"/>
      <c r="M184" s="16"/>
      <c r="N184" s="16">
        <f t="shared" si="141"/>
        <v>253964</v>
      </c>
      <c r="O184" s="16">
        <f t="shared" si="142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3"/>
        <v>196399</v>
      </c>
      <c r="AB184" s="33"/>
      <c r="AC184" s="46">
        <f t="shared" si="144"/>
        <v>2.9559073899265053E-2</v>
      </c>
      <c r="AD184" s="33"/>
      <c r="AE184" s="33">
        <f t="shared" si="145"/>
        <v>1122.28</v>
      </c>
      <c r="AF184" s="50"/>
      <c r="AG184" s="33">
        <f t="shared" si="146"/>
        <v>5249</v>
      </c>
      <c r="AH184" s="33">
        <f t="shared" ref="AH184:AH215" si="160">SUM(D155:D319)</f>
        <v>460621577.34662843</v>
      </c>
      <c r="AI184" s="231">
        <f t="shared" si="147"/>
        <v>-0.16788205453392518</v>
      </c>
      <c r="AJ184" s="50"/>
      <c r="AK184" s="10"/>
      <c r="AL184" s="23">
        <f t="shared" si="148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9"/>
        <v>8.8050347170311703E-3</v>
      </c>
      <c r="AS184" s="25"/>
      <c r="AT184" s="25"/>
      <c r="AU184" s="24"/>
      <c r="AV184" s="341">
        <f t="shared" si="150"/>
        <v>0.58395421751736232</v>
      </c>
      <c r="AW184" s="341"/>
      <c r="AX184" s="24">
        <f t="shared" si="151"/>
        <v>22171.200000000001</v>
      </c>
      <c r="AY184" s="351"/>
      <c r="AZ184" s="10"/>
      <c r="BA184" s="66">
        <f t="shared" si="152"/>
        <v>701717</v>
      </c>
      <c r="BB184" s="67"/>
      <c r="BC184" s="67">
        <v>89984789</v>
      </c>
      <c r="BD184" s="67"/>
      <c r="BE184" s="67">
        <f t="shared" si="153"/>
        <v>38811</v>
      </c>
      <c r="BF184" s="67"/>
      <c r="BG184" s="156">
        <f t="shared" si="154"/>
        <v>5.5308621566813973E-2</v>
      </c>
      <c r="BH184" s="67"/>
      <c r="BI184" s="183"/>
      <c r="BJ184" s="67"/>
      <c r="BK184" s="67">
        <f t="shared" si="155"/>
        <v>5103260</v>
      </c>
      <c r="BL184" s="67"/>
      <c r="BM184" s="156">
        <f t="shared" si="156"/>
        <v>4.9765052143139872E-2</v>
      </c>
      <c r="BN184" s="66">
        <f t="shared" si="157"/>
        <v>514198.79428571428</v>
      </c>
      <c r="BO184" s="67"/>
      <c r="BP184" s="67">
        <f t="shared" si="158"/>
        <v>6301641</v>
      </c>
      <c r="BQ184" s="67"/>
      <c r="BR184" s="478">
        <f t="shared" si="159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9"/>
        <v>6690888</v>
      </c>
      <c r="I185" s="16"/>
      <c r="J185" s="479">
        <f t="shared" si="140"/>
        <v>7.0135430613483341E-3</v>
      </c>
      <c r="K185" s="16"/>
      <c r="L185" s="16"/>
      <c r="M185" s="16"/>
      <c r="N185" s="16">
        <f t="shared" si="141"/>
        <v>247715</v>
      </c>
      <c r="O185" s="16">
        <f t="shared" si="142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3"/>
        <v>197493</v>
      </c>
      <c r="AB185" s="33"/>
      <c r="AC185" s="46">
        <f t="shared" si="144"/>
        <v>2.9516709889629001E-2</v>
      </c>
      <c r="AD185" s="33"/>
      <c r="AE185" s="33">
        <f t="shared" si="145"/>
        <v>1122.1193181818182</v>
      </c>
      <c r="AF185" s="50"/>
      <c r="AG185" s="33">
        <f t="shared" si="146"/>
        <v>5310</v>
      </c>
      <c r="AH185" s="33">
        <f t="shared" si="160"/>
        <v>460567232.34662843</v>
      </c>
      <c r="AI185" s="231">
        <f t="shared" si="147"/>
        <v>-0.14849262347658757</v>
      </c>
      <c r="AJ185" s="50"/>
      <c r="AK185" s="10"/>
      <c r="AL185" s="23">
        <f t="shared" si="148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9"/>
        <v>9.7944308704213442E-3</v>
      </c>
      <c r="AS185" s="25"/>
      <c r="AT185" s="25"/>
      <c r="AU185" s="24"/>
      <c r="AV185" s="341">
        <f t="shared" si="150"/>
        <v>0.58556681863453697</v>
      </c>
      <c r="AW185" s="341"/>
      <c r="AX185" s="24">
        <f t="shared" si="151"/>
        <v>22261.147727272728</v>
      </c>
      <c r="AY185" s="351"/>
      <c r="AZ185" s="10"/>
      <c r="BA185" s="66">
        <f t="shared" si="152"/>
        <v>860917</v>
      </c>
      <c r="BB185" s="67"/>
      <c r="BC185" s="67">
        <v>90845706</v>
      </c>
      <c r="BD185" s="67"/>
      <c r="BE185" s="67">
        <f t="shared" si="153"/>
        <v>46600</v>
      </c>
      <c r="BF185" s="67"/>
      <c r="BG185" s="156">
        <f t="shared" si="154"/>
        <v>5.412833060562168E-2</v>
      </c>
      <c r="BH185" s="67"/>
      <c r="BI185" s="183"/>
      <c r="BJ185" s="67"/>
      <c r="BK185" s="67">
        <f t="shared" si="155"/>
        <v>4949989</v>
      </c>
      <c r="BL185" s="67"/>
      <c r="BM185" s="156">
        <f t="shared" si="156"/>
        <v>5.0043545551313344E-2</v>
      </c>
      <c r="BN185" s="66">
        <f t="shared" si="157"/>
        <v>516168.78409090912</v>
      </c>
      <c r="BO185" s="67"/>
      <c r="BP185" s="67">
        <f t="shared" si="158"/>
        <v>6348241</v>
      </c>
      <c r="BQ185" s="67"/>
      <c r="BR185" s="478">
        <f t="shared" si="159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9"/>
        <v>6730170</v>
      </c>
      <c r="I186" s="16"/>
      <c r="J186" s="479">
        <f t="shared" si="140"/>
        <v>5.8709695932737177E-3</v>
      </c>
      <c r="K186" s="16"/>
      <c r="L186" s="16"/>
      <c r="M186" s="16"/>
      <c r="N186" s="16">
        <f t="shared" si="141"/>
        <v>244905</v>
      </c>
      <c r="O186" s="16">
        <f t="shared" si="142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3"/>
        <v>198200</v>
      </c>
      <c r="AB186" s="33"/>
      <c r="AC186" s="46">
        <f t="shared" si="144"/>
        <v>2.9449478987900752E-2</v>
      </c>
      <c r="AD186" s="33"/>
      <c r="AE186" s="33">
        <f t="shared" si="145"/>
        <v>1119.774011299435</v>
      </c>
      <c r="AF186" s="50"/>
      <c r="AG186" s="33">
        <f t="shared" si="146"/>
        <v>5310</v>
      </c>
      <c r="AH186" s="33">
        <f t="shared" si="160"/>
        <v>460511868.34662843</v>
      </c>
      <c r="AI186" s="231">
        <f t="shared" si="147"/>
        <v>-0.11337451995324763</v>
      </c>
      <c r="AJ186" s="50"/>
      <c r="AK186" s="10"/>
      <c r="AL186" s="23">
        <f t="shared" si="148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9"/>
        <v>8.2675635955632033E-3</v>
      </c>
      <c r="AS186" s="25"/>
      <c r="AT186" s="25"/>
      <c r="AU186" s="24"/>
      <c r="AV186" s="341">
        <f t="shared" si="150"/>
        <v>0.58696199353062406</v>
      </c>
      <c r="AW186" s="341"/>
      <c r="AX186" s="24">
        <f t="shared" si="151"/>
        <v>22318.384180790959</v>
      </c>
      <c r="AY186" s="351"/>
      <c r="AZ186" s="10"/>
      <c r="BA186" s="66">
        <f t="shared" si="152"/>
        <v>857797</v>
      </c>
      <c r="BB186" s="67"/>
      <c r="BC186" s="67">
        <v>91703503</v>
      </c>
      <c r="BD186" s="67"/>
      <c r="BE186" s="67">
        <f t="shared" si="153"/>
        <v>39282</v>
      </c>
      <c r="BF186" s="67"/>
      <c r="BG186" s="156">
        <f t="shared" si="154"/>
        <v>4.5794051506358728E-2</v>
      </c>
      <c r="BH186" s="67"/>
      <c r="BI186" s="183"/>
      <c r="BJ186" s="67"/>
      <c r="BK186" s="67">
        <f t="shared" si="155"/>
        <v>4944301</v>
      </c>
      <c r="BL186" s="67"/>
      <c r="BM186" s="156">
        <f t="shared" si="156"/>
        <v>4.9532785321929229E-2</v>
      </c>
      <c r="BN186" s="66">
        <f t="shared" si="157"/>
        <v>518098.88700564974</v>
      </c>
      <c r="BO186" s="67"/>
      <c r="BP186" s="67">
        <f t="shared" si="158"/>
        <v>6387523</v>
      </c>
      <c r="BQ186" s="67"/>
      <c r="BR186" s="478">
        <f t="shared" si="159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9"/>
        <v>6762027</v>
      </c>
      <c r="I187" s="16"/>
      <c r="J187" s="479">
        <f t="shared" si="140"/>
        <v>4.7334614133075388E-3</v>
      </c>
      <c r="K187" s="16"/>
      <c r="L187" s="16"/>
      <c r="M187" s="16"/>
      <c r="N187" s="16">
        <f t="shared" si="141"/>
        <v>245652</v>
      </c>
      <c r="O187" s="16">
        <f t="shared" si="142"/>
        <v>37988.915730337081</v>
      </c>
      <c r="P187" s="41"/>
      <c r="Q187" s="17">
        <f t="shared" ref="Q187:Q236" si="161">SUM(D181:D187)</f>
        <v>245652</v>
      </c>
      <c r="R187" s="16"/>
      <c r="S187" s="60">
        <f t="shared" ref="S187:S236" si="162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3"/>
        <v>198592</v>
      </c>
      <c r="AB187" s="33"/>
      <c r="AC187" s="46">
        <f t="shared" si="144"/>
        <v>2.9368708524825472E-2</v>
      </c>
      <c r="AD187" s="33"/>
      <c r="AE187" s="33">
        <f t="shared" si="145"/>
        <v>1115.685393258427</v>
      </c>
      <c r="AF187" s="50"/>
      <c r="AG187" s="33">
        <f t="shared" si="146"/>
        <v>5272</v>
      </c>
      <c r="AH187" s="33">
        <f t="shared" si="160"/>
        <v>460451268.34662843</v>
      </c>
      <c r="AI187" s="231">
        <f t="shared" si="147"/>
        <v>-0.12859504132231406</v>
      </c>
      <c r="AJ187" s="50"/>
      <c r="AK187" s="10"/>
      <c r="AL187" s="23">
        <f t="shared" si="148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9"/>
        <v>6.2260243006069839E-3</v>
      </c>
      <c r="AS187" s="25"/>
      <c r="AT187" s="25"/>
      <c r="AU187" s="24"/>
      <c r="AV187" s="341">
        <f t="shared" si="150"/>
        <v>0.58783394387511323</v>
      </c>
      <c r="AW187" s="341"/>
      <c r="AX187" s="24">
        <f t="shared" si="151"/>
        <v>22331.174157303372</v>
      </c>
      <c r="AY187" s="351"/>
      <c r="AZ187" s="391"/>
      <c r="BA187" s="66">
        <f t="shared" si="152"/>
        <v>699997</v>
      </c>
      <c r="BB187" s="67"/>
      <c r="BC187" s="67">
        <v>92403500</v>
      </c>
      <c r="BD187" s="67"/>
      <c r="BE187" s="67">
        <f t="shared" si="153"/>
        <v>31857</v>
      </c>
      <c r="BF187" s="67"/>
      <c r="BG187" s="156">
        <f t="shared" si="154"/>
        <v>4.5510195043693046E-2</v>
      </c>
      <c r="BH187" s="67"/>
      <c r="BI187" s="183"/>
      <c r="BJ187" s="67"/>
      <c r="BK187" s="67">
        <f t="shared" si="155"/>
        <v>4928581</v>
      </c>
      <c r="BL187" s="67"/>
      <c r="BM187" s="156">
        <f t="shared" si="156"/>
        <v>4.9842337987343617E-2</v>
      </c>
      <c r="BN187" s="66">
        <f t="shared" si="157"/>
        <v>519120.78651685396</v>
      </c>
      <c r="BO187" s="67"/>
      <c r="BP187" s="67">
        <f t="shared" si="158"/>
        <v>6419380</v>
      </c>
      <c r="BQ187" s="67"/>
      <c r="BR187" s="478">
        <f t="shared" si="159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62" si="163">1+B187</f>
        <v>44088</v>
      </c>
      <c r="C188" s="61"/>
      <c r="D188" s="17">
        <v>38072</v>
      </c>
      <c r="E188" s="16"/>
      <c r="F188" s="16"/>
      <c r="G188" s="16"/>
      <c r="H188" s="16">
        <f t="shared" si="139"/>
        <v>6800099</v>
      </c>
      <c r="I188" s="16"/>
      <c r="J188" s="479">
        <f t="shared" si="140"/>
        <v>5.6302644162763617E-3</v>
      </c>
      <c r="K188" s="16"/>
      <c r="L188" s="16"/>
      <c r="M188" s="16"/>
      <c r="N188" s="16">
        <f t="shared" si="141"/>
        <v>258304</v>
      </c>
      <c r="O188" s="16">
        <f t="shared" si="142"/>
        <v>37989.379888268159</v>
      </c>
      <c r="P188" s="41"/>
      <c r="Q188" s="17">
        <f t="shared" si="161"/>
        <v>258304</v>
      </c>
      <c r="R188" s="16"/>
      <c r="S188" s="60">
        <f t="shared" si="162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3"/>
        <v>199072</v>
      </c>
      <c r="AB188" s="33"/>
      <c r="AC188" s="46">
        <f t="shared" si="144"/>
        <v>2.9274867910011309E-2</v>
      </c>
      <c r="AD188" s="33"/>
      <c r="AE188" s="33">
        <f t="shared" si="145"/>
        <v>1112.1340782122904</v>
      </c>
      <c r="AF188" s="50"/>
      <c r="AG188" s="33">
        <f t="shared" si="146"/>
        <v>5466</v>
      </c>
      <c r="AH188" s="33">
        <f t="shared" si="160"/>
        <v>460397745.34662843</v>
      </c>
      <c r="AI188" s="231">
        <f t="shared" si="147"/>
        <v>-6.1469780219780217E-2</v>
      </c>
      <c r="AJ188" s="50"/>
      <c r="AK188" s="10"/>
      <c r="AL188" s="23">
        <f t="shared" si="148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9"/>
        <v>1.3302560611469481E-2</v>
      </c>
      <c r="AS188" s="25"/>
      <c r="AT188" s="25"/>
      <c r="AU188" s="24"/>
      <c r="AV188" s="341">
        <f t="shared" si="150"/>
        <v>0.59231872947732089</v>
      </c>
      <c r="AW188" s="341"/>
      <c r="AX188" s="24">
        <f t="shared" si="151"/>
        <v>22501.821229050278</v>
      </c>
      <c r="AY188" s="351"/>
      <c r="AZ188" s="10"/>
      <c r="BA188" s="66">
        <f t="shared" si="152"/>
        <v>486822</v>
      </c>
      <c r="BB188" s="67"/>
      <c r="BC188" s="67">
        <v>92890322</v>
      </c>
      <c r="BD188" s="67"/>
      <c r="BE188" s="67">
        <f t="shared" si="153"/>
        <v>38072</v>
      </c>
      <c r="BF188" s="67"/>
      <c r="BG188" s="156">
        <f t="shared" si="154"/>
        <v>7.8205175608333233E-2</v>
      </c>
      <c r="BH188" s="67"/>
      <c r="BI188" s="183"/>
      <c r="BJ188" s="67"/>
      <c r="BK188" s="67">
        <f t="shared" si="155"/>
        <v>4822472</v>
      </c>
      <c r="BL188" s="67"/>
      <c r="BM188" s="156">
        <f t="shared" si="156"/>
        <v>5.3562571229029431E-2</v>
      </c>
      <c r="BN188" s="66">
        <f t="shared" si="157"/>
        <v>518940.34636871511</v>
      </c>
      <c r="BO188" s="67"/>
      <c r="BP188" s="67">
        <f t="shared" si="158"/>
        <v>6457452</v>
      </c>
      <c r="BQ188" s="67"/>
      <c r="BR188" s="478">
        <f t="shared" si="159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63"/>
        <v>44089</v>
      </c>
      <c r="C189" s="61"/>
      <c r="D189" s="17">
        <v>36447</v>
      </c>
      <c r="E189" s="16"/>
      <c r="F189" s="16"/>
      <c r="G189" s="16"/>
      <c r="H189" s="16">
        <f t="shared" si="139"/>
        <v>6836546</v>
      </c>
      <c r="I189" s="16"/>
      <c r="J189" s="479">
        <f t="shared" si="140"/>
        <v>5.3597749091594104E-3</v>
      </c>
      <c r="K189" s="16"/>
      <c r="L189" s="16"/>
      <c r="M189" s="16"/>
      <c r="N189" s="16">
        <f t="shared" si="141"/>
        <v>266312</v>
      </c>
      <c r="O189" s="16">
        <f t="shared" si="142"/>
        <v>37980.811111111114</v>
      </c>
      <c r="P189" s="41"/>
      <c r="Q189" s="17">
        <f t="shared" si="161"/>
        <v>266312</v>
      </c>
      <c r="R189" s="16"/>
      <c r="S189" s="60">
        <f t="shared" si="162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3"/>
        <v>200269</v>
      </c>
      <c r="AB189" s="33"/>
      <c r="AC189" s="46">
        <f t="shared" si="144"/>
        <v>2.9293886123197298E-2</v>
      </c>
      <c r="AD189" s="33"/>
      <c r="AE189" s="33">
        <f t="shared" si="145"/>
        <v>1112.6055555555556</v>
      </c>
      <c r="AF189" s="50"/>
      <c r="AG189" s="33">
        <f t="shared" si="146"/>
        <v>6167</v>
      </c>
      <c r="AH189" s="33">
        <f t="shared" si="160"/>
        <v>460360902.34662843</v>
      </c>
      <c r="AI189" s="231">
        <f t="shared" si="147"/>
        <v>0.1960822342901474</v>
      </c>
      <c r="AJ189" s="50"/>
      <c r="AK189" s="10"/>
      <c r="AL189" s="23">
        <f t="shared" si="148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9"/>
        <v>9.9954665370351158E-3</v>
      </c>
      <c r="AS189" s="25"/>
      <c r="AT189" s="25"/>
      <c r="AU189" s="24"/>
      <c r="AV189" s="341">
        <f t="shared" si="150"/>
        <v>0.59504989800405061</v>
      </c>
      <c r="AW189" s="341"/>
      <c r="AX189" s="24">
        <f t="shared" si="151"/>
        <v>22600.477777777778</v>
      </c>
      <c r="AY189" s="351"/>
      <c r="AZ189" s="10"/>
      <c r="BA189" s="66">
        <f t="shared" si="152"/>
        <v>741636</v>
      </c>
      <c r="BB189" s="67"/>
      <c r="BC189" s="67">
        <v>93631958</v>
      </c>
      <c r="BD189" s="67"/>
      <c r="BE189" s="67">
        <f t="shared" si="153"/>
        <v>36447</v>
      </c>
      <c r="BF189" s="67"/>
      <c r="BG189" s="156">
        <f t="shared" si="154"/>
        <v>4.9144054495736451E-2</v>
      </c>
      <c r="BH189" s="67"/>
      <c r="BI189" s="183"/>
      <c r="BJ189" s="67"/>
      <c r="BK189" s="67">
        <f t="shared" si="155"/>
        <v>4974984</v>
      </c>
      <c r="BL189" s="67"/>
      <c r="BM189" s="156">
        <f t="shared" si="156"/>
        <v>5.3530222408755483E-2</v>
      </c>
      <c r="BN189" s="66">
        <f t="shared" si="157"/>
        <v>520177.54444444447</v>
      </c>
      <c r="BO189" s="67"/>
      <c r="BP189" s="67">
        <f t="shared" si="158"/>
        <v>6493899</v>
      </c>
      <c r="BQ189" s="67"/>
      <c r="BR189" s="478">
        <f t="shared" si="159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63"/>
        <v>44090</v>
      </c>
      <c r="C190" s="61"/>
      <c r="D190" s="17">
        <v>40154</v>
      </c>
      <c r="E190" s="16"/>
      <c r="F190" s="16"/>
      <c r="G190" s="16"/>
      <c r="H190" s="16">
        <f t="shared" si="139"/>
        <v>6876700</v>
      </c>
      <c r="I190" s="16"/>
      <c r="J190" s="479">
        <f t="shared" si="140"/>
        <v>5.8734337485625053E-3</v>
      </c>
      <c r="K190" s="16"/>
      <c r="L190" s="16"/>
      <c r="M190" s="16"/>
      <c r="N190" s="16">
        <f t="shared" si="141"/>
        <v>271223</v>
      </c>
      <c r="O190" s="16">
        <f t="shared" si="142"/>
        <v>37992.817679558008</v>
      </c>
      <c r="P190" s="41"/>
      <c r="Q190" s="17">
        <f t="shared" si="161"/>
        <v>271223</v>
      </c>
      <c r="R190" s="16"/>
      <c r="S190" s="60">
        <f t="shared" si="162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3"/>
        <v>201420</v>
      </c>
      <c r="AB190" s="33"/>
      <c r="AC190" s="46">
        <f t="shared" si="144"/>
        <v>2.9290211874881848E-2</v>
      </c>
      <c r="AD190" s="33"/>
      <c r="AE190" s="33">
        <f t="shared" si="145"/>
        <v>1112.8176795580112</v>
      </c>
      <c r="AF190" s="50"/>
      <c r="AG190" s="33">
        <f t="shared" si="146"/>
        <v>6110</v>
      </c>
      <c r="AH190" s="33">
        <f t="shared" si="160"/>
        <v>460320290.34662843</v>
      </c>
      <c r="AI190" s="231">
        <f t="shared" si="147"/>
        <v>0.15851346226772847</v>
      </c>
      <c r="AJ190" s="50"/>
      <c r="AK190" s="10"/>
      <c r="AL190" s="23">
        <f t="shared" si="148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9"/>
        <v>1.2554306865685731E-2</v>
      </c>
      <c r="AS190" s="25"/>
      <c r="AT190" s="25"/>
      <c r="AU190" s="24"/>
      <c r="AV190" s="341">
        <f t="shared" si="150"/>
        <v>0.59900213765323485</v>
      </c>
      <c r="AW190" s="341"/>
      <c r="AX190" s="24">
        <f t="shared" si="151"/>
        <v>22757.779005524862</v>
      </c>
      <c r="AY190" s="351"/>
      <c r="AZ190" s="10"/>
      <c r="BA190" s="66">
        <f t="shared" si="152"/>
        <v>737109</v>
      </c>
      <c r="BB190" s="67"/>
      <c r="BC190" s="67">
        <v>94369067</v>
      </c>
      <c r="BD190" s="67"/>
      <c r="BE190" s="67">
        <f t="shared" si="153"/>
        <v>40154</v>
      </c>
      <c r="BF190" s="67"/>
      <c r="BG190" s="156">
        <f t="shared" si="154"/>
        <v>5.4474982668777615E-2</v>
      </c>
      <c r="BH190" s="67"/>
      <c r="BI190" s="183"/>
      <c r="BJ190" s="67"/>
      <c r="BK190" s="67">
        <f t="shared" si="155"/>
        <v>5085995</v>
      </c>
      <c r="BL190" s="67"/>
      <c r="BM190" s="156">
        <f t="shared" si="156"/>
        <v>5.3327421674618243E-2</v>
      </c>
      <c r="BN190" s="66">
        <f t="shared" si="157"/>
        <v>521376.06077348068</v>
      </c>
      <c r="BO190" s="67"/>
      <c r="BP190" s="67">
        <f t="shared" si="158"/>
        <v>6534053</v>
      </c>
      <c r="BQ190" s="67"/>
      <c r="BR190" s="478">
        <f t="shared" si="159"/>
        <v>6.9239351492157916E-2</v>
      </c>
      <c r="BS190" s="67"/>
      <c r="BT190" s="86"/>
      <c r="BU190" s="183"/>
      <c r="BV190" s="1"/>
      <c r="BW190" s="61">
        <f t="shared" ref="BW190:BW215" si="164">+BW189+1</f>
        <v>181</v>
      </c>
    </row>
    <row r="191" spans="2:75" x14ac:dyDescent="0.3">
      <c r="B191" s="171">
        <f t="shared" si="163"/>
        <v>44091</v>
      </c>
      <c r="C191" s="61"/>
      <c r="D191" s="17">
        <v>46295</v>
      </c>
      <c r="E191" s="16"/>
      <c r="F191" s="16"/>
      <c r="G191" s="16"/>
      <c r="H191" s="16">
        <f t="shared" si="139"/>
        <v>6922995</v>
      </c>
      <c r="I191" s="16"/>
      <c r="J191" s="479">
        <f t="shared" si="140"/>
        <v>6.7321535038608639E-3</v>
      </c>
      <c r="K191" s="16"/>
      <c r="L191" s="16"/>
      <c r="M191" s="16"/>
      <c r="N191" s="16">
        <f t="shared" si="141"/>
        <v>278707</v>
      </c>
      <c r="O191" s="16">
        <f t="shared" si="142"/>
        <v>38038.434065934067</v>
      </c>
      <c r="P191" s="41"/>
      <c r="Q191" s="17">
        <f t="shared" si="161"/>
        <v>278707</v>
      </c>
      <c r="R191" s="16"/>
      <c r="S191" s="60">
        <f t="shared" si="162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3"/>
        <v>202299</v>
      </c>
      <c r="AB191" s="33"/>
      <c r="AC191" s="46">
        <f t="shared" si="144"/>
        <v>2.9221312452197352E-2</v>
      </c>
      <c r="AD191" s="33"/>
      <c r="AE191" s="33">
        <f t="shared" si="145"/>
        <v>1111.532967032967</v>
      </c>
      <c r="AF191" s="50"/>
      <c r="AG191" s="33">
        <f t="shared" si="146"/>
        <v>5900</v>
      </c>
      <c r="AH191" s="33">
        <f t="shared" si="160"/>
        <v>460276291.34662843</v>
      </c>
      <c r="AI191" s="231">
        <f t="shared" si="147"/>
        <v>0.12402362354734235</v>
      </c>
      <c r="AJ191" s="50"/>
      <c r="AK191" s="10"/>
      <c r="AL191" s="23">
        <f t="shared" si="148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9"/>
        <v>8.7107607914044573E-3</v>
      </c>
      <c r="AS191" s="25"/>
      <c r="AT191" s="25"/>
      <c r="AU191" s="24"/>
      <c r="AV191" s="341">
        <f t="shared" si="150"/>
        <v>0.60017940212292509</v>
      </c>
      <c r="AW191" s="341"/>
      <c r="AX191" s="24">
        <f t="shared" si="151"/>
        <v>22829.884615384617</v>
      </c>
      <c r="AY191" s="351"/>
      <c r="AZ191" s="10"/>
      <c r="BA191" s="66">
        <f t="shared" si="152"/>
        <v>865955</v>
      </c>
      <c r="BB191" s="67"/>
      <c r="BC191" s="67">
        <v>95235022</v>
      </c>
      <c r="BD191" s="67"/>
      <c r="BE191" s="67">
        <f t="shared" si="153"/>
        <v>46295</v>
      </c>
      <c r="BF191" s="67"/>
      <c r="BG191" s="156">
        <f t="shared" si="154"/>
        <v>5.3461207568522615E-2</v>
      </c>
      <c r="BH191" s="67"/>
      <c r="BI191" s="183"/>
      <c r="BJ191" s="67"/>
      <c r="BK191" s="67">
        <f t="shared" si="155"/>
        <v>5250233</v>
      </c>
      <c r="BL191" s="67"/>
      <c r="BM191" s="156">
        <f t="shared" si="156"/>
        <v>5.3084691669874458E-2</v>
      </c>
      <c r="BN191" s="66">
        <f t="shared" si="157"/>
        <v>523269.35164835164</v>
      </c>
      <c r="BO191" s="67"/>
      <c r="BP191" s="67">
        <f t="shared" si="158"/>
        <v>6580348</v>
      </c>
      <c r="BQ191" s="67"/>
      <c r="BR191" s="478">
        <f t="shared" si="159"/>
        <v>6.9095883655069662E-2</v>
      </c>
      <c r="BS191" s="67"/>
      <c r="BT191" s="86"/>
      <c r="BU191" s="183"/>
      <c r="BV191" s="1"/>
      <c r="BW191" s="61">
        <f t="shared" si="164"/>
        <v>182</v>
      </c>
    </row>
    <row r="192" spans="2:75" x14ac:dyDescent="0.3">
      <c r="B192" s="171">
        <f t="shared" si="163"/>
        <v>44092</v>
      </c>
      <c r="C192" s="61"/>
      <c r="D192" s="17">
        <v>51345</v>
      </c>
      <c r="E192" s="16"/>
      <c r="F192" s="16"/>
      <c r="G192" s="16"/>
      <c r="H192" s="16">
        <f t="shared" si="139"/>
        <v>6974340</v>
      </c>
      <c r="I192" s="16"/>
      <c r="J192" s="479">
        <f t="shared" si="140"/>
        <v>7.4165877629551952E-3</v>
      </c>
      <c r="K192" s="16"/>
      <c r="L192" s="16"/>
      <c r="M192" s="16"/>
      <c r="N192" s="16">
        <f t="shared" si="141"/>
        <v>283452</v>
      </c>
      <c r="O192" s="16">
        <f t="shared" si="142"/>
        <v>38111.147540983606</v>
      </c>
      <c r="P192" s="41"/>
      <c r="Q192" s="17">
        <f t="shared" si="161"/>
        <v>283452</v>
      </c>
      <c r="R192" s="16"/>
      <c r="S192" s="60">
        <f t="shared" si="162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3"/>
        <v>203257</v>
      </c>
      <c r="AB192" s="33"/>
      <c r="AC192" s="46">
        <f t="shared" si="144"/>
        <v>2.914354619935363E-2</v>
      </c>
      <c r="AD192" s="33"/>
      <c r="AE192" s="33">
        <f t="shared" si="145"/>
        <v>1110.6939890710382</v>
      </c>
      <c r="AF192" s="50"/>
      <c r="AG192" s="33">
        <f t="shared" si="146"/>
        <v>5764</v>
      </c>
      <c r="AH192" s="33">
        <f t="shared" si="160"/>
        <v>460231318.34662843</v>
      </c>
      <c r="AI192" s="231">
        <f t="shared" si="147"/>
        <v>8.5499058380414314E-2</v>
      </c>
      <c r="AJ192" s="50"/>
      <c r="AK192" s="10"/>
      <c r="AL192" s="23">
        <f t="shared" si="148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9"/>
        <v>8.8699528452079509E-3</v>
      </c>
      <c r="AS192" s="25"/>
      <c r="AT192" s="25"/>
      <c r="AU192" s="24"/>
      <c r="AV192" s="341">
        <f t="shared" si="150"/>
        <v>0.60104526019666382</v>
      </c>
      <c r="AW192" s="341"/>
      <c r="AX192" s="24">
        <f t="shared" si="151"/>
        <v>22906.524590163935</v>
      </c>
      <c r="AY192" s="351"/>
      <c r="AZ192" s="10"/>
      <c r="BA192" s="66">
        <f t="shared" si="152"/>
        <v>988439</v>
      </c>
      <c r="BB192" s="67"/>
      <c r="BC192" s="67">
        <v>96223461</v>
      </c>
      <c r="BD192" s="67"/>
      <c r="BE192" s="67">
        <f t="shared" si="153"/>
        <v>51345</v>
      </c>
      <c r="BF192" s="67"/>
      <c r="BG192" s="156">
        <f t="shared" si="154"/>
        <v>5.1945542415869871E-2</v>
      </c>
      <c r="BH192" s="67"/>
      <c r="BI192" s="183"/>
      <c r="BJ192" s="67"/>
      <c r="BK192" s="67">
        <f t="shared" si="155"/>
        <v>5377755</v>
      </c>
      <c r="BL192" s="67"/>
      <c r="BM192" s="156">
        <f t="shared" si="156"/>
        <v>5.270823977663542E-2</v>
      </c>
      <c r="BN192" s="66">
        <f t="shared" si="157"/>
        <v>525811.26229508198</v>
      </c>
      <c r="BO192" s="67"/>
      <c r="BP192" s="67">
        <f t="shared" si="158"/>
        <v>6631693</v>
      </c>
      <c r="BQ192" s="67"/>
      <c r="BR192" s="478">
        <f t="shared" si="159"/>
        <v>6.8919709716115912E-2</v>
      </c>
      <c r="BS192" s="67"/>
      <c r="BT192" s="86"/>
      <c r="BU192" s="183"/>
      <c r="BV192" s="1"/>
      <c r="BW192" s="61">
        <f t="shared" si="164"/>
        <v>183</v>
      </c>
    </row>
    <row r="193" spans="2:75" x14ac:dyDescent="0.3">
      <c r="B193" s="171">
        <f t="shared" si="163"/>
        <v>44093</v>
      </c>
      <c r="C193" s="61"/>
      <c r="D193" s="17">
        <v>43613</v>
      </c>
      <c r="E193" s="16"/>
      <c r="F193" s="16"/>
      <c r="G193" s="16"/>
      <c r="H193" s="16">
        <f t="shared" si="139"/>
        <v>7017953</v>
      </c>
      <c r="I193" s="16"/>
      <c r="J193" s="479">
        <f t="shared" si="140"/>
        <v>6.2533515716182465E-3</v>
      </c>
      <c r="K193" s="16"/>
      <c r="L193" s="16"/>
      <c r="M193" s="16"/>
      <c r="N193" s="16">
        <f t="shared" si="141"/>
        <v>287783</v>
      </c>
      <c r="O193" s="16">
        <f t="shared" si="142"/>
        <v>38141.04891304348</v>
      </c>
      <c r="P193" s="41"/>
      <c r="Q193" s="17">
        <f t="shared" si="161"/>
        <v>287783</v>
      </c>
      <c r="R193" s="16"/>
      <c r="S193" s="60">
        <f t="shared" si="162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3"/>
        <v>203915</v>
      </c>
      <c r="AB193" s="33"/>
      <c r="AC193" s="46">
        <f t="shared" si="144"/>
        <v>2.9056193451281305E-2</v>
      </c>
      <c r="AD193" s="33"/>
      <c r="AE193" s="33">
        <f t="shared" si="145"/>
        <v>1108.233695652174</v>
      </c>
      <c r="AF193" s="50"/>
      <c r="AG193" s="33">
        <f t="shared" si="146"/>
        <v>5715</v>
      </c>
      <c r="AH193" s="33">
        <f t="shared" si="160"/>
        <v>460185961.34662843</v>
      </c>
      <c r="AI193" s="231">
        <f t="shared" si="147"/>
        <v>7.6271186440677971E-2</v>
      </c>
      <c r="AJ193" s="50"/>
      <c r="AK193" s="10"/>
      <c r="AL193" s="23">
        <f t="shared" si="148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9"/>
        <v>7.5858311302719013E-3</v>
      </c>
      <c r="AS193" s="25"/>
      <c r="AT193" s="25"/>
      <c r="AU193" s="24"/>
      <c r="AV193" s="341">
        <f t="shared" si="150"/>
        <v>0.60184116365555596</v>
      </c>
      <c r="AW193" s="341"/>
      <c r="AX193" s="24">
        <f t="shared" si="151"/>
        <v>22954.853260869564</v>
      </c>
      <c r="AY193" s="351"/>
      <c r="AZ193" s="10"/>
      <c r="BA193" s="66">
        <f t="shared" si="152"/>
        <v>1086851</v>
      </c>
      <c r="BB193" s="67"/>
      <c r="BC193" s="67">
        <v>97310312</v>
      </c>
      <c r="BD193" s="67"/>
      <c r="BE193" s="67">
        <f t="shared" si="153"/>
        <v>43613</v>
      </c>
      <c r="BF193" s="67"/>
      <c r="BG193" s="156">
        <f t="shared" si="154"/>
        <v>4.0127855612222832E-2</v>
      </c>
      <c r="BH193" s="67"/>
      <c r="BI193" s="183"/>
      <c r="BJ193" s="67"/>
      <c r="BK193" s="67">
        <f t="shared" si="155"/>
        <v>5606809</v>
      </c>
      <c r="BL193" s="67"/>
      <c r="BM193" s="156">
        <f t="shared" si="156"/>
        <v>5.1327412793979607E-2</v>
      </c>
      <c r="BN193" s="66">
        <f t="shared" si="157"/>
        <v>528860.39130434778</v>
      </c>
      <c r="BO193" s="67"/>
      <c r="BP193" s="67">
        <f t="shared" si="158"/>
        <v>6675306</v>
      </c>
      <c r="BQ193" s="67"/>
      <c r="BR193" s="478">
        <f t="shared" si="159"/>
        <v>6.8598135827578066E-2</v>
      </c>
      <c r="BS193" s="67"/>
      <c r="BT193" s="86"/>
      <c r="BU193" s="183"/>
      <c r="BV193" s="1"/>
      <c r="BW193" s="61">
        <f t="shared" si="164"/>
        <v>184</v>
      </c>
    </row>
    <row r="194" spans="2:75" x14ac:dyDescent="0.3">
      <c r="B194" s="390">
        <f t="shared" si="163"/>
        <v>44094</v>
      </c>
      <c r="C194" s="61"/>
      <c r="D194" s="17">
        <v>33386</v>
      </c>
      <c r="E194" s="16"/>
      <c r="F194" s="16"/>
      <c r="G194" s="16"/>
      <c r="H194" s="16">
        <f t="shared" si="139"/>
        <v>7051339</v>
      </c>
      <c r="I194" s="16"/>
      <c r="J194" s="479">
        <f t="shared" si="140"/>
        <v>4.7572276417354176E-3</v>
      </c>
      <c r="K194" s="16"/>
      <c r="L194" s="16"/>
      <c r="M194" s="16"/>
      <c r="N194" s="16">
        <f t="shared" si="141"/>
        <v>289312</v>
      </c>
      <c r="O194" s="16">
        <f t="shared" si="142"/>
        <v>38115.345945945948</v>
      </c>
      <c r="P194" s="41"/>
      <c r="Q194" s="17">
        <f t="shared" si="161"/>
        <v>289312</v>
      </c>
      <c r="R194" s="16"/>
      <c r="S194" s="60">
        <f t="shared" si="162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3"/>
        <v>204209</v>
      </c>
      <c r="AB194" s="33"/>
      <c r="AC194" s="46">
        <f t="shared" si="144"/>
        <v>2.8960315196872536E-2</v>
      </c>
      <c r="AD194" s="33"/>
      <c r="AE194" s="33">
        <f t="shared" si="145"/>
        <v>1103.8324324324324</v>
      </c>
      <c r="AF194" s="50"/>
      <c r="AG194" s="33">
        <f t="shared" si="146"/>
        <v>5617</v>
      </c>
      <c r="AH194" s="33">
        <f t="shared" si="160"/>
        <v>460135480.34662843</v>
      </c>
      <c r="AI194" s="231">
        <f t="shared" si="147"/>
        <v>6.5440060698027311E-2</v>
      </c>
      <c r="AJ194" s="50"/>
      <c r="AK194" s="10"/>
      <c r="AL194" s="23">
        <f t="shared" si="148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9"/>
        <v>6.2615819852437195E-3</v>
      </c>
      <c r="AS194" s="25"/>
      <c r="AT194" s="25"/>
      <c r="AU194" s="24"/>
      <c r="AV194" s="341">
        <f t="shared" si="150"/>
        <v>0.60274225930706216</v>
      </c>
      <c r="AW194" s="341"/>
      <c r="AX194" s="24">
        <f t="shared" si="151"/>
        <v>22973.72972972973</v>
      </c>
      <c r="AY194" s="351"/>
      <c r="AZ194" s="391"/>
      <c r="BA194" s="66">
        <f t="shared" si="152"/>
        <v>856297</v>
      </c>
      <c r="BB194" s="67"/>
      <c r="BC194" s="67">
        <v>98166609</v>
      </c>
      <c r="BD194" s="67"/>
      <c r="BE194" s="67">
        <f t="shared" si="153"/>
        <v>33386</v>
      </c>
      <c r="BF194" s="67"/>
      <c r="BG194" s="156">
        <f t="shared" si="154"/>
        <v>3.8988808789473743E-2</v>
      </c>
      <c r="BH194" s="67"/>
      <c r="BI194" s="183"/>
      <c r="BJ194" s="67"/>
      <c r="BK194" s="67">
        <f t="shared" si="155"/>
        <v>5763109</v>
      </c>
      <c r="BL194" s="67"/>
      <c r="BM194" s="156">
        <f t="shared" si="156"/>
        <v>5.0200681611262253E-2</v>
      </c>
      <c r="BN194" s="66">
        <f t="shared" si="157"/>
        <v>530630.31891891896</v>
      </c>
      <c r="BO194" s="67"/>
      <c r="BP194" s="67">
        <f t="shared" si="158"/>
        <v>6708692</v>
      </c>
      <c r="BQ194" s="67"/>
      <c r="BR194" s="478">
        <f t="shared" si="159"/>
        <v>6.8339856783684969E-2</v>
      </c>
      <c r="BS194" s="67"/>
      <c r="BT194" s="86"/>
      <c r="BU194" s="183"/>
      <c r="BV194" s="1"/>
      <c r="BW194" s="61">
        <f t="shared" si="164"/>
        <v>185</v>
      </c>
    </row>
    <row r="195" spans="2:75" x14ac:dyDescent="0.3">
      <c r="B195" s="171">
        <f t="shared" si="163"/>
        <v>44095</v>
      </c>
      <c r="C195" s="61"/>
      <c r="D195" s="17">
        <v>36804</v>
      </c>
      <c r="E195" s="16"/>
      <c r="F195" s="16"/>
      <c r="G195" s="16"/>
      <c r="H195" s="16">
        <f t="shared" si="139"/>
        <v>7088143</v>
      </c>
      <c r="I195" s="16"/>
      <c r="J195" s="479">
        <f t="shared" si="140"/>
        <v>5.2194342095877111E-3</v>
      </c>
      <c r="K195" s="16"/>
      <c r="L195" s="16"/>
      <c r="M195" s="16"/>
      <c r="N195" s="16">
        <f t="shared" si="141"/>
        <v>288044</v>
      </c>
      <c r="O195" s="16">
        <f t="shared" si="142"/>
        <v>38108.295698924732</v>
      </c>
      <c r="P195" s="41"/>
      <c r="Q195" s="17">
        <f t="shared" si="161"/>
        <v>288044</v>
      </c>
      <c r="R195" s="16"/>
      <c r="S195" s="60">
        <f t="shared" si="162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3"/>
        <v>204593</v>
      </c>
      <c r="AB195" s="33"/>
      <c r="AC195" s="46">
        <f t="shared" si="144"/>
        <v>2.8864118570971268E-2</v>
      </c>
      <c r="AD195" s="33"/>
      <c r="AE195" s="33">
        <f t="shared" si="145"/>
        <v>1099.9623655913979</v>
      </c>
      <c r="AF195" s="50"/>
      <c r="AG195" s="33">
        <f t="shared" si="146"/>
        <v>5521</v>
      </c>
      <c r="AH195" s="33">
        <f t="shared" si="160"/>
        <v>460091651.34662843</v>
      </c>
      <c r="AI195" s="231">
        <f t="shared" si="147"/>
        <v>1.0062202707647273E-2</v>
      </c>
      <c r="AJ195" s="50"/>
      <c r="AK195" s="10"/>
      <c r="AL195" s="23">
        <f t="shared" si="148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9"/>
        <v>1.1619617236138104E-2</v>
      </c>
      <c r="AS195" s="25"/>
      <c r="AT195" s="25"/>
      <c r="AU195" s="24"/>
      <c r="AV195" s="341">
        <f t="shared" si="150"/>
        <v>0.60657988982445754</v>
      </c>
      <c r="AW195" s="341"/>
      <c r="AX195" s="24">
        <f t="shared" si="151"/>
        <v>23115.725806451614</v>
      </c>
      <c r="AY195" s="351"/>
      <c r="AZ195" s="10"/>
      <c r="BA195" s="66">
        <f t="shared" si="152"/>
        <v>743166</v>
      </c>
      <c r="BB195" s="67"/>
      <c r="BC195" s="67">
        <v>98909775</v>
      </c>
      <c r="BD195" s="67"/>
      <c r="BE195" s="67">
        <f t="shared" si="153"/>
        <v>36804</v>
      </c>
      <c r="BF195" s="67"/>
      <c r="BG195" s="156">
        <f t="shared" si="154"/>
        <v>4.9523255907832166E-2</v>
      </c>
      <c r="BH195" s="67"/>
      <c r="BI195" s="183"/>
      <c r="BJ195" s="67"/>
      <c r="BK195" s="67">
        <f t="shared" si="155"/>
        <v>6019453</v>
      </c>
      <c r="BL195" s="67"/>
      <c r="BM195" s="156">
        <f t="shared" si="156"/>
        <v>4.7852188562648466E-2</v>
      </c>
      <c r="BN195" s="66">
        <f t="shared" si="157"/>
        <v>531772.98387096776</v>
      </c>
      <c r="BO195" s="67"/>
      <c r="BP195" s="67">
        <f t="shared" si="158"/>
        <v>6745496</v>
      </c>
      <c r="BQ195" s="67"/>
      <c r="BR195" s="478">
        <f t="shared" si="159"/>
        <v>6.8198476844174405E-2</v>
      </c>
      <c r="BS195" s="67"/>
      <c r="BT195" s="86"/>
      <c r="BU195" s="183"/>
      <c r="BV195" s="1"/>
      <c r="BW195" s="61">
        <f t="shared" si="164"/>
        <v>186</v>
      </c>
    </row>
    <row r="196" spans="2:75" x14ac:dyDescent="0.3">
      <c r="B196" s="171">
        <f t="shared" si="163"/>
        <v>44096</v>
      </c>
      <c r="C196" s="61"/>
      <c r="D196" s="17">
        <v>35696</v>
      </c>
      <c r="E196" s="16"/>
      <c r="F196" s="16"/>
      <c r="G196" s="16"/>
      <c r="H196" s="16">
        <f t="shared" si="139"/>
        <v>7123839</v>
      </c>
      <c r="I196" s="16"/>
      <c r="J196" s="479">
        <f t="shared" si="140"/>
        <v>5.0360157801556766E-3</v>
      </c>
      <c r="K196" s="16"/>
      <c r="L196" s="16"/>
      <c r="M196" s="16"/>
      <c r="N196" s="16">
        <f t="shared" si="141"/>
        <v>287293</v>
      </c>
      <c r="O196" s="16">
        <f t="shared" si="142"/>
        <v>38095.395721925132</v>
      </c>
      <c r="P196" s="41"/>
      <c r="Q196" s="17">
        <f t="shared" si="161"/>
        <v>287293</v>
      </c>
      <c r="R196" s="16"/>
      <c r="S196" s="60">
        <f t="shared" si="162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3"/>
        <v>205572</v>
      </c>
      <c r="AB196" s="33"/>
      <c r="AC196" s="46">
        <f t="shared" si="144"/>
        <v>2.8856912684298453E-2</v>
      </c>
      <c r="AD196" s="33"/>
      <c r="AE196" s="33">
        <f t="shared" si="145"/>
        <v>1099.3155080213903</v>
      </c>
      <c r="AF196" s="50"/>
      <c r="AG196" s="33">
        <f t="shared" ref="AG196:AG204" si="165">SUM(W190:W196)</f>
        <v>5303</v>
      </c>
      <c r="AH196" s="33">
        <f t="shared" si="160"/>
        <v>460058933.34662843</v>
      </c>
      <c r="AI196" s="231">
        <f t="shared" si="147"/>
        <v>-0.14010053510621048</v>
      </c>
      <c r="AJ196" s="50"/>
      <c r="AK196" s="10"/>
      <c r="AL196" s="23">
        <f t="shared" si="148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9"/>
        <v>1.0834917810688389E-2</v>
      </c>
      <c r="AS196" s="25"/>
      <c r="AT196" s="25"/>
      <c r="AU196" s="24"/>
      <c r="AV196" s="341">
        <f t="shared" si="150"/>
        <v>0.61007976176890022</v>
      </c>
      <c r="AW196" s="341"/>
      <c r="AX196" s="24">
        <f t="shared" si="151"/>
        <v>23241.229946524065</v>
      </c>
      <c r="AY196" s="351"/>
      <c r="AZ196" s="10"/>
      <c r="BA196" s="66">
        <f t="shared" si="152"/>
        <v>772198</v>
      </c>
      <c r="BB196" s="67"/>
      <c r="BC196" s="67">
        <v>99681973</v>
      </c>
      <c r="BD196" s="67"/>
      <c r="BE196" s="67">
        <f t="shared" si="153"/>
        <v>35696</v>
      </c>
      <c r="BF196" s="67"/>
      <c r="BG196" s="156">
        <f t="shared" si="154"/>
        <v>4.6226485953084574E-2</v>
      </c>
      <c r="BH196" s="67"/>
      <c r="BI196" s="183"/>
      <c r="BJ196" s="67"/>
      <c r="BK196" s="67">
        <f t="shared" si="155"/>
        <v>6050015</v>
      </c>
      <c r="BL196" s="67"/>
      <c r="BM196" s="156">
        <f t="shared" si="156"/>
        <v>4.7486328546292859E-2</v>
      </c>
      <c r="BN196" s="66">
        <f t="shared" si="157"/>
        <v>533058.67914438504</v>
      </c>
      <c r="BO196" s="67"/>
      <c r="BP196" s="67">
        <f t="shared" si="158"/>
        <v>6781192</v>
      </c>
      <c r="BQ196" s="67"/>
      <c r="BR196" s="478">
        <f t="shared" si="159"/>
        <v>6.8028268260701463E-2</v>
      </c>
      <c r="BS196" s="67"/>
      <c r="BT196" s="86"/>
      <c r="BU196" s="183"/>
      <c r="BV196" s="1"/>
      <c r="BW196" s="61">
        <f t="shared" si="164"/>
        <v>187</v>
      </c>
    </row>
    <row r="197" spans="2:75" x14ac:dyDescent="0.3">
      <c r="B197" s="171">
        <f t="shared" si="163"/>
        <v>44097</v>
      </c>
      <c r="C197" s="61"/>
      <c r="D197" s="17">
        <v>41616</v>
      </c>
      <c r="E197" s="16"/>
      <c r="F197" s="16"/>
      <c r="G197" s="16"/>
      <c r="H197" s="16">
        <f t="shared" si="139"/>
        <v>7165455</v>
      </c>
      <c r="I197" s="16"/>
      <c r="J197" s="479">
        <f t="shared" si="140"/>
        <v>5.8417940102239814E-3</v>
      </c>
      <c r="K197" s="16"/>
      <c r="L197" s="16"/>
      <c r="M197" s="16"/>
      <c r="N197" s="16">
        <f t="shared" si="141"/>
        <v>288755</v>
      </c>
      <c r="O197" s="16">
        <f t="shared" si="142"/>
        <v>38114.122340425529</v>
      </c>
      <c r="P197" s="41"/>
      <c r="Q197" s="17">
        <f t="shared" si="161"/>
        <v>288755</v>
      </c>
      <c r="R197" s="16"/>
      <c r="S197" s="60">
        <f t="shared" si="162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3"/>
        <v>206687</v>
      </c>
      <c r="AB197" s="33"/>
      <c r="AC197" s="46">
        <f t="shared" si="144"/>
        <v>2.8844923316104838E-2</v>
      </c>
      <c r="AD197" s="33"/>
      <c r="AE197" s="33">
        <f t="shared" si="145"/>
        <v>1099.3989361702127</v>
      </c>
      <c r="AF197" s="50"/>
      <c r="AG197" s="33">
        <f t="shared" si="165"/>
        <v>5267</v>
      </c>
      <c r="AH197" s="33">
        <f t="shared" si="160"/>
        <v>460017449.34662843</v>
      </c>
      <c r="AI197" s="231">
        <f t="shared" si="147"/>
        <v>-0.13797054009819967</v>
      </c>
      <c r="AJ197" s="50"/>
      <c r="AK197" s="10"/>
      <c r="AL197" s="23">
        <f t="shared" si="148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9"/>
        <v>1.2148104856987052E-2</v>
      </c>
      <c r="AS197" s="25"/>
      <c r="AT197" s="25"/>
      <c r="AU197" s="24"/>
      <c r="AV197" s="341">
        <f t="shared" si="150"/>
        <v>0.61390476948079364</v>
      </c>
      <c r="AW197" s="341"/>
      <c r="AX197" s="24">
        <f t="shared" si="151"/>
        <v>23398.441489361703</v>
      </c>
      <c r="AY197" s="351"/>
      <c r="AZ197" s="10"/>
      <c r="BA197" s="66">
        <f t="shared" si="152"/>
        <v>900117</v>
      </c>
      <c r="BB197" s="67"/>
      <c r="BC197" s="67">
        <v>100582090</v>
      </c>
      <c r="BD197" s="67"/>
      <c r="BE197" s="67">
        <f t="shared" si="153"/>
        <v>41616</v>
      </c>
      <c r="BF197" s="67"/>
      <c r="BG197" s="156">
        <f t="shared" si="154"/>
        <v>4.6233989581354426E-2</v>
      </c>
      <c r="BH197" s="67"/>
      <c r="BI197" s="183"/>
      <c r="BJ197" s="67"/>
      <c r="BK197" s="67">
        <f t="shared" si="155"/>
        <v>6213023</v>
      </c>
      <c r="BL197" s="67"/>
      <c r="BM197" s="156">
        <f t="shared" si="156"/>
        <v>4.647576550094857E-2</v>
      </c>
      <c r="BN197" s="66">
        <f t="shared" si="157"/>
        <v>535011.11702127662</v>
      </c>
      <c r="BO197" s="67"/>
      <c r="BP197" s="67">
        <f t="shared" si="158"/>
        <v>6822808</v>
      </c>
      <c r="BQ197" s="67"/>
      <c r="BR197" s="478">
        <f t="shared" si="159"/>
        <v>6.7833229554088603E-2</v>
      </c>
      <c r="BS197" s="67"/>
      <c r="BT197" s="86"/>
      <c r="BU197" s="183"/>
      <c r="BV197" s="1"/>
      <c r="BW197" s="61">
        <f t="shared" si="164"/>
        <v>188</v>
      </c>
    </row>
    <row r="198" spans="2:75" x14ac:dyDescent="0.3">
      <c r="B198" s="171">
        <f t="shared" si="163"/>
        <v>44098</v>
      </c>
      <c r="C198" s="61"/>
      <c r="D198" s="17">
        <v>45355</v>
      </c>
      <c r="E198" s="16"/>
      <c r="F198" s="16"/>
      <c r="G198" s="16"/>
      <c r="H198" s="16">
        <f t="shared" si="139"/>
        <v>7210810</v>
      </c>
      <c r="I198" s="16"/>
      <c r="J198" s="479">
        <f t="shared" si="140"/>
        <v>6.3296748078105298E-3</v>
      </c>
      <c r="K198" s="16"/>
      <c r="L198" s="16"/>
      <c r="M198" s="16"/>
      <c r="N198" s="16">
        <f t="shared" si="141"/>
        <v>287815</v>
      </c>
      <c r="O198" s="16">
        <f t="shared" si="142"/>
        <v>38152.433862433863</v>
      </c>
      <c r="P198" s="41"/>
      <c r="Q198" s="17">
        <f t="shared" si="161"/>
        <v>287815</v>
      </c>
      <c r="R198" s="16"/>
      <c r="S198" s="60">
        <f t="shared" si="162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3"/>
        <v>207629</v>
      </c>
      <c r="AB198" s="33"/>
      <c r="AC198" s="46">
        <f t="shared" si="144"/>
        <v>2.8794129924377427E-2</v>
      </c>
      <c r="AD198" s="33"/>
      <c r="AE198" s="33">
        <f t="shared" si="145"/>
        <v>1098.5661375661375</v>
      </c>
      <c r="AF198" s="50"/>
      <c r="AG198" s="33">
        <f t="shared" si="165"/>
        <v>5330</v>
      </c>
      <c r="AH198" s="33">
        <f t="shared" si="160"/>
        <v>459977351.34662843</v>
      </c>
      <c r="AI198" s="231">
        <f t="shared" si="147"/>
        <v>-9.6610169491525427E-2</v>
      </c>
      <c r="AJ198" s="50"/>
      <c r="AK198" s="10"/>
      <c r="AL198" s="23">
        <f t="shared" si="148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9"/>
        <v>8.7846821949179657E-3</v>
      </c>
      <c r="AS198" s="25"/>
      <c r="AT198" s="25"/>
      <c r="AU198" s="24"/>
      <c r="AV198" s="341">
        <f t="shared" si="150"/>
        <v>0.61540243051751464</v>
      </c>
      <c r="AW198" s="341"/>
      <c r="AX198" s="24">
        <f t="shared" si="151"/>
        <v>23479.100529100528</v>
      </c>
      <c r="AY198" s="351"/>
      <c r="AZ198" s="10"/>
      <c r="BA198" s="66">
        <f t="shared" si="152"/>
        <v>990101</v>
      </c>
      <c r="BB198" s="67"/>
      <c r="BC198" s="67">
        <v>101572191</v>
      </c>
      <c r="BD198" s="67"/>
      <c r="BE198" s="67">
        <f t="shared" si="153"/>
        <v>45355</v>
      </c>
      <c r="BF198" s="67"/>
      <c r="BG198" s="156">
        <f t="shared" si="154"/>
        <v>4.5808457924999574E-2</v>
      </c>
      <c r="BH198" s="67"/>
      <c r="BI198" s="183"/>
      <c r="BJ198" s="67"/>
      <c r="BK198" s="67">
        <f t="shared" si="155"/>
        <v>6337169</v>
      </c>
      <c r="BL198" s="67"/>
      <c r="BM198" s="156">
        <f t="shared" si="156"/>
        <v>4.5416967734330585E-2</v>
      </c>
      <c r="BN198" s="66">
        <f t="shared" si="157"/>
        <v>537419</v>
      </c>
      <c r="BO198" s="67"/>
      <c r="BP198" s="67">
        <f t="shared" si="158"/>
        <v>6868163</v>
      </c>
      <c r="BQ198" s="67"/>
      <c r="BR198" s="478">
        <f t="shared" si="159"/>
        <v>6.7618537440036125E-2</v>
      </c>
      <c r="BS198" s="67"/>
      <c r="BT198" s="86"/>
      <c r="BU198" s="183"/>
      <c r="BV198" s="1"/>
      <c r="BW198" s="61">
        <f t="shared" si="164"/>
        <v>189</v>
      </c>
    </row>
    <row r="199" spans="2:75" x14ac:dyDescent="0.3">
      <c r="B199" s="171">
        <f t="shared" si="163"/>
        <v>44099</v>
      </c>
      <c r="C199" s="61"/>
      <c r="D199" s="17">
        <v>53629</v>
      </c>
      <c r="E199" s="16"/>
      <c r="F199" s="16"/>
      <c r="G199" s="16"/>
      <c r="H199" s="16">
        <f t="shared" si="139"/>
        <v>7264439</v>
      </c>
      <c r="I199" s="16"/>
      <c r="J199" s="479">
        <f t="shared" si="140"/>
        <v>7.4373059337300524E-3</v>
      </c>
      <c r="K199" s="16"/>
      <c r="L199" s="16"/>
      <c r="M199" s="16"/>
      <c r="N199" s="16">
        <f t="shared" si="141"/>
        <v>290099</v>
      </c>
      <c r="O199" s="16">
        <f t="shared" si="142"/>
        <v>38233.889473684212</v>
      </c>
      <c r="P199" s="41"/>
      <c r="Q199" s="17">
        <f t="shared" si="161"/>
        <v>290099</v>
      </c>
      <c r="R199" s="16"/>
      <c r="S199" s="60">
        <f t="shared" si="162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3"/>
        <v>208524</v>
      </c>
      <c r="AB199" s="33"/>
      <c r="AC199" s="46">
        <f t="shared" si="144"/>
        <v>2.8704763024371187E-2</v>
      </c>
      <c r="AD199" s="33"/>
      <c r="AE199" s="33">
        <f t="shared" si="145"/>
        <v>1097.4947368421053</v>
      </c>
      <c r="AF199" s="50"/>
      <c r="AG199" s="33">
        <f t="shared" si="165"/>
        <v>5267</v>
      </c>
      <c r="AH199" s="33">
        <f t="shared" si="160"/>
        <v>459932714.34662843</v>
      </c>
      <c r="AI199" s="231">
        <f t="shared" si="147"/>
        <v>-8.6224843858431641E-2</v>
      </c>
      <c r="AJ199" s="50"/>
      <c r="AK199" s="10"/>
      <c r="AL199" s="23">
        <f t="shared" si="148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9"/>
        <v>9.7281157395409622E-3</v>
      </c>
      <c r="AS199" s="25"/>
      <c r="AT199" s="25"/>
      <c r="AU199" s="24"/>
      <c r="AV199" s="341">
        <f t="shared" si="150"/>
        <v>0.61680179295331683</v>
      </c>
      <c r="AW199" s="341"/>
      <c r="AX199" s="24">
        <f t="shared" si="151"/>
        <v>23582.731578947369</v>
      </c>
      <c r="AY199" s="351"/>
      <c r="AZ199" s="10"/>
      <c r="BA199" s="66">
        <f t="shared" si="152"/>
        <v>975164</v>
      </c>
      <c r="BB199" s="67"/>
      <c r="BC199" s="67">
        <v>102547355</v>
      </c>
      <c r="BD199" s="67"/>
      <c r="BE199" s="67">
        <f t="shared" si="153"/>
        <v>53629</v>
      </c>
      <c r="BF199" s="67"/>
      <c r="BG199" s="156">
        <f t="shared" si="154"/>
        <v>5.4994852147946395E-2</v>
      </c>
      <c r="BH199" s="67"/>
      <c r="BI199" s="183"/>
      <c r="BJ199" s="67"/>
      <c r="BK199" s="67">
        <f t="shared" si="155"/>
        <v>6323894</v>
      </c>
      <c r="BL199" s="67"/>
      <c r="BM199" s="156">
        <f t="shared" si="156"/>
        <v>4.5873476057631576E-2</v>
      </c>
      <c r="BN199" s="66">
        <f t="shared" si="157"/>
        <v>539722.92105263157</v>
      </c>
      <c r="BO199" s="67"/>
      <c r="BP199" s="67">
        <f t="shared" si="158"/>
        <v>6921792</v>
      </c>
      <c r="BQ199" s="67"/>
      <c r="BR199" s="478">
        <f t="shared" si="159"/>
        <v>6.7498493744670457E-2</v>
      </c>
      <c r="BS199" s="67"/>
      <c r="BT199" s="86"/>
      <c r="BU199" s="183"/>
      <c r="BV199" s="1"/>
      <c r="BW199" s="61">
        <f t="shared" si="164"/>
        <v>190</v>
      </c>
    </row>
    <row r="200" spans="2:75" x14ac:dyDescent="0.3">
      <c r="B200" s="171">
        <f t="shared" si="163"/>
        <v>44100</v>
      </c>
      <c r="C200" s="61"/>
      <c r="D200" s="17">
        <v>43206</v>
      </c>
      <c r="E200" s="16"/>
      <c r="F200" s="16"/>
      <c r="G200" s="16"/>
      <c r="H200" s="16">
        <f t="shared" si="139"/>
        <v>7307645</v>
      </c>
      <c r="I200" s="16"/>
      <c r="J200" s="479">
        <f t="shared" si="140"/>
        <v>5.9476031115410291E-3</v>
      </c>
      <c r="K200" s="16"/>
      <c r="L200" s="16"/>
      <c r="M200" s="16"/>
      <c r="N200" s="16">
        <f t="shared" si="141"/>
        <v>289692</v>
      </c>
      <c r="O200" s="16">
        <f t="shared" si="142"/>
        <v>38259.921465968589</v>
      </c>
      <c r="P200" s="41"/>
      <c r="Q200" s="17">
        <f t="shared" si="161"/>
        <v>289692</v>
      </c>
      <c r="R200" s="16"/>
      <c r="S200" s="60">
        <f t="shared" si="162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3"/>
        <v>209261</v>
      </c>
      <c r="AB200" s="33"/>
      <c r="AC200" s="46">
        <f t="shared" si="144"/>
        <v>2.8635901169254938E-2</v>
      </c>
      <c r="AD200" s="33"/>
      <c r="AE200" s="33">
        <f t="shared" si="145"/>
        <v>1095.6073298429319</v>
      </c>
      <c r="AF200" s="50"/>
      <c r="AG200" s="33">
        <f t="shared" si="165"/>
        <v>5346</v>
      </c>
      <c r="AH200" s="33">
        <f t="shared" si="160"/>
        <v>459886708.34662843</v>
      </c>
      <c r="AI200" s="231">
        <f t="shared" si="147"/>
        <v>-6.4566929133858267E-2</v>
      </c>
      <c r="AJ200" s="50"/>
      <c r="AK200" s="10"/>
      <c r="AL200" s="23">
        <f t="shared" si="148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9"/>
        <v>9.6834905290869612E-3</v>
      </c>
      <c r="AS200" s="25"/>
      <c r="AT200" s="25"/>
      <c r="AU200" s="24"/>
      <c r="AV200" s="341">
        <f t="shared" si="150"/>
        <v>0.61909247096704889</v>
      </c>
      <c r="AW200" s="341"/>
      <c r="AX200" s="24">
        <f t="shared" si="151"/>
        <v>23686.429319371728</v>
      </c>
      <c r="AY200" s="351"/>
      <c r="AZ200" s="10"/>
      <c r="BA200" s="66">
        <f t="shared" si="152"/>
        <v>1028168</v>
      </c>
      <c r="BB200" s="67"/>
      <c r="BC200" s="67">
        <v>103575523</v>
      </c>
      <c r="BD200" s="67"/>
      <c r="BE200" s="67">
        <f t="shared" si="153"/>
        <v>43206</v>
      </c>
      <c r="BF200" s="67"/>
      <c r="BG200" s="156">
        <f t="shared" si="154"/>
        <v>4.2022315419270005E-2</v>
      </c>
      <c r="BH200" s="67"/>
      <c r="BI200" s="183"/>
      <c r="BJ200" s="67"/>
      <c r="BK200" s="67">
        <f t="shared" si="155"/>
        <v>6265211</v>
      </c>
      <c r="BL200" s="67"/>
      <c r="BM200" s="156">
        <f t="shared" si="156"/>
        <v>4.6238187349157113E-2</v>
      </c>
      <c r="BN200" s="66">
        <f t="shared" si="157"/>
        <v>542280.22513089003</v>
      </c>
      <c r="BO200" s="67"/>
      <c r="BP200" s="67">
        <f t="shared" si="158"/>
        <v>6964998</v>
      </c>
      <c r="BQ200" s="67"/>
      <c r="BR200" s="478">
        <f t="shared" si="159"/>
        <v>6.7245598170911483E-2</v>
      </c>
      <c r="BS200" s="67"/>
      <c r="BT200" s="86"/>
      <c r="BU200" s="183"/>
      <c r="BV200" s="1"/>
      <c r="BW200" s="61">
        <f t="shared" si="164"/>
        <v>191</v>
      </c>
    </row>
    <row r="201" spans="2:75" x14ac:dyDescent="0.3">
      <c r="B201" s="390">
        <f t="shared" si="163"/>
        <v>44101</v>
      </c>
      <c r="C201" s="61"/>
      <c r="D201" s="17">
        <v>33782</v>
      </c>
      <c r="E201" s="16"/>
      <c r="F201" s="16"/>
      <c r="G201" s="16"/>
      <c r="H201" s="16">
        <f t="shared" si="139"/>
        <v>7341427</v>
      </c>
      <c r="I201" s="16"/>
      <c r="J201" s="479">
        <f t="shared" si="140"/>
        <v>4.622829926741105E-3</v>
      </c>
      <c r="K201" s="16"/>
      <c r="L201" s="16"/>
      <c r="M201" s="16"/>
      <c r="N201" s="16">
        <f t="shared" si="141"/>
        <v>290088</v>
      </c>
      <c r="O201" s="16">
        <f t="shared" si="142"/>
        <v>38236.598958333336</v>
      </c>
      <c r="P201" s="41"/>
      <c r="Q201" s="17">
        <f t="shared" si="161"/>
        <v>290088</v>
      </c>
      <c r="R201" s="16"/>
      <c r="S201" s="60">
        <f t="shared" si="162"/>
        <v>2.6822254175423075E-3</v>
      </c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3"/>
        <v>209537</v>
      </c>
      <c r="AB201" s="33"/>
      <c r="AC201" s="46">
        <f t="shared" si="144"/>
        <v>2.8541726288363285E-2</v>
      </c>
      <c r="AD201" s="33"/>
      <c r="AE201" s="33">
        <f t="shared" si="145"/>
        <v>1091.3385416666667</v>
      </c>
      <c r="AF201" s="50"/>
      <c r="AG201" s="33">
        <f t="shared" si="165"/>
        <v>5328</v>
      </c>
      <c r="AH201" s="33">
        <f t="shared" si="160"/>
        <v>459837107.34662843</v>
      </c>
      <c r="AI201" s="231">
        <f t="shared" si="147"/>
        <v>-5.145095246572904E-2</v>
      </c>
      <c r="AJ201" s="50"/>
      <c r="AK201" s="10"/>
      <c r="AL201" s="23">
        <f t="shared" si="148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9"/>
        <v>8.0342909585712809E-3</v>
      </c>
      <c r="AS201" s="25"/>
      <c r="AT201" s="25"/>
      <c r="AU201" s="24"/>
      <c r="AV201" s="341">
        <f t="shared" si="150"/>
        <v>0.62119476227169457</v>
      </c>
      <c r="AW201" s="341"/>
      <c r="AX201" s="24">
        <f t="shared" si="151"/>
        <v>23752.375</v>
      </c>
      <c r="AY201" s="351"/>
      <c r="AZ201" s="391"/>
      <c r="BA201" s="66">
        <f t="shared" si="152"/>
        <v>759639</v>
      </c>
      <c r="BB201" s="67"/>
      <c r="BC201" s="67">
        <v>104335162</v>
      </c>
      <c r="BD201" s="67"/>
      <c r="BE201" s="67">
        <f t="shared" si="153"/>
        <v>33782</v>
      </c>
      <c r="BF201" s="67"/>
      <c r="BG201" s="156">
        <f t="shared" si="154"/>
        <v>4.4471123783797306E-2</v>
      </c>
      <c r="BH201" s="67"/>
      <c r="BI201" s="183"/>
      <c r="BJ201" s="67"/>
      <c r="BK201" s="67">
        <f t="shared" si="155"/>
        <v>6168553</v>
      </c>
      <c r="BL201" s="67"/>
      <c r="BM201" s="156">
        <f t="shared" si="156"/>
        <v>4.7026912146171072E-2</v>
      </c>
      <c r="BN201" s="66">
        <f t="shared" si="157"/>
        <v>543412.30208333337</v>
      </c>
      <c r="BO201" s="67"/>
      <c r="BP201" s="67">
        <f t="shared" si="158"/>
        <v>6998780</v>
      </c>
      <c r="BQ201" s="67"/>
      <c r="BR201" s="478">
        <f t="shared" si="159"/>
        <v>6.7079782748600131E-2</v>
      </c>
      <c r="BS201" s="67"/>
      <c r="BT201" s="86"/>
      <c r="BU201" s="183"/>
      <c r="BV201" s="1"/>
      <c r="BW201" s="61">
        <f t="shared" si="164"/>
        <v>192</v>
      </c>
    </row>
    <row r="202" spans="2:75" x14ac:dyDescent="0.3">
      <c r="B202" s="171">
        <f t="shared" si="163"/>
        <v>44102</v>
      </c>
      <c r="C202" s="61"/>
      <c r="D202" s="17">
        <v>37418</v>
      </c>
      <c r="E202" s="16"/>
      <c r="F202" s="16"/>
      <c r="G202" s="16"/>
      <c r="H202" s="16">
        <f t="shared" si="139"/>
        <v>7378845</v>
      </c>
      <c r="I202" s="16"/>
      <c r="J202" s="479">
        <f t="shared" si="140"/>
        <v>5.0968292676614509E-3</v>
      </c>
      <c r="K202" s="16"/>
      <c r="L202" s="16"/>
      <c r="M202" s="16"/>
      <c r="N202" s="16">
        <f t="shared" si="141"/>
        <v>290702</v>
      </c>
      <c r="O202" s="16">
        <f t="shared" si="142"/>
        <v>38232.357512953371</v>
      </c>
      <c r="P202" s="41"/>
      <c r="Q202" s="17">
        <f t="shared" si="161"/>
        <v>290702</v>
      </c>
      <c r="R202" s="16"/>
      <c r="S202" s="60">
        <f t="shared" si="162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3"/>
        <v>209892</v>
      </c>
      <c r="AB202" s="33"/>
      <c r="AC202" s="46">
        <f t="shared" si="144"/>
        <v>2.844510218062583E-2</v>
      </c>
      <c r="AD202" s="33"/>
      <c r="AE202" s="33">
        <f t="shared" si="145"/>
        <v>1087.5233160621763</v>
      </c>
      <c r="AF202" s="50"/>
      <c r="AG202" s="33">
        <f t="shared" si="165"/>
        <v>5299</v>
      </c>
      <c r="AH202" s="33">
        <f t="shared" si="160"/>
        <v>459794447.34662843</v>
      </c>
      <c r="AI202" s="231">
        <f t="shared" si="147"/>
        <v>-4.0210106864698426E-2</v>
      </c>
      <c r="AJ202" s="50"/>
      <c r="AK202" s="10"/>
      <c r="AL202" s="23">
        <f t="shared" si="148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9"/>
        <v>1.0784009318366409E-2</v>
      </c>
      <c r="AS202" s="25"/>
      <c r="AT202" s="25"/>
      <c r="AU202" s="24"/>
      <c r="AV202" s="341">
        <f t="shared" si="150"/>
        <v>0.62470969372577956</v>
      </c>
      <c r="AW202" s="341"/>
      <c r="AX202" s="24">
        <f t="shared" si="151"/>
        <v>23884.124352331608</v>
      </c>
      <c r="AY202" s="351"/>
      <c r="AZ202" s="10"/>
      <c r="BA202" s="66">
        <f t="shared" si="152"/>
        <v>1066544</v>
      </c>
      <c r="BB202" s="67"/>
      <c r="BC202" s="67">
        <v>105401706</v>
      </c>
      <c r="BD202" s="67"/>
      <c r="BE202" s="67">
        <f t="shared" si="153"/>
        <v>37418</v>
      </c>
      <c r="BF202" s="67"/>
      <c r="BG202" s="156">
        <f t="shared" si="154"/>
        <v>3.5083409592103092E-2</v>
      </c>
      <c r="BH202" s="67"/>
      <c r="BI202" s="183"/>
      <c r="BJ202" s="67"/>
      <c r="BK202" s="67">
        <f t="shared" si="155"/>
        <v>6491931</v>
      </c>
      <c r="BL202" s="67"/>
      <c r="BM202" s="156">
        <f t="shared" si="156"/>
        <v>4.4778972542992214E-2</v>
      </c>
      <c r="BN202" s="66">
        <f t="shared" si="157"/>
        <v>546122.82901554403</v>
      </c>
      <c r="BO202" s="67"/>
      <c r="BP202" s="67">
        <f t="shared" si="158"/>
        <v>7036198</v>
      </c>
      <c r="BQ202" s="67"/>
      <c r="BR202" s="478">
        <f t="shared" si="159"/>
        <v>6.6756016264101076E-2</v>
      </c>
      <c r="BS202" s="67"/>
      <c r="BT202" s="86"/>
      <c r="BU202" s="183"/>
      <c r="BV202" s="1"/>
      <c r="BW202" s="61">
        <f t="shared" si="164"/>
        <v>193</v>
      </c>
    </row>
    <row r="203" spans="2:75" x14ac:dyDescent="0.3">
      <c r="B203" s="171">
        <f t="shared" si="163"/>
        <v>44103</v>
      </c>
      <c r="C203" s="61"/>
      <c r="D203" s="17">
        <v>44227</v>
      </c>
      <c r="E203" s="16"/>
      <c r="F203" s="16"/>
      <c r="G203" s="16"/>
      <c r="H203" s="16">
        <f t="shared" si="139"/>
        <v>7423072</v>
      </c>
      <c r="I203" s="16"/>
      <c r="J203" s="479">
        <f t="shared" si="140"/>
        <v>5.9937564754375516E-3</v>
      </c>
      <c r="K203" s="16"/>
      <c r="L203" s="16"/>
      <c r="M203" s="16"/>
      <c r="N203" s="16">
        <f t="shared" si="141"/>
        <v>299233</v>
      </c>
      <c r="O203" s="16">
        <f t="shared" si="142"/>
        <v>38263.257731958765</v>
      </c>
      <c r="P203" s="41"/>
      <c r="Q203" s="17">
        <f t="shared" si="161"/>
        <v>299233</v>
      </c>
      <c r="R203" s="16"/>
      <c r="S203" s="60">
        <f t="shared" si="162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3"/>
        <v>210869</v>
      </c>
      <c r="AB203" s="33"/>
      <c r="AC203" s="46">
        <f t="shared" si="144"/>
        <v>2.8407241637963366E-2</v>
      </c>
      <c r="AD203" s="33"/>
      <c r="AE203" s="33">
        <f t="shared" si="145"/>
        <v>1086.9536082474226</v>
      </c>
      <c r="AF203" s="50"/>
      <c r="AG203" s="33">
        <f t="shared" si="165"/>
        <v>5297</v>
      </c>
      <c r="AH203" s="33">
        <f t="shared" si="160"/>
        <v>459760466.34662843</v>
      </c>
      <c r="AI203" s="231">
        <f t="shared" si="147"/>
        <v>-1.1314350367716388E-3</v>
      </c>
      <c r="AJ203" s="50"/>
      <c r="AK203" s="10"/>
      <c r="AL203" s="23">
        <f t="shared" si="148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9"/>
        <v>8.4707339147819909E-3</v>
      </c>
      <c r="AS203" s="25"/>
      <c r="AT203" s="25"/>
      <c r="AU203" s="24"/>
      <c r="AV203" s="341">
        <f t="shared" si="150"/>
        <v>0.62624786611257444</v>
      </c>
      <c r="AW203" s="341"/>
      <c r="AX203" s="24">
        <f t="shared" si="151"/>
        <v>23962.283505154639</v>
      </c>
      <c r="AY203" s="351"/>
      <c r="AZ203" s="10"/>
      <c r="BA203" s="66">
        <f t="shared" si="152"/>
        <v>771516</v>
      </c>
      <c r="BB203" s="67"/>
      <c r="BC203" s="67">
        <v>106173222</v>
      </c>
      <c r="BD203" s="67"/>
      <c r="BE203" s="67">
        <f t="shared" si="153"/>
        <v>44227</v>
      </c>
      <c r="BF203" s="67"/>
      <c r="BG203" s="156">
        <f t="shared" si="154"/>
        <v>5.7324799485687916E-2</v>
      </c>
      <c r="BH203" s="67"/>
      <c r="BI203" s="183"/>
      <c r="BJ203" s="67"/>
      <c r="BK203" s="67">
        <f t="shared" si="155"/>
        <v>6491249</v>
      </c>
      <c r="BL203" s="67"/>
      <c r="BM203" s="156">
        <f t="shared" si="156"/>
        <v>4.6097908122150297E-2</v>
      </c>
      <c r="BN203" s="66">
        <f t="shared" si="157"/>
        <v>547284.64948453603</v>
      </c>
      <c r="BO203" s="67"/>
      <c r="BP203" s="67">
        <f t="shared" si="158"/>
        <v>7080425</v>
      </c>
      <c r="BQ203" s="67"/>
      <c r="BR203" s="478">
        <f t="shared" si="159"/>
        <v>6.6687483591672481E-2</v>
      </c>
      <c r="BS203" s="67"/>
      <c r="BT203" s="86"/>
      <c r="BU203" s="183"/>
      <c r="BV203" s="1"/>
      <c r="BW203" s="61">
        <f t="shared" si="164"/>
        <v>194</v>
      </c>
    </row>
    <row r="204" spans="2:75" x14ac:dyDescent="0.3">
      <c r="B204" s="171">
        <f t="shared" si="163"/>
        <v>44104</v>
      </c>
      <c r="C204" s="61"/>
      <c r="D204" s="17">
        <v>40929</v>
      </c>
      <c r="E204" s="16"/>
      <c r="F204" s="16"/>
      <c r="G204" s="16"/>
      <c r="H204" s="16">
        <f t="shared" si="139"/>
        <v>7464001</v>
      </c>
      <c r="I204" s="16"/>
      <c r="J204" s="479">
        <f t="shared" si="140"/>
        <v>5.5137549521276363E-3</v>
      </c>
      <c r="K204" s="16"/>
      <c r="L204" s="16"/>
      <c r="M204" s="16"/>
      <c r="N204" s="469">
        <f>SUM(D175:D204)</f>
        <v>1202331</v>
      </c>
      <c r="O204" s="16">
        <f t="shared" si="142"/>
        <v>38276.928205128206</v>
      </c>
      <c r="P204" s="41"/>
      <c r="Q204" s="17">
        <f t="shared" si="161"/>
        <v>298546</v>
      </c>
      <c r="R204" s="16"/>
      <c r="S204" s="60">
        <f t="shared" si="162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3"/>
        <v>211824</v>
      </c>
      <c r="AB204" s="33"/>
      <c r="AC204" s="46">
        <f t="shared" si="144"/>
        <v>2.8379417419692202E-2</v>
      </c>
      <c r="AD204" s="33"/>
      <c r="AE204" s="33">
        <f t="shared" si="145"/>
        <v>1086.2769230769231</v>
      </c>
      <c r="AF204" s="50"/>
      <c r="AG204" s="33">
        <f t="shared" si="165"/>
        <v>5137</v>
      </c>
      <c r="AH204" s="33">
        <f t="shared" si="160"/>
        <v>459721906.34662843</v>
      </c>
      <c r="AI204" s="231">
        <f t="shared" si="147"/>
        <v>-2.468198215302829E-2</v>
      </c>
      <c r="AJ204" s="50"/>
      <c r="AK204" s="10"/>
      <c r="AL204" s="23">
        <f t="shared" si="148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9"/>
        <v>1.0975796800943407E-2</v>
      </c>
      <c r="AS204" s="25"/>
      <c r="AT204" s="25"/>
      <c r="AU204" s="24"/>
      <c r="AV204" s="341">
        <f t="shared" si="150"/>
        <v>0.62964970127951481</v>
      </c>
      <c r="AW204" s="341"/>
      <c r="AX204" s="24">
        <f t="shared" si="151"/>
        <v>24101.056410256409</v>
      </c>
      <c r="AY204" s="351"/>
      <c r="AZ204" s="10"/>
      <c r="BA204" s="66">
        <f t="shared" si="152"/>
        <v>1363003</v>
      </c>
      <c r="BB204" s="67"/>
      <c r="BC204" s="67">
        <v>107536225</v>
      </c>
      <c r="BD204" s="67"/>
      <c r="BE204" s="67">
        <f t="shared" si="153"/>
        <v>40929</v>
      </c>
      <c r="BF204" s="67"/>
      <c r="BG204" s="156">
        <f t="shared" si="154"/>
        <v>3.0028547259250346E-2</v>
      </c>
      <c r="BH204" s="67"/>
      <c r="BI204" s="183"/>
      <c r="BJ204" s="67"/>
      <c r="BK204" s="67">
        <f t="shared" si="155"/>
        <v>6954135</v>
      </c>
      <c r="BL204" s="67"/>
      <c r="BM204" s="156">
        <f t="shared" si="156"/>
        <v>4.2930716760603581E-2</v>
      </c>
      <c r="BN204" s="66">
        <f t="shared" si="157"/>
        <v>551467.8205128205</v>
      </c>
      <c r="BO204" s="67"/>
      <c r="BP204" s="67">
        <f t="shared" si="158"/>
        <v>7121354</v>
      </c>
      <c r="BQ204" s="67"/>
      <c r="BR204" s="478">
        <f t="shared" si="159"/>
        <v>6.6222837932054995E-2</v>
      </c>
      <c r="BS204" s="67"/>
      <c r="BT204" s="86"/>
      <c r="BU204" s="183"/>
      <c r="BV204" s="1"/>
      <c r="BW204" s="61">
        <f t="shared" si="164"/>
        <v>195</v>
      </c>
    </row>
    <row r="205" spans="2:75" x14ac:dyDescent="0.3">
      <c r="B205" s="171">
        <f t="shared" si="163"/>
        <v>44105</v>
      </c>
      <c r="C205" s="61"/>
      <c r="D205" s="17">
        <v>47389</v>
      </c>
      <c r="E205" s="16"/>
      <c r="F205" s="16"/>
      <c r="G205" s="16"/>
      <c r="H205" s="16">
        <f t="shared" si="139"/>
        <v>7511390</v>
      </c>
      <c r="I205" s="16"/>
      <c r="J205" s="479">
        <f t="shared" si="140"/>
        <v>6.3490077238735629E-3</v>
      </c>
      <c r="K205" s="16"/>
      <c r="L205" s="16"/>
      <c r="M205" s="16"/>
      <c r="N205" s="16">
        <f t="shared" si="141"/>
        <v>300580</v>
      </c>
      <c r="O205" s="16">
        <f t="shared" si="142"/>
        <v>38323.418367346938</v>
      </c>
      <c r="P205" s="41"/>
      <c r="Q205" s="17">
        <f t="shared" si="161"/>
        <v>300580</v>
      </c>
      <c r="R205" s="16"/>
      <c r="S205" s="60">
        <f t="shared" si="162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3"/>
        <v>212744</v>
      </c>
      <c r="AB205" s="33"/>
      <c r="AC205" s="46">
        <f t="shared" si="144"/>
        <v>2.8322853692858446E-2</v>
      </c>
      <c r="AD205" s="33"/>
      <c r="AE205" s="33">
        <f t="shared" si="145"/>
        <v>1085.4285714285713</v>
      </c>
      <c r="AF205" s="50"/>
      <c r="AG205" s="33">
        <f t="shared" ref="AG205:AG212" si="166">SUM(W199:W205)</f>
        <v>5115</v>
      </c>
      <c r="AH205" s="33">
        <f t="shared" si="160"/>
        <v>459679927.34662843</v>
      </c>
      <c r="AI205" s="231">
        <f t="shared" si="147"/>
        <v>-4.0337711069418386E-2</v>
      </c>
      <c r="AJ205" s="50"/>
      <c r="AK205" s="10"/>
      <c r="AL205" s="23">
        <f t="shared" si="148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9"/>
        <v>7.8547466586207735E-3</v>
      </c>
      <c r="AS205" s="25"/>
      <c r="AT205" s="25"/>
      <c r="AU205" s="24"/>
      <c r="AV205" s="341">
        <f t="shared" si="150"/>
        <v>0.63059180790772418</v>
      </c>
      <c r="AW205" s="341"/>
      <c r="AX205" s="24">
        <f t="shared" si="151"/>
        <v>24166.433673469386</v>
      </c>
      <c r="AY205" s="351"/>
      <c r="AZ205" s="10"/>
      <c r="BA205" s="66">
        <f t="shared" si="152"/>
        <v>895735</v>
      </c>
      <c r="BB205" s="67"/>
      <c r="BC205" s="67">
        <v>108431960</v>
      </c>
      <c r="BD205" s="67"/>
      <c r="BE205" s="67">
        <f t="shared" si="153"/>
        <v>47389</v>
      </c>
      <c r="BF205" s="67"/>
      <c r="BG205" s="156">
        <f t="shared" si="154"/>
        <v>5.2905156100855721E-2</v>
      </c>
      <c r="BH205" s="67"/>
      <c r="BI205" s="183"/>
      <c r="BJ205" s="67"/>
      <c r="BK205" s="67">
        <f t="shared" si="155"/>
        <v>6859769</v>
      </c>
      <c r="BL205" s="67"/>
      <c r="BM205" s="156">
        <f t="shared" si="156"/>
        <v>4.3817802028027472E-2</v>
      </c>
      <c r="BN205" s="66">
        <f t="shared" si="157"/>
        <v>553224.28571428568</v>
      </c>
      <c r="BO205" s="67"/>
      <c r="BP205" s="67">
        <f t="shared" si="158"/>
        <v>7168743</v>
      </c>
      <c r="BQ205" s="67"/>
      <c r="BR205" s="478">
        <f t="shared" si="159"/>
        <v>6.6112823193456988E-2</v>
      </c>
      <c r="BS205" s="67"/>
      <c r="BT205" s="86"/>
      <c r="BU205" s="183"/>
      <c r="BV205" s="1"/>
      <c r="BW205" s="61">
        <f t="shared" si="164"/>
        <v>196</v>
      </c>
    </row>
    <row r="206" spans="2:75" x14ac:dyDescent="0.3">
      <c r="B206" s="171">
        <f t="shared" si="163"/>
        <v>44106</v>
      </c>
      <c r="C206" s="61"/>
      <c r="D206" s="17">
        <v>51403</v>
      </c>
      <c r="E206" s="16"/>
      <c r="F206" s="16"/>
      <c r="G206" s="16"/>
      <c r="H206" s="16">
        <f t="shared" si="139"/>
        <v>7562793</v>
      </c>
      <c r="I206" s="16"/>
      <c r="J206" s="479">
        <f t="shared" si="140"/>
        <v>6.8433405801056795E-3</v>
      </c>
      <c r="K206" s="16"/>
      <c r="L206" s="16"/>
      <c r="M206" s="16"/>
      <c r="N206" s="16">
        <f t="shared" si="141"/>
        <v>298354</v>
      </c>
      <c r="O206" s="16">
        <f t="shared" si="142"/>
        <v>38389.812182741116</v>
      </c>
      <c r="P206" s="41"/>
      <c r="Q206" s="17">
        <f t="shared" si="161"/>
        <v>298354</v>
      </c>
      <c r="R206" s="16"/>
      <c r="S206" s="60">
        <f t="shared" si="162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3"/>
        <v>213608</v>
      </c>
      <c r="AB206" s="33"/>
      <c r="AC206" s="46">
        <f t="shared" si="144"/>
        <v>2.8244591647556664E-2</v>
      </c>
      <c r="AD206" s="33"/>
      <c r="AE206" s="33">
        <f t="shared" si="145"/>
        <v>1084.3045685279187</v>
      </c>
      <c r="AF206" s="50"/>
      <c r="AG206" s="33">
        <f t="shared" si="166"/>
        <v>5084</v>
      </c>
      <c r="AH206" s="33">
        <f t="shared" si="160"/>
        <v>459638716.34662843</v>
      </c>
      <c r="AI206" s="231">
        <f t="shared" si="147"/>
        <v>-3.4744636415416745E-2</v>
      </c>
      <c r="AJ206" s="50"/>
      <c r="AK206" s="10"/>
      <c r="AL206" s="23">
        <f t="shared" si="148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9"/>
        <v>8.4876961867964527E-3</v>
      </c>
      <c r="AS206" s="25"/>
      <c r="AT206" s="25"/>
      <c r="AU206" s="24"/>
      <c r="AV206" s="341">
        <f t="shared" si="150"/>
        <v>0.63162167733534424</v>
      </c>
      <c r="AW206" s="341"/>
      <c r="AX206" s="24">
        <f t="shared" si="151"/>
        <v>24247.837563451776</v>
      </c>
      <c r="AY206" s="351"/>
      <c r="AZ206" s="10"/>
      <c r="BA206" s="66">
        <f t="shared" si="152"/>
        <v>1138486</v>
      </c>
      <c r="BB206" s="67"/>
      <c r="BC206" s="67">
        <v>109570446</v>
      </c>
      <c r="BD206" s="67"/>
      <c r="BE206" s="67">
        <f t="shared" si="153"/>
        <v>51403</v>
      </c>
      <c r="BF206" s="67"/>
      <c r="BG206" s="156">
        <f t="shared" si="154"/>
        <v>4.515031366217942E-2</v>
      </c>
      <c r="BH206" s="67"/>
      <c r="BI206" s="183"/>
      <c r="BJ206" s="67"/>
      <c r="BK206" s="67">
        <f t="shared" si="155"/>
        <v>7023091</v>
      </c>
      <c r="BL206" s="67"/>
      <c r="BM206" s="156">
        <f t="shared" si="156"/>
        <v>4.2481864466799593E-2</v>
      </c>
      <c r="BN206" s="66">
        <f t="shared" si="157"/>
        <v>556195.15736040613</v>
      </c>
      <c r="BO206" s="67"/>
      <c r="BP206" s="67">
        <f t="shared" si="158"/>
        <v>7220146</v>
      </c>
      <c r="BQ206" s="67"/>
      <c r="BR206" s="478">
        <f t="shared" si="159"/>
        <v>6.589501333233598E-2</v>
      </c>
      <c r="BS206" s="67"/>
      <c r="BT206" s="86"/>
      <c r="BU206" s="183"/>
      <c r="BV206" s="1"/>
      <c r="BW206" s="61">
        <f t="shared" si="164"/>
        <v>197</v>
      </c>
    </row>
    <row r="207" spans="2:75" x14ac:dyDescent="0.3">
      <c r="B207" s="171">
        <f t="shared" si="163"/>
        <v>44107</v>
      </c>
      <c r="C207" s="61"/>
      <c r="D207" s="17">
        <v>48925</v>
      </c>
      <c r="E207" s="16"/>
      <c r="F207" s="16"/>
      <c r="G207" s="16"/>
      <c r="H207" s="16">
        <f t="shared" si="139"/>
        <v>7611718</v>
      </c>
      <c r="I207" s="16"/>
      <c r="J207" s="479">
        <f t="shared" si="140"/>
        <v>6.4691708473311382E-3</v>
      </c>
      <c r="K207" s="16"/>
      <c r="L207" s="16"/>
      <c r="M207" s="16"/>
      <c r="N207" s="16">
        <f t="shared" si="141"/>
        <v>304073</v>
      </c>
      <c r="O207" s="16">
        <f t="shared" si="142"/>
        <v>38443.020202020205</v>
      </c>
      <c r="P207" s="41"/>
      <c r="Q207" s="17">
        <f t="shared" si="161"/>
        <v>304073</v>
      </c>
      <c r="R207" s="16"/>
      <c r="S207" s="60">
        <f t="shared" si="162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3"/>
        <v>214363</v>
      </c>
      <c r="AB207" s="33"/>
      <c r="AC207" s="46">
        <f t="shared" si="144"/>
        <v>2.8162236173226596E-2</v>
      </c>
      <c r="AD207" s="33"/>
      <c r="AE207" s="33">
        <f t="shared" si="145"/>
        <v>1082.6414141414141</v>
      </c>
      <c r="AF207" s="50"/>
      <c r="AG207" s="33">
        <f t="shared" si="166"/>
        <v>5102</v>
      </c>
      <c r="AH207" s="33">
        <f t="shared" si="160"/>
        <v>459593252.34662843</v>
      </c>
      <c r="AI207" s="231">
        <f t="shared" si="147"/>
        <v>-4.5641601197156753E-2</v>
      </c>
      <c r="AJ207" s="50"/>
      <c r="AK207" s="10"/>
      <c r="AL207" s="23">
        <f t="shared" si="148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9"/>
        <v>8.7265094966865013E-3</v>
      </c>
      <c r="AS207" s="25"/>
      <c r="AT207" s="25"/>
      <c r="AU207" s="24"/>
      <c r="AV207" s="341">
        <f t="shared" si="150"/>
        <v>0.63303829700469727</v>
      </c>
      <c r="AW207" s="341"/>
      <c r="AX207" s="24">
        <f t="shared" si="151"/>
        <v>24335.904040404039</v>
      </c>
      <c r="AY207" s="351"/>
      <c r="AZ207" s="10"/>
      <c r="BA207" s="66">
        <f t="shared" si="152"/>
        <v>955837</v>
      </c>
      <c r="BB207" s="67"/>
      <c r="BC207" s="67">
        <v>110526283</v>
      </c>
      <c r="BD207" s="67"/>
      <c r="BE207" s="67">
        <f t="shared" si="153"/>
        <v>48925</v>
      </c>
      <c r="BF207" s="67"/>
      <c r="BG207" s="156">
        <f t="shared" si="154"/>
        <v>5.1185505478444547E-2</v>
      </c>
      <c r="BH207" s="67"/>
      <c r="BI207" s="183"/>
      <c r="BJ207" s="67"/>
      <c r="BK207" s="67">
        <f t="shared" si="155"/>
        <v>6950760</v>
      </c>
      <c r="BL207" s="67"/>
      <c r="BM207" s="156">
        <f t="shared" si="156"/>
        <v>4.3746726976618383E-2</v>
      </c>
      <c r="BN207" s="66">
        <f t="shared" si="157"/>
        <v>558213.55050505046</v>
      </c>
      <c r="BO207" s="67"/>
      <c r="BP207" s="67">
        <f t="shared" si="158"/>
        <v>7269071</v>
      </c>
      <c r="BQ207" s="67"/>
      <c r="BR207" s="478">
        <f t="shared" si="159"/>
        <v>6.5767804749210651E-2</v>
      </c>
      <c r="BS207" s="67"/>
      <c r="BT207" s="86"/>
      <c r="BU207" s="183"/>
      <c r="BV207" s="1"/>
      <c r="BW207" s="61">
        <f t="shared" si="164"/>
        <v>198</v>
      </c>
    </row>
    <row r="208" spans="2:75" x14ac:dyDescent="0.3">
      <c r="B208" s="390">
        <f t="shared" si="163"/>
        <v>44108</v>
      </c>
      <c r="C208" s="61"/>
      <c r="D208" s="17">
        <v>34066</v>
      </c>
      <c r="E208" s="16"/>
      <c r="F208" s="16"/>
      <c r="G208" s="16"/>
      <c r="H208" s="16">
        <f t="shared" si="139"/>
        <v>7645784</v>
      </c>
      <c r="I208" s="16"/>
      <c r="J208" s="479">
        <f t="shared" si="140"/>
        <v>4.4754679561171337E-3</v>
      </c>
      <c r="K208" s="16"/>
      <c r="L208" s="16"/>
      <c r="M208" s="16"/>
      <c r="N208" s="16">
        <f t="shared" si="141"/>
        <v>304357</v>
      </c>
      <c r="O208" s="16">
        <f t="shared" si="142"/>
        <v>38421.025125628141</v>
      </c>
      <c r="P208" s="41"/>
      <c r="Q208" s="17">
        <f t="shared" si="161"/>
        <v>304357</v>
      </c>
      <c r="R208" s="16"/>
      <c r="S208" s="60">
        <f t="shared" si="162"/>
        <v>4.9188522103637514E-2</v>
      </c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3"/>
        <v>214695</v>
      </c>
      <c r="AB208" s="33"/>
      <c r="AC208" s="46">
        <f t="shared" si="144"/>
        <v>2.8080181182204466E-2</v>
      </c>
      <c r="AD208" s="33"/>
      <c r="AE208" s="33">
        <f t="shared" si="145"/>
        <v>1078.8693467336684</v>
      </c>
      <c r="AF208" s="50"/>
      <c r="AG208" s="33">
        <f t="shared" si="166"/>
        <v>5158</v>
      </c>
      <c r="AH208" s="33">
        <f t="shared" si="160"/>
        <v>459540403.34662843</v>
      </c>
      <c r="AI208" s="231">
        <f t="shared" si="147"/>
        <v>-3.1906906906906909E-2</v>
      </c>
      <c r="AJ208" s="50"/>
      <c r="AK208" s="10"/>
      <c r="AL208" s="23">
        <f t="shared" si="148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9"/>
        <v>6.3357773120274342E-3</v>
      </c>
      <c r="AS208" s="25"/>
      <c r="AT208" s="25"/>
      <c r="AU208" s="24"/>
      <c r="AV208" s="341">
        <f t="shared" si="150"/>
        <v>0.63421069703250832</v>
      </c>
      <c r="AW208" s="341"/>
      <c r="AX208" s="24">
        <f t="shared" si="151"/>
        <v>24367.025125628141</v>
      </c>
      <c r="AY208" s="351"/>
      <c r="AZ208" s="391"/>
      <c r="BA208" s="66">
        <f t="shared" si="152"/>
        <v>943983</v>
      </c>
      <c r="BB208" s="67"/>
      <c r="BC208" s="67">
        <v>111470266</v>
      </c>
      <c r="BD208" s="67"/>
      <c r="BE208" s="67">
        <f t="shared" si="153"/>
        <v>34066</v>
      </c>
      <c r="BF208" s="67"/>
      <c r="BG208" s="156">
        <f t="shared" si="154"/>
        <v>3.6087514287863234E-2</v>
      </c>
      <c r="BH208" s="67"/>
      <c r="BI208" s="183"/>
      <c r="BJ208" s="67"/>
      <c r="BK208" s="67">
        <f t="shared" si="155"/>
        <v>7135104</v>
      </c>
      <c r="BL208" s="67"/>
      <c r="BM208" s="156">
        <f t="shared" si="156"/>
        <v>4.2656280833467883E-2</v>
      </c>
      <c r="BN208" s="66">
        <f t="shared" si="157"/>
        <v>560152.09045226127</v>
      </c>
      <c r="BO208" s="67"/>
      <c r="BP208" s="67">
        <f t="shared" si="158"/>
        <v>7303137</v>
      </c>
      <c r="BQ208" s="67"/>
      <c r="BR208" s="478">
        <f t="shared" si="159"/>
        <v>6.5516457994278049E-2</v>
      </c>
      <c r="BS208" s="67"/>
      <c r="BT208" s="86"/>
      <c r="BU208" s="183"/>
      <c r="BV208" s="1"/>
      <c r="BW208" s="61">
        <f t="shared" si="164"/>
        <v>199</v>
      </c>
    </row>
    <row r="209" spans="2:75" x14ac:dyDescent="0.3">
      <c r="B209" s="171">
        <f t="shared" si="163"/>
        <v>44109</v>
      </c>
      <c r="C209" s="61"/>
      <c r="D209" s="17">
        <v>37717</v>
      </c>
      <c r="E209" s="16"/>
      <c r="F209" s="16"/>
      <c r="G209" s="16"/>
      <c r="H209" s="16">
        <f t="shared" si="139"/>
        <v>7683501</v>
      </c>
      <c r="I209" s="16"/>
      <c r="J209" s="479">
        <f t="shared" si="140"/>
        <v>4.9330454535466868E-3</v>
      </c>
      <c r="K209" s="16"/>
      <c r="L209" s="16"/>
      <c r="M209" s="16"/>
      <c r="N209" s="16">
        <f t="shared" si="141"/>
        <v>304656</v>
      </c>
      <c r="O209" s="16">
        <f t="shared" si="142"/>
        <v>38417.504999999997</v>
      </c>
      <c r="P209" s="41"/>
      <c r="Q209" s="17">
        <f t="shared" si="161"/>
        <v>304656</v>
      </c>
      <c r="R209" s="16"/>
      <c r="S209" s="60">
        <f t="shared" si="162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3"/>
        <v>215043</v>
      </c>
      <c r="AB209" s="33"/>
      <c r="AC209" s="46">
        <f t="shared" si="144"/>
        <v>2.7987632200477359E-2</v>
      </c>
      <c r="AD209" s="33"/>
      <c r="AE209" s="33">
        <f t="shared" si="145"/>
        <v>1075.2149999999999</v>
      </c>
      <c r="AF209" s="50"/>
      <c r="AG209" s="33">
        <f t="shared" si="166"/>
        <v>5151</v>
      </c>
      <c r="AH209" s="33">
        <f t="shared" si="160"/>
        <v>459498311.34662843</v>
      </c>
      <c r="AI209" s="231">
        <f t="shared" si="147"/>
        <v>-2.7929798075108512E-2</v>
      </c>
      <c r="AJ209" s="50"/>
      <c r="AK209" s="10"/>
      <c r="AL209" s="23">
        <f t="shared" si="148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9"/>
        <v>8.0017933454017073E-3</v>
      </c>
      <c r="AS209" s="25"/>
      <c r="AT209" s="25"/>
      <c r="AU209" s="24"/>
      <c r="AV209" s="341">
        <f t="shared" si="150"/>
        <v>0.63614737604641425</v>
      </c>
      <c r="AW209" s="341"/>
      <c r="AX209" s="24">
        <f t="shared" si="151"/>
        <v>24439.195</v>
      </c>
      <c r="AY209" s="351"/>
      <c r="AZ209" s="10"/>
      <c r="BA209" s="66">
        <f t="shared" si="152"/>
        <v>901908</v>
      </c>
      <c r="BB209" s="67"/>
      <c r="BC209" s="67">
        <v>112372174</v>
      </c>
      <c r="BD209" s="67"/>
      <c r="BE209" s="67">
        <f t="shared" si="153"/>
        <v>37717</v>
      </c>
      <c r="BF209" s="67"/>
      <c r="BG209" s="156">
        <f t="shared" si="154"/>
        <v>4.1819121240747395E-2</v>
      </c>
      <c r="BH209" s="67"/>
      <c r="BI209" s="183"/>
      <c r="BJ209" s="67"/>
      <c r="BK209" s="67">
        <f t="shared" si="155"/>
        <v>6970468</v>
      </c>
      <c r="BL209" s="67"/>
      <c r="BM209" s="156">
        <f t="shared" si="156"/>
        <v>4.3706677944723368E-2</v>
      </c>
      <c r="BN209" s="66">
        <f t="shared" si="157"/>
        <v>561860.87</v>
      </c>
      <c r="BO209" s="67"/>
      <c r="BP209" s="67">
        <f t="shared" si="158"/>
        <v>7340854</v>
      </c>
      <c r="BQ209" s="67"/>
      <c r="BR209" s="478">
        <f t="shared" si="159"/>
        <v>6.5326261286001289E-2</v>
      </c>
      <c r="BS209" s="67"/>
      <c r="BT209" s="86"/>
      <c r="BU209" s="183"/>
      <c r="BV209" s="1"/>
      <c r="BW209" s="61">
        <f t="shared" si="164"/>
        <v>200</v>
      </c>
    </row>
    <row r="210" spans="2:75" x14ac:dyDescent="0.3">
      <c r="B210" s="171">
        <f t="shared" si="163"/>
        <v>44110</v>
      </c>
      <c r="C210" s="61"/>
      <c r="D210" s="17">
        <v>44668</v>
      </c>
      <c r="E210" s="16"/>
      <c r="F210" s="16"/>
      <c r="G210" s="16"/>
      <c r="H210" s="16">
        <f t="shared" si="139"/>
        <v>7728169</v>
      </c>
      <c r="I210" s="16"/>
      <c r="J210" s="479">
        <f t="shared" si="140"/>
        <v>5.8134956968184165E-3</v>
      </c>
      <c r="K210" s="16"/>
      <c r="L210" s="16"/>
      <c r="M210" s="16"/>
      <c r="N210" s="16">
        <f t="shared" si="141"/>
        <v>305097</v>
      </c>
      <c r="O210" s="16">
        <f t="shared" si="142"/>
        <v>38448.601990049749</v>
      </c>
      <c r="P210" s="41"/>
      <c r="Q210" s="17">
        <f t="shared" si="161"/>
        <v>305097</v>
      </c>
      <c r="R210" s="16"/>
      <c r="S210" s="60">
        <f t="shared" si="162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3"/>
        <v>215851</v>
      </c>
      <c r="AB210" s="33"/>
      <c r="AC210" s="46">
        <f t="shared" si="144"/>
        <v>2.7930419223492653E-2</v>
      </c>
      <c r="AD210" s="33"/>
      <c r="AE210" s="33">
        <f t="shared" si="145"/>
        <v>1073.8855721393036</v>
      </c>
      <c r="AF210" s="50"/>
      <c r="AG210" s="33">
        <f t="shared" si="166"/>
        <v>4982</v>
      </c>
      <c r="AH210" s="33">
        <f t="shared" si="160"/>
        <v>459467201.34662843</v>
      </c>
      <c r="AI210" s="231">
        <f t="shared" si="147"/>
        <v>-5.9467623182933735E-2</v>
      </c>
      <c r="AJ210" s="50"/>
      <c r="AK210" s="10"/>
      <c r="AL210" s="23">
        <f t="shared" si="148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9"/>
        <v>9.7601414449207512E-3</v>
      </c>
      <c r="AS210" s="25"/>
      <c r="AT210" s="25"/>
      <c r="AU210" s="24"/>
      <c r="AV210" s="341">
        <f t="shared" si="150"/>
        <v>0.63864351310122747</v>
      </c>
      <c r="AW210" s="341"/>
      <c r="AX210" s="24">
        <f t="shared" si="151"/>
        <v>24554.95024875622</v>
      </c>
      <c r="AY210" s="351"/>
      <c r="AZ210" s="10"/>
      <c r="BA210" s="66">
        <f t="shared" si="152"/>
        <v>947144</v>
      </c>
      <c r="BB210" s="67"/>
      <c r="BC210" s="67">
        <v>113319318</v>
      </c>
      <c r="BD210" s="67"/>
      <c r="BE210" s="67">
        <f t="shared" si="153"/>
        <v>44668</v>
      </c>
      <c r="BF210" s="67"/>
      <c r="BG210" s="156">
        <f t="shared" si="154"/>
        <v>4.7160727407870397E-2</v>
      </c>
      <c r="BH210" s="67"/>
      <c r="BI210" s="183"/>
      <c r="BJ210" s="67"/>
      <c r="BK210" s="67">
        <f t="shared" si="155"/>
        <v>7146096</v>
      </c>
      <c r="BL210" s="67"/>
      <c r="BM210" s="156">
        <f t="shared" si="156"/>
        <v>4.2694220732551032E-2</v>
      </c>
      <c r="BN210" s="66">
        <f t="shared" si="157"/>
        <v>563777.70149253728</v>
      </c>
      <c r="BO210" s="67"/>
      <c r="BP210" s="67">
        <f t="shared" si="158"/>
        <v>7385522</v>
      </c>
      <c r="BQ210" s="67"/>
      <c r="BR210" s="478">
        <f t="shared" si="159"/>
        <v>6.5174430364997427E-2</v>
      </c>
      <c r="BS210" s="67"/>
      <c r="BT210" s="86"/>
      <c r="BU210" s="183"/>
      <c r="BV210" s="1"/>
      <c r="BW210" s="61">
        <f t="shared" si="164"/>
        <v>201</v>
      </c>
    </row>
    <row r="211" spans="2:75" x14ac:dyDescent="0.3">
      <c r="B211" s="171">
        <f t="shared" si="163"/>
        <v>44111</v>
      </c>
      <c r="C211" s="61"/>
      <c r="D211" s="17">
        <v>49358</v>
      </c>
      <c r="E211" s="16"/>
      <c r="F211" s="16"/>
      <c r="G211" s="16"/>
      <c r="H211" s="16">
        <f t="shared" si="139"/>
        <v>7777527</v>
      </c>
      <c r="I211" s="16"/>
      <c r="J211" s="479">
        <f t="shared" si="140"/>
        <v>6.3867650927405964E-3</v>
      </c>
      <c r="K211" s="16"/>
      <c r="L211" s="16"/>
      <c r="M211" s="16"/>
      <c r="N211" s="16">
        <f t="shared" si="141"/>
        <v>313526</v>
      </c>
      <c r="O211" s="16">
        <f t="shared" si="142"/>
        <v>38502.608910891089</v>
      </c>
      <c r="P211" s="41"/>
      <c r="Q211" s="17">
        <f t="shared" si="161"/>
        <v>313526</v>
      </c>
      <c r="R211" s="16"/>
      <c r="S211" s="60">
        <f t="shared" si="162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3"/>
        <v>216781</v>
      </c>
      <c r="AB211" s="33"/>
      <c r="AC211" s="46">
        <f t="shared" si="144"/>
        <v>2.7872741553966962E-2</v>
      </c>
      <c r="AD211" s="33"/>
      <c r="AE211" s="33">
        <f t="shared" si="145"/>
        <v>1073.1732673267327</v>
      </c>
      <c r="AF211" s="50"/>
      <c r="AG211" s="33">
        <f t="shared" si="166"/>
        <v>4957</v>
      </c>
      <c r="AH211" s="33">
        <f t="shared" si="160"/>
        <v>459441781.34662843</v>
      </c>
      <c r="AI211" s="231">
        <f t="shared" si="147"/>
        <v>-3.5039906560249176E-2</v>
      </c>
      <c r="AJ211" s="50"/>
      <c r="AK211" s="10"/>
      <c r="AL211" s="23">
        <f t="shared" si="148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9"/>
        <v>9.6919387828497162E-3</v>
      </c>
      <c r="AS211" s="25"/>
      <c r="AT211" s="25"/>
      <c r="AU211" s="24"/>
      <c r="AV211" s="341">
        <f t="shared" si="150"/>
        <v>0.64074094503304202</v>
      </c>
      <c r="AW211" s="341"/>
      <c r="AX211" s="24">
        <f t="shared" si="151"/>
        <v>24670.198019801981</v>
      </c>
      <c r="AY211" s="351"/>
      <c r="AZ211" s="10"/>
      <c r="BA211" s="66">
        <f t="shared" si="152"/>
        <v>839531</v>
      </c>
      <c r="BB211" s="67"/>
      <c r="BC211" s="67">
        <v>114158849</v>
      </c>
      <c r="BD211" s="67"/>
      <c r="BE211" s="67">
        <f t="shared" si="153"/>
        <v>49358</v>
      </c>
      <c r="BF211" s="67"/>
      <c r="BG211" s="156">
        <f t="shared" si="154"/>
        <v>5.8792349538015869E-2</v>
      </c>
      <c r="BH211" s="67"/>
      <c r="BI211" s="183"/>
      <c r="BJ211" s="67"/>
      <c r="BK211" s="67">
        <f t="shared" si="155"/>
        <v>6622624</v>
      </c>
      <c r="BL211" s="67"/>
      <c r="BM211" s="156">
        <f t="shared" si="156"/>
        <v>4.7341657928941759E-2</v>
      </c>
      <c r="BN211" s="66">
        <f t="shared" si="157"/>
        <v>565142.81683168316</v>
      </c>
      <c r="BO211" s="67"/>
      <c r="BP211" s="67">
        <f t="shared" si="158"/>
        <v>7434880</v>
      </c>
      <c r="BQ211" s="67"/>
      <c r="BR211" s="478">
        <f t="shared" si="159"/>
        <v>6.5127496161072898E-2</v>
      </c>
      <c r="BS211" s="67"/>
      <c r="BT211" s="86"/>
      <c r="BU211" s="183"/>
      <c r="BV211" s="1"/>
      <c r="BW211" s="61">
        <f t="shared" si="164"/>
        <v>202</v>
      </c>
    </row>
    <row r="212" spans="2:75" x14ac:dyDescent="0.3">
      <c r="B212" s="171">
        <f t="shared" si="163"/>
        <v>44112</v>
      </c>
      <c r="C212" s="61"/>
      <c r="D212" s="17">
        <v>57318</v>
      </c>
      <c r="E212" s="16"/>
      <c r="F212" s="16"/>
      <c r="G212" s="16"/>
      <c r="H212" s="16">
        <f t="shared" si="139"/>
        <v>7834845</v>
      </c>
      <c r="I212" s="16"/>
      <c r="J212" s="479">
        <f t="shared" si="140"/>
        <v>7.3696947628725685E-3</v>
      </c>
      <c r="K212" s="16"/>
      <c r="L212" s="16"/>
      <c r="M212" s="16"/>
      <c r="N212" s="16">
        <f t="shared" si="141"/>
        <v>323455</v>
      </c>
      <c r="O212" s="16">
        <f t="shared" si="142"/>
        <v>38595.295566502464</v>
      </c>
      <c r="P212" s="41"/>
      <c r="Q212" s="17">
        <f t="shared" si="161"/>
        <v>323455</v>
      </c>
      <c r="R212" s="16"/>
      <c r="S212" s="60">
        <f t="shared" si="162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3"/>
        <v>217738</v>
      </c>
      <c r="AB212" s="33"/>
      <c r="AC212" s="46">
        <f t="shared" si="144"/>
        <v>2.7790977358199173E-2</v>
      </c>
      <c r="AD212" s="33"/>
      <c r="AE212" s="33">
        <f t="shared" si="145"/>
        <v>1072.6009852216748</v>
      </c>
      <c r="AF212" s="50"/>
      <c r="AG212" s="33">
        <f t="shared" si="166"/>
        <v>4994</v>
      </c>
      <c r="AH212" s="33">
        <f t="shared" si="160"/>
        <v>459413342.34662843</v>
      </c>
      <c r="AI212" s="231">
        <f t="shared" si="147"/>
        <v>-2.3655913978494623E-2</v>
      </c>
      <c r="AJ212" s="50"/>
      <c r="AK212" s="10"/>
      <c r="AL212" s="23">
        <f t="shared" si="148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9"/>
        <v>8.3904899887225128E-3</v>
      </c>
      <c r="AS212" s="25"/>
      <c r="AT212" s="25"/>
      <c r="AU212" s="24"/>
      <c r="AV212" s="341">
        <f t="shared" si="150"/>
        <v>0.6413902253331113</v>
      </c>
      <c r="AW212" s="341"/>
      <c r="AX212" s="24">
        <f t="shared" si="151"/>
        <v>24754.645320197043</v>
      </c>
      <c r="AY212" s="351"/>
      <c r="AZ212" s="10"/>
      <c r="BA212" s="66">
        <f t="shared" si="152"/>
        <v>1184966</v>
      </c>
      <c r="BB212" s="67"/>
      <c r="BC212" s="67">
        <v>115343815</v>
      </c>
      <c r="BD212" s="67"/>
      <c r="BE212" s="67">
        <f t="shared" si="153"/>
        <v>57318</v>
      </c>
      <c r="BF212" s="67"/>
      <c r="BG212" s="156">
        <f t="shared" si="154"/>
        <v>4.8371008113312956E-2</v>
      </c>
      <c r="BH212" s="67"/>
      <c r="BI212" s="183"/>
      <c r="BJ212" s="67"/>
      <c r="BK212" s="67">
        <f t="shared" si="155"/>
        <v>6911855</v>
      </c>
      <c r="BL212" s="67"/>
      <c r="BM212" s="156">
        <f t="shared" si="156"/>
        <v>4.67971333310667E-2</v>
      </c>
      <c r="BN212" s="66">
        <f t="shared" si="157"/>
        <v>568196.13300492615</v>
      </c>
      <c r="BO212" s="67"/>
      <c r="BP212" s="67">
        <f t="shared" si="158"/>
        <v>7492198</v>
      </c>
      <c r="BQ212" s="67"/>
      <c r="BR212" s="478">
        <f t="shared" si="159"/>
        <v>6.4955351095331806E-2</v>
      </c>
      <c r="BS212" s="67"/>
      <c r="BT212" s="86"/>
      <c r="BU212" s="183"/>
      <c r="BV212" s="1"/>
      <c r="BW212" s="61">
        <f t="shared" si="164"/>
        <v>203</v>
      </c>
    </row>
    <row r="213" spans="2:75" x14ac:dyDescent="0.3">
      <c r="B213" s="171">
        <f t="shared" si="163"/>
        <v>44113</v>
      </c>
      <c r="C213" s="61"/>
      <c r="D213" s="17">
        <v>60983</v>
      </c>
      <c r="E213" s="16"/>
      <c r="F213" s="16"/>
      <c r="G213" s="16"/>
      <c r="H213" s="16">
        <f t="shared" ref="H213:H222" si="167">+H212+D213</f>
        <v>7895828</v>
      </c>
      <c r="I213" s="16"/>
      <c r="J213" s="479">
        <f t="shared" ref="J213:J222" si="168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9">+H213/BW213</f>
        <v>38705.039215686273</v>
      </c>
      <c r="P213" s="41"/>
      <c r="Q213" s="17">
        <f t="shared" si="161"/>
        <v>333035</v>
      </c>
      <c r="R213" s="16"/>
      <c r="S213" s="60">
        <f t="shared" si="162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70">+AA212+W213</f>
        <v>218647</v>
      </c>
      <c r="AB213" s="33"/>
      <c r="AC213" s="46">
        <f t="shared" ref="AC213:AC222" si="171">+AA213/H213</f>
        <v>2.7691459337766729E-2</v>
      </c>
      <c r="AD213" s="33"/>
      <c r="AE213" s="33">
        <f t="shared" ref="AE213:AE222" si="172">+AA213/BW213</f>
        <v>1071.7990196078431</v>
      </c>
      <c r="AF213" s="50"/>
      <c r="AG213" s="33">
        <f t="shared" ref="AG213:AG222" si="173">SUM(W207:W213)</f>
        <v>5039</v>
      </c>
      <c r="AH213" s="33">
        <f t="shared" si="160"/>
        <v>459378099.34662843</v>
      </c>
      <c r="AI213" s="231">
        <f t="shared" ref="AI213:AI222" si="174">+(AG213-AG206)/AG206</f>
        <v>-8.8512981904012595E-3</v>
      </c>
      <c r="AJ213" s="50"/>
      <c r="AK213" s="10"/>
      <c r="AL213" s="23">
        <f t="shared" ref="AL213:AL222" si="175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6">+AL213/AP212</f>
        <v>7.7821886641965795E-3</v>
      </c>
      <c r="AS213" s="25"/>
      <c r="AT213" s="25"/>
      <c r="AU213" s="24"/>
      <c r="AV213" s="341">
        <f t="shared" ref="AV213:AV222" si="177">+AP213/H213</f>
        <v>0.64138935143977305</v>
      </c>
      <c r="AW213" s="341"/>
      <c r="AX213" s="24">
        <f t="shared" ref="AX213:AX222" si="178">+AP213/BW213</f>
        <v>24825</v>
      </c>
      <c r="AY213" s="351"/>
      <c r="AZ213" s="10"/>
      <c r="BA213" s="66">
        <f t="shared" ref="BA213:BA222" si="179">+BC213-BC212</f>
        <v>1154320</v>
      </c>
      <c r="BB213" s="67"/>
      <c r="BC213" s="67">
        <v>116498135</v>
      </c>
      <c r="BD213" s="67"/>
      <c r="BE213" s="67">
        <f t="shared" ref="BE213:BE222" si="180">+D213</f>
        <v>60983</v>
      </c>
      <c r="BF213" s="67"/>
      <c r="BG213" s="156">
        <f t="shared" ref="BG213:BG222" si="181">+BE213/BA213</f>
        <v>5.2830237715711416E-2</v>
      </c>
      <c r="BH213" s="67"/>
      <c r="BI213" s="183"/>
      <c r="BJ213" s="67"/>
      <c r="BK213" s="67">
        <f t="shared" ref="BK213:BK222" si="182">SUM(BA207:BA213)</f>
        <v>6927689</v>
      </c>
      <c r="BL213" s="67"/>
      <c r="BM213" s="156">
        <f t="shared" ref="BM213:BM222" si="183">+Q213/BK213</f>
        <v>4.8073029837222774E-2</v>
      </c>
      <c r="BN213" s="66">
        <f t="shared" ref="BN213:BN222" si="184">+BC213/BW213</f>
        <v>571069.28921568627</v>
      </c>
      <c r="BO213" s="67"/>
      <c r="BP213" s="67">
        <f t="shared" ref="BP213:BP222" si="185">+BP212+BE213</f>
        <v>7553181</v>
      </c>
      <c r="BQ213" s="67"/>
      <c r="BR213" s="478">
        <f t="shared" ref="BR213:BR222" si="186">+BP213/BC213</f>
        <v>6.4835209593698651E-2</v>
      </c>
      <c r="BS213" s="67"/>
      <c r="BT213" s="86"/>
      <c r="BU213" s="183"/>
      <c r="BV213" s="1"/>
      <c r="BW213" s="61">
        <f t="shared" si="164"/>
        <v>204</v>
      </c>
    </row>
    <row r="214" spans="2:75" x14ac:dyDescent="0.3">
      <c r="B214" s="171">
        <f t="shared" si="163"/>
        <v>44114</v>
      </c>
      <c r="C214" s="61"/>
      <c r="D214" s="17">
        <v>54235</v>
      </c>
      <c r="E214" s="16"/>
      <c r="F214" s="16"/>
      <c r="G214" s="16"/>
      <c r="H214" s="16">
        <f t="shared" si="167"/>
        <v>7950063</v>
      </c>
      <c r="I214" s="16"/>
      <c r="J214" s="479">
        <f t="shared" si="168"/>
        <v>6.8688173045309501E-3</v>
      </c>
      <c r="K214" s="16"/>
      <c r="L214" s="16"/>
      <c r="M214" s="16"/>
      <c r="N214" s="16">
        <f>SUM(D205:D214)</f>
        <v>486062</v>
      </c>
      <c r="O214" s="16">
        <f t="shared" si="169"/>
        <v>38780.795121951218</v>
      </c>
      <c r="P214" s="41"/>
      <c r="Q214" s="17">
        <f t="shared" si="161"/>
        <v>338345</v>
      </c>
      <c r="R214" s="16"/>
      <c r="S214" s="60">
        <f t="shared" si="162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70"/>
        <v>219370</v>
      </c>
      <c r="AB214" s="33"/>
      <c r="AC214" s="46">
        <f t="shared" si="171"/>
        <v>2.7593492026415388E-2</v>
      </c>
      <c r="AD214" s="33"/>
      <c r="AE214" s="33">
        <f t="shared" si="172"/>
        <v>1070.0975609756097</v>
      </c>
      <c r="AF214" s="50"/>
      <c r="AG214" s="33">
        <f t="shared" si="173"/>
        <v>5007</v>
      </c>
      <c r="AH214" s="33">
        <f t="shared" si="160"/>
        <v>459339288.34662843</v>
      </c>
      <c r="AI214" s="231">
        <f t="shared" si="174"/>
        <v>-1.8620148961191688E-2</v>
      </c>
      <c r="AJ214" s="50"/>
      <c r="AK214" s="10"/>
      <c r="AL214" s="23">
        <f t="shared" si="175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6"/>
        <v>5.0435400746401283E-3</v>
      </c>
      <c r="AS214" s="25"/>
      <c r="AT214" s="25"/>
      <c r="AU214" s="24"/>
      <c r="AV214" s="341">
        <f t="shared" si="177"/>
        <v>0.6402266246192011</v>
      </c>
      <c r="AW214" s="341"/>
      <c r="AX214" s="24">
        <f t="shared" si="178"/>
        <v>24828.497560975611</v>
      </c>
      <c r="AY214" s="351"/>
      <c r="AZ214" s="10"/>
      <c r="BA214" s="66">
        <f t="shared" si="179"/>
        <v>1103287</v>
      </c>
      <c r="BB214" s="67"/>
      <c r="BC214" s="67">
        <v>117601422</v>
      </c>
      <c r="BD214" s="67"/>
      <c r="BE214" s="67">
        <f t="shared" si="180"/>
        <v>54235</v>
      </c>
      <c r="BF214" s="67"/>
      <c r="BG214" s="156">
        <f t="shared" si="181"/>
        <v>4.9157653448286799E-2</v>
      </c>
      <c r="BH214" s="67"/>
      <c r="BI214" s="183"/>
      <c r="BJ214" s="67"/>
      <c r="BK214" s="67">
        <f t="shared" si="182"/>
        <v>7075139</v>
      </c>
      <c r="BL214" s="67"/>
      <c r="BM214" s="156">
        <f t="shared" si="183"/>
        <v>4.7821675305601767E-2</v>
      </c>
      <c r="BN214" s="66">
        <f t="shared" si="184"/>
        <v>573665.47317073168</v>
      </c>
      <c r="BO214" s="67"/>
      <c r="BP214" s="67">
        <f t="shared" si="185"/>
        <v>7607416</v>
      </c>
      <c r="BQ214" s="67"/>
      <c r="BR214" s="478">
        <f t="shared" si="186"/>
        <v>6.4688129366326882E-2</v>
      </c>
      <c r="BS214" s="67"/>
      <c r="BT214" s="86"/>
      <c r="BU214" s="183"/>
      <c r="BV214" s="1"/>
      <c r="BW214" s="61">
        <f t="shared" si="164"/>
        <v>205</v>
      </c>
    </row>
    <row r="215" spans="2:75" x14ac:dyDescent="0.3">
      <c r="B215" s="390">
        <f t="shared" si="163"/>
        <v>44115</v>
      </c>
      <c r="C215" s="61"/>
      <c r="D215" s="17">
        <v>41935</v>
      </c>
      <c r="E215" s="16"/>
      <c r="F215" s="16"/>
      <c r="G215" s="16"/>
      <c r="H215" s="16">
        <f t="shared" si="167"/>
        <v>7991998</v>
      </c>
      <c r="I215" s="16"/>
      <c r="J215" s="479">
        <f t="shared" si="168"/>
        <v>5.2748009669860482E-3</v>
      </c>
      <c r="K215" s="16"/>
      <c r="L215" s="16"/>
      <c r="M215" s="16"/>
      <c r="N215" s="469">
        <f t="shared" ref="N215:N222" si="187">SUM(D209:D215)</f>
        <v>346214</v>
      </c>
      <c r="O215" s="16">
        <f t="shared" si="169"/>
        <v>38796.106796116503</v>
      </c>
      <c r="P215" s="41"/>
      <c r="Q215" s="17">
        <f t="shared" si="161"/>
        <v>346214</v>
      </c>
      <c r="R215" s="16"/>
      <c r="S215" s="60">
        <f t="shared" si="162"/>
        <v>0.13752599743064889</v>
      </c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70"/>
        <v>219695</v>
      </c>
      <c r="AB215" s="33"/>
      <c r="AC215" s="46">
        <f t="shared" si="171"/>
        <v>2.7489371243586396E-2</v>
      </c>
      <c r="AD215" s="33"/>
      <c r="AE215" s="33">
        <f t="shared" si="172"/>
        <v>1066.4805825242718</v>
      </c>
      <c r="AF215" s="50"/>
      <c r="AG215" s="33">
        <f t="shared" si="173"/>
        <v>5000</v>
      </c>
      <c r="AH215" s="33">
        <f t="shared" si="160"/>
        <v>459292688.34662843</v>
      </c>
      <c r="AI215" s="231">
        <f t="shared" si="174"/>
        <v>-3.0632027917797598E-2</v>
      </c>
      <c r="AJ215" s="50"/>
      <c r="AK215" s="10"/>
      <c r="AL215" s="23">
        <f t="shared" si="175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6"/>
        <v>7.5287209308265365E-3</v>
      </c>
      <c r="AS215" s="25"/>
      <c r="AT215" s="25"/>
      <c r="AU215" s="24"/>
      <c r="AV215" s="341">
        <f t="shared" si="177"/>
        <v>0.64166207248800611</v>
      </c>
      <c r="AW215" s="341"/>
      <c r="AX215" s="24">
        <f t="shared" si="178"/>
        <v>24893.990291262136</v>
      </c>
      <c r="AY215" s="351"/>
      <c r="AZ215" s="391"/>
      <c r="BA215" s="66">
        <f t="shared" si="179"/>
        <v>885476</v>
      </c>
      <c r="BB215" s="67"/>
      <c r="BC215" s="67">
        <v>118486898</v>
      </c>
      <c r="BD215" s="67"/>
      <c r="BE215" s="67">
        <f t="shared" si="180"/>
        <v>41935</v>
      </c>
      <c r="BF215" s="67"/>
      <c r="BG215" s="156">
        <f t="shared" si="181"/>
        <v>4.7358708762292825E-2</v>
      </c>
      <c r="BH215" s="67"/>
      <c r="BI215" s="183"/>
      <c r="BJ215" s="67"/>
      <c r="BK215" s="67">
        <f t="shared" si="182"/>
        <v>7016632</v>
      </c>
      <c r="BL215" s="67"/>
      <c r="BM215" s="156">
        <f t="shared" si="183"/>
        <v>4.9341906487328967E-2</v>
      </c>
      <c r="BN215" s="66">
        <f t="shared" si="184"/>
        <v>575179.11650485441</v>
      </c>
      <c r="BO215" s="67"/>
      <c r="BP215" s="67">
        <f t="shared" si="185"/>
        <v>7649351</v>
      </c>
      <c r="BQ215" s="67"/>
      <c r="BR215" s="478">
        <f t="shared" si="186"/>
        <v>6.4558623182117567E-2</v>
      </c>
      <c r="BS215" s="67"/>
      <c r="BT215" s="86"/>
      <c r="BU215" s="183"/>
      <c r="BV215" s="1"/>
      <c r="BW215" s="61">
        <f t="shared" si="164"/>
        <v>206</v>
      </c>
    </row>
    <row r="216" spans="2:75" x14ac:dyDescent="0.3">
      <c r="B216" s="171">
        <f t="shared" si="163"/>
        <v>44116</v>
      </c>
      <c r="C216" s="61"/>
      <c r="D216" s="17">
        <v>45791</v>
      </c>
      <c r="E216" s="16"/>
      <c r="F216" s="16"/>
      <c r="G216" s="16"/>
      <c r="H216" s="16">
        <f t="shared" si="167"/>
        <v>8037789</v>
      </c>
      <c r="I216" s="16"/>
      <c r="J216" s="479">
        <f t="shared" si="168"/>
        <v>5.7296060384399499E-3</v>
      </c>
      <c r="K216" s="16"/>
      <c r="L216" s="16"/>
      <c r="M216" s="16"/>
      <c r="N216" s="16">
        <f t="shared" si="187"/>
        <v>354288</v>
      </c>
      <c r="O216" s="16">
        <f t="shared" si="169"/>
        <v>38829.89855072464</v>
      </c>
      <c r="P216" s="41"/>
      <c r="Q216" s="17">
        <f t="shared" si="161"/>
        <v>354288</v>
      </c>
      <c r="R216" s="16"/>
      <c r="S216" s="60">
        <f t="shared" si="162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70"/>
        <v>220011</v>
      </c>
      <c r="AB216" s="33"/>
      <c r="AC216" s="46">
        <f t="shared" si="171"/>
        <v>2.7372079560685159E-2</v>
      </c>
      <c r="AD216" s="33"/>
      <c r="AE216" s="33">
        <f t="shared" si="172"/>
        <v>1062.855072463768</v>
      </c>
      <c r="AF216" s="50"/>
      <c r="AG216" s="33">
        <f t="shared" si="173"/>
        <v>4968</v>
      </c>
      <c r="AH216" s="33">
        <f t="shared" ref="AH216:AH247" si="188">SUM(D187:D351)</f>
        <v>459253406.34662843</v>
      </c>
      <c r="AI216" s="231">
        <f t="shared" si="174"/>
        <v>-3.5527082119976704E-2</v>
      </c>
      <c r="AJ216" s="50"/>
      <c r="AK216" s="10"/>
      <c r="AL216" s="23">
        <f t="shared" si="175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6"/>
        <v>1.1008427580875954E-2</v>
      </c>
      <c r="AS216" s="25"/>
      <c r="AT216" s="25"/>
      <c r="AU216" s="24"/>
      <c r="AV216" s="341">
        <f t="shared" si="177"/>
        <v>0.64502999518897552</v>
      </c>
      <c r="AW216" s="341"/>
      <c r="AX216" s="24">
        <f t="shared" si="178"/>
        <v>25046.44927536232</v>
      </c>
      <c r="AY216" s="351"/>
      <c r="AZ216" s="10"/>
      <c r="BA216" s="66">
        <f t="shared" si="179"/>
        <v>1010726</v>
      </c>
      <c r="BB216" s="67"/>
      <c r="BC216" s="67">
        <v>119497624</v>
      </c>
      <c r="BD216" s="67"/>
      <c r="BE216" s="67">
        <f t="shared" si="180"/>
        <v>45791</v>
      </c>
      <c r="BF216" s="67"/>
      <c r="BG216" s="156">
        <f t="shared" si="181"/>
        <v>4.5305057948444978E-2</v>
      </c>
      <c r="BH216" s="67"/>
      <c r="BI216" s="183"/>
      <c r="BJ216" s="67"/>
      <c r="BK216" s="67">
        <f t="shared" si="182"/>
        <v>7125450</v>
      </c>
      <c r="BL216" s="67"/>
      <c r="BM216" s="156">
        <f t="shared" si="183"/>
        <v>4.9721491274235315E-2</v>
      </c>
      <c r="BN216" s="66">
        <f t="shared" si="184"/>
        <v>577283.20772946859</v>
      </c>
      <c r="BO216" s="67"/>
      <c r="BP216" s="67">
        <f t="shared" si="185"/>
        <v>7695142</v>
      </c>
      <c r="BQ216" s="67"/>
      <c r="BR216" s="478">
        <f t="shared" si="186"/>
        <v>6.4395774095056479E-2</v>
      </c>
      <c r="BS216" s="67"/>
      <c r="BT216" s="86"/>
      <c r="BU216" s="183"/>
      <c r="BV216" s="1"/>
      <c r="BW216" s="61">
        <f t="shared" ref="BW216:BW262" si="189">+BW215+1</f>
        <v>207</v>
      </c>
    </row>
    <row r="217" spans="2:75" x14ac:dyDescent="0.3">
      <c r="B217" s="171">
        <f t="shared" si="163"/>
        <v>44117</v>
      </c>
      <c r="C217" s="61"/>
      <c r="D217" s="17">
        <v>51534</v>
      </c>
      <c r="E217" s="16"/>
      <c r="F217" s="16"/>
      <c r="G217" s="16"/>
      <c r="H217" s="16">
        <f t="shared" si="167"/>
        <v>8089323</v>
      </c>
      <c r="I217" s="16"/>
      <c r="J217" s="479">
        <f t="shared" si="168"/>
        <v>6.4114646453147751E-3</v>
      </c>
      <c r="K217" s="16"/>
      <c r="L217" s="16"/>
      <c r="M217" s="16"/>
      <c r="N217" s="16">
        <f t="shared" si="187"/>
        <v>361154</v>
      </c>
      <c r="O217" s="16">
        <f t="shared" si="169"/>
        <v>38890.975961538461</v>
      </c>
      <c r="P217" s="41"/>
      <c r="Q217" s="17">
        <f t="shared" si="161"/>
        <v>361154</v>
      </c>
      <c r="R217" s="16"/>
      <c r="S217" s="60">
        <f t="shared" si="162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70"/>
        <v>220854</v>
      </c>
      <c r="AB217" s="33"/>
      <c r="AC217" s="46">
        <f t="shared" si="171"/>
        <v>2.7301913893165101E-2</v>
      </c>
      <c r="AD217" s="33"/>
      <c r="AE217" s="33">
        <f t="shared" si="172"/>
        <v>1061.7980769230769</v>
      </c>
      <c r="AF217" s="50"/>
      <c r="AG217" s="33">
        <f t="shared" si="173"/>
        <v>5003</v>
      </c>
      <c r="AH217" s="33">
        <f t="shared" si="188"/>
        <v>459221549.34662843</v>
      </c>
      <c r="AI217" s="231">
        <f t="shared" si="174"/>
        <v>4.2151746286631878E-3</v>
      </c>
      <c r="AJ217" s="50"/>
      <c r="AK217" s="10"/>
      <c r="AL217" s="23">
        <f t="shared" si="175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6"/>
        <v>8.0646296783849908E-3</v>
      </c>
      <c r="AS217" s="25"/>
      <c r="AT217" s="25"/>
      <c r="AU217" s="24"/>
      <c r="AV217" s="341">
        <f t="shared" si="177"/>
        <v>0.64608954296917065</v>
      </c>
      <c r="AW217" s="341"/>
      <c r="AX217" s="24">
        <f t="shared" si="178"/>
        <v>25127.052884615383</v>
      </c>
      <c r="AY217" s="351"/>
      <c r="AZ217" s="10"/>
      <c r="BA217" s="66">
        <f t="shared" si="179"/>
        <v>1025948</v>
      </c>
      <c r="BB217" s="67"/>
      <c r="BC217" s="67">
        <v>120523572</v>
      </c>
      <c r="BD217" s="67"/>
      <c r="BE217" s="67">
        <f t="shared" si="180"/>
        <v>51534</v>
      </c>
      <c r="BF217" s="67"/>
      <c r="BG217" s="156">
        <f t="shared" si="181"/>
        <v>5.0230615976638193E-2</v>
      </c>
      <c r="BH217" s="67"/>
      <c r="BI217" s="183"/>
      <c r="BJ217" s="67"/>
      <c r="BK217" s="67">
        <f t="shared" si="182"/>
        <v>7204254</v>
      </c>
      <c r="BL217" s="67"/>
      <c r="BM217" s="156">
        <f t="shared" si="183"/>
        <v>5.0130658913469739E-2</v>
      </c>
      <c r="BN217" s="66">
        <f t="shared" si="184"/>
        <v>579440.25</v>
      </c>
      <c r="BO217" s="67"/>
      <c r="BP217" s="67">
        <f t="shared" si="185"/>
        <v>7746676</v>
      </c>
      <c r="BQ217" s="67"/>
      <c r="BR217" s="478">
        <f t="shared" si="186"/>
        <v>6.4275194233373703E-2</v>
      </c>
      <c r="BS217" s="67"/>
      <c r="BT217" s="86"/>
      <c r="BU217" s="183"/>
      <c r="BV217" s="1"/>
      <c r="BW217" s="61">
        <f t="shared" si="189"/>
        <v>208</v>
      </c>
    </row>
    <row r="218" spans="2:75" x14ac:dyDescent="0.3">
      <c r="B218" s="171">
        <f t="shared" si="163"/>
        <v>44118</v>
      </c>
      <c r="C218" s="61"/>
      <c r="D218" s="17">
        <v>59693</v>
      </c>
      <c r="E218" s="16"/>
      <c r="F218" s="16"/>
      <c r="G218" s="16"/>
      <c r="H218" s="16">
        <f t="shared" si="167"/>
        <v>8149016</v>
      </c>
      <c r="I218" s="16"/>
      <c r="J218" s="479">
        <f t="shared" si="168"/>
        <v>7.3792330952788011E-3</v>
      </c>
      <c r="K218" s="16"/>
      <c r="L218" s="16"/>
      <c r="M218" s="16"/>
      <c r="N218" s="16">
        <f t="shared" si="187"/>
        <v>371489</v>
      </c>
      <c r="O218" s="16">
        <f t="shared" si="169"/>
        <v>38990.507177033491</v>
      </c>
      <c r="P218" s="41"/>
      <c r="Q218" s="17">
        <f t="shared" si="161"/>
        <v>371489</v>
      </c>
      <c r="R218" s="16"/>
      <c r="S218" s="60">
        <f t="shared" si="162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70"/>
        <v>221824</v>
      </c>
      <c r="AB218" s="33"/>
      <c r="AC218" s="46">
        <f t="shared" si="171"/>
        <v>2.722095526625546E-2</v>
      </c>
      <c r="AD218" s="33"/>
      <c r="AE218" s="33">
        <f t="shared" si="172"/>
        <v>1061.3588516746411</v>
      </c>
      <c r="AF218" s="50"/>
      <c r="AG218" s="33">
        <f t="shared" si="173"/>
        <v>5043</v>
      </c>
      <c r="AH218" s="33">
        <f t="shared" si="188"/>
        <v>459183477.34662843</v>
      </c>
      <c r="AI218" s="231">
        <f t="shared" si="174"/>
        <v>1.7349203147064757E-2</v>
      </c>
      <c r="AJ218" s="50"/>
      <c r="AK218" s="10"/>
      <c r="AL218" s="23">
        <f t="shared" si="175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6"/>
        <v>1.0011811128329162E-2</v>
      </c>
      <c r="AS218" s="25"/>
      <c r="AT218" s="25"/>
      <c r="AU218" s="24"/>
      <c r="AV218" s="341">
        <f t="shared" si="177"/>
        <v>0.64777796484876216</v>
      </c>
      <c r="AW218" s="341"/>
      <c r="AX218" s="24">
        <f t="shared" si="178"/>
        <v>25257.191387559807</v>
      </c>
      <c r="AY218" s="351"/>
      <c r="AZ218" s="10"/>
      <c r="BA218" s="66">
        <f t="shared" si="179"/>
        <v>1043566</v>
      </c>
      <c r="BB218" s="67"/>
      <c r="BC218" s="67">
        <v>121567138</v>
      </c>
      <c r="BD218" s="67"/>
      <c r="BE218" s="67">
        <f t="shared" si="180"/>
        <v>59693</v>
      </c>
      <c r="BF218" s="67"/>
      <c r="BG218" s="156">
        <f t="shared" si="181"/>
        <v>5.7200982017428702E-2</v>
      </c>
      <c r="BH218" s="67"/>
      <c r="BI218" s="183"/>
      <c r="BJ218" s="67"/>
      <c r="BK218" s="67">
        <f t="shared" si="182"/>
        <v>7408289</v>
      </c>
      <c r="BL218" s="67"/>
      <c r="BM218" s="156">
        <f t="shared" si="183"/>
        <v>5.0145046987232815E-2</v>
      </c>
      <c r="BN218" s="66">
        <f t="shared" si="184"/>
        <v>581660.94736842101</v>
      </c>
      <c r="BO218" s="67"/>
      <c r="BP218" s="67">
        <f t="shared" si="185"/>
        <v>7806369</v>
      </c>
      <c r="BQ218" s="67"/>
      <c r="BR218" s="478">
        <f t="shared" si="186"/>
        <v>6.4214467235380671E-2</v>
      </c>
      <c r="BS218" s="67"/>
      <c r="BT218" s="86"/>
      <c r="BU218" s="183"/>
      <c r="BV218" s="1"/>
      <c r="BW218" s="61">
        <f t="shared" si="189"/>
        <v>209</v>
      </c>
    </row>
    <row r="219" spans="2:75" x14ac:dyDescent="0.3">
      <c r="B219" s="171">
        <f t="shared" si="163"/>
        <v>44119</v>
      </c>
      <c r="C219" s="61"/>
      <c r="D219" s="17">
        <v>66129</v>
      </c>
      <c r="E219" s="16"/>
      <c r="F219" s="16"/>
      <c r="G219" s="16"/>
      <c r="H219" s="16">
        <f t="shared" si="167"/>
        <v>8215145</v>
      </c>
      <c r="I219" s="16"/>
      <c r="J219" s="479">
        <f t="shared" si="168"/>
        <v>8.1149675003705964E-3</v>
      </c>
      <c r="K219" s="16"/>
      <c r="L219" s="16"/>
      <c r="M219" s="16"/>
      <c r="N219" s="16">
        <f t="shared" si="187"/>
        <v>380300</v>
      </c>
      <c r="O219" s="16">
        <f t="shared" si="169"/>
        <v>39119.738095238092</v>
      </c>
      <c r="P219" s="41"/>
      <c r="Q219" s="17">
        <f t="shared" si="161"/>
        <v>380300</v>
      </c>
      <c r="R219" s="16"/>
      <c r="S219" s="60">
        <f t="shared" si="162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70"/>
        <v>222698</v>
      </c>
      <c r="AB219" s="33"/>
      <c r="AC219" s="46">
        <f t="shared" si="171"/>
        <v>2.7108225113494651E-2</v>
      </c>
      <c r="AD219" s="33"/>
      <c r="AE219" s="33">
        <f t="shared" si="172"/>
        <v>1060.4666666666667</v>
      </c>
      <c r="AF219" s="50"/>
      <c r="AG219" s="33">
        <f t="shared" si="173"/>
        <v>4960</v>
      </c>
      <c r="AH219" s="33">
        <f t="shared" si="188"/>
        <v>459147030.34662843</v>
      </c>
      <c r="AI219" s="231">
        <f t="shared" si="174"/>
        <v>-6.8081698037645178E-3</v>
      </c>
      <c r="AJ219" s="50"/>
      <c r="AK219" s="10"/>
      <c r="AL219" s="23">
        <f t="shared" si="175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6"/>
        <v>7.8401092076102064E-3</v>
      </c>
      <c r="AS219" s="25"/>
      <c r="AT219" s="25"/>
      <c r="AU219" s="24"/>
      <c r="AV219" s="341">
        <f t="shared" si="177"/>
        <v>0.64760135091955162</v>
      </c>
      <c r="AW219" s="341"/>
      <c r="AX219" s="24">
        <f t="shared" si="178"/>
        <v>25333.995238095238</v>
      </c>
      <c r="AY219" s="351"/>
      <c r="AZ219" s="10"/>
      <c r="BA219" s="66">
        <f t="shared" si="179"/>
        <v>1128210</v>
      </c>
      <c r="BB219" s="67"/>
      <c r="BC219" s="67">
        <v>122695348</v>
      </c>
      <c r="BD219" s="67"/>
      <c r="BE219" s="67">
        <f t="shared" si="180"/>
        <v>66129</v>
      </c>
      <c r="BF219" s="67"/>
      <c r="BG219" s="156">
        <f t="shared" si="181"/>
        <v>5.8614087802802667E-2</v>
      </c>
      <c r="BH219" s="67"/>
      <c r="BI219" s="183"/>
      <c r="BJ219" s="67"/>
      <c r="BK219" s="67">
        <f t="shared" si="182"/>
        <v>7351533</v>
      </c>
      <c r="BL219" s="67"/>
      <c r="BM219" s="156">
        <f t="shared" si="183"/>
        <v>5.1730707051168785E-2</v>
      </c>
      <c r="BN219" s="66">
        <f t="shared" si="184"/>
        <v>584263.56190476194</v>
      </c>
      <c r="BO219" s="67"/>
      <c r="BP219" s="67">
        <f t="shared" si="185"/>
        <v>7872498</v>
      </c>
      <c r="BQ219" s="67"/>
      <c r="BR219" s="478">
        <f t="shared" si="186"/>
        <v>6.4162970547179995E-2</v>
      </c>
      <c r="BS219" s="67"/>
      <c r="BT219" s="86"/>
      <c r="BU219" s="183"/>
      <c r="BV219" s="1"/>
      <c r="BW219" s="61">
        <f t="shared" si="189"/>
        <v>210</v>
      </c>
    </row>
    <row r="220" spans="2:75" x14ac:dyDescent="0.3">
      <c r="B220" s="171">
        <f t="shared" si="163"/>
        <v>44120</v>
      </c>
      <c r="C220" s="61"/>
      <c r="D220" s="17">
        <v>71687</v>
      </c>
      <c r="E220" s="16"/>
      <c r="F220" s="16"/>
      <c r="G220" s="16"/>
      <c r="H220" s="16">
        <f t="shared" si="167"/>
        <v>8286832</v>
      </c>
      <c r="I220" s="16"/>
      <c r="J220" s="479">
        <f t="shared" si="168"/>
        <v>8.726200207056601E-3</v>
      </c>
      <c r="K220" s="16"/>
      <c r="L220" s="16"/>
      <c r="M220" s="16"/>
      <c r="N220" s="16">
        <f t="shared" si="187"/>
        <v>391004</v>
      </c>
      <c r="O220" s="16">
        <f t="shared" si="169"/>
        <v>39274.08530805687</v>
      </c>
      <c r="P220" s="41"/>
      <c r="Q220" s="17">
        <f t="shared" si="161"/>
        <v>391004</v>
      </c>
      <c r="R220" s="16"/>
      <c r="S220" s="60">
        <f t="shared" si="162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70"/>
        <v>223626</v>
      </c>
      <c r="AB220" s="33"/>
      <c r="AC220" s="46">
        <f t="shared" si="171"/>
        <v>2.6985704549096688E-2</v>
      </c>
      <c r="AD220" s="33"/>
      <c r="AE220" s="33">
        <f t="shared" si="172"/>
        <v>1059.8388625592418</v>
      </c>
      <c r="AF220" s="50"/>
      <c r="AG220" s="33">
        <f t="shared" si="173"/>
        <v>4979</v>
      </c>
      <c r="AH220" s="33">
        <f t="shared" si="188"/>
        <v>459106876.34662843</v>
      </c>
      <c r="AI220" s="231">
        <f t="shared" si="174"/>
        <v>-1.1907124429450288E-2</v>
      </c>
      <c r="AJ220" s="50"/>
      <c r="AK220" s="10"/>
      <c r="AL220" s="23">
        <f t="shared" si="175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6"/>
        <v>1.4146622860793675E-2</v>
      </c>
      <c r="AS220" s="25"/>
      <c r="AT220" s="25"/>
      <c r="AU220" s="24"/>
      <c r="AV220" s="341">
        <f t="shared" si="177"/>
        <v>0.6510812575903554</v>
      </c>
      <c r="AW220" s="341"/>
      <c r="AX220" s="24">
        <f t="shared" si="178"/>
        <v>25570.620853080567</v>
      </c>
      <c r="AY220" s="351"/>
      <c r="AZ220" s="10"/>
      <c r="BA220" s="66">
        <f t="shared" si="179"/>
        <v>1041099</v>
      </c>
      <c r="BB220" s="67"/>
      <c r="BC220" s="67">
        <v>123736447</v>
      </c>
      <c r="BD220" s="67"/>
      <c r="BE220" s="67">
        <f t="shared" si="180"/>
        <v>71687</v>
      </c>
      <c r="BF220" s="67"/>
      <c r="BG220" s="156">
        <f t="shared" si="181"/>
        <v>6.885704433488074E-2</v>
      </c>
      <c r="BH220" s="67"/>
      <c r="BI220" s="183"/>
      <c r="BJ220" s="67"/>
      <c r="BK220" s="67">
        <f t="shared" si="182"/>
        <v>7238312</v>
      </c>
      <c r="BL220" s="67"/>
      <c r="BM220" s="156">
        <f t="shared" si="183"/>
        <v>5.40186717566195E-2</v>
      </c>
      <c r="BN220" s="66">
        <f t="shared" si="184"/>
        <v>586428.65876777249</v>
      </c>
      <c r="BO220" s="67"/>
      <c r="BP220" s="67">
        <f t="shared" si="185"/>
        <v>7944185</v>
      </c>
      <c r="BQ220" s="67"/>
      <c r="BR220" s="478">
        <f t="shared" si="186"/>
        <v>6.4202465745602025E-2</v>
      </c>
      <c r="BS220" s="67"/>
      <c r="BT220" s="86"/>
      <c r="BU220" s="183"/>
      <c r="BV220" s="1"/>
      <c r="BW220" s="61">
        <f t="shared" si="189"/>
        <v>211</v>
      </c>
    </row>
    <row r="221" spans="2:75" x14ac:dyDescent="0.3">
      <c r="B221" s="171">
        <f t="shared" si="163"/>
        <v>44121</v>
      </c>
      <c r="C221" s="61"/>
      <c r="D221" s="17">
        <v>54232</v>
      </c>
      <c r="E221" s="16"/>
      <c r="F221" s="16"/>
      <c r="G221" s="16"/>
      <c r="H221" s="16">
        <f t="shared" si="167"/>
        <v>8341064</v>
      </c>
      <c r="I221" s="16"/>
      <c r="J221" s="479">
        <f t="shared" si="168"/>
        <v>6.5443585679062881E-3</v>
      </c>
      <c r="K221" s="16"/>
      <c r="L221" s="16"/>
      <c r="M221" s="16"/>
      <c r="N221" s="16">
        <f t="shared" si="187"/>
        <v>391001</v>
      </c>
      <c r="O221" s="16">
        <f t="shared" si="169"/>
        <v>39344.641509433961</v>
      </c>
      <c r="P221" s="41"/>
      <c r="Q221" s="17">
        <f t="shared" si="161"/>
        <v>391001</v>
      </c>
      <c r="R221" s="16"/>
      <c r="S221" s="60">
        <f t="shared" si="162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70"/>
        <v>224264</v>
      </c>
      <c r="AB221" s="33"/>
      <c r="AC221" s="46">
        <f t="shared" si="171"/>
        <v>2.6886737711160111E-2</v>
      </c>
      <c r="AD221" s="33"/>
      <c r="AE221" s="33">
        <f t="shared" si="172"/>
        <v>1057.8490566037735</v>
      </c>
      <c r="AF221" s="50"/>
      <c r="AG221" s="33">
        <f t="shared" si="173"/>
        <v>4894</v>
      </c>
      <c r="AH221" s="33">
        <f t="shared" si="188"/>
        <v>459060581.34662843</v>
      </c>
      <c r="AI221" s="231">
        <f t="shared" si="174"/>
        <v>-2.25684042340723E-2</v>
      </c>
      <c r="AJ221" s="50"/>
      <c r="AK221" s="10"/>
      <c r="AL221" s="23">
        <f t="shared" si="175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6"/>
        <v>6.8189556253557427E-3</v>
      </c>
      <c r="AS221" s="25"/>
      <c r="AT221" s="25"/>
      <c r="AU221" s="24"/>
      <c r="AV221" s="341">
        <f t="shared" si="177"/>
        <v>0.65125888016205125</v>
      </c>
      <c r="AW221" s="341"/>
      <c r="AX221" s="24">
        <f t="shared" si="178"/>
        <v>25623.547169811322</v>
      </c>
      <c r="AY221" s="351"/>
      <c r="AZ221" s="10"/>
      <c r="BA221" s="66">
        <f t="shared" si="179"/>
        <v>1056221</v>
      </c>
      <c r="BB221" s="67"/>
      <c r="BC221" s="67">
        <v>124792668</v>
      </c>
      <c r="BD221" s="67"/>
      <c r="BE221" s="67">
        <f t="shared" si="180"/>
        <v>54232</v>
      </c>
      <c r="BF221" s="67"/>
      <c r="BG221" s="156">
        <f t="shared" si="181"/>
        <v>5.1345315042969228E-2</v>
      </c>
      <c r="BH221" s="67"/>
      <c r="BI221" s="183"/>
      <c r="BJ221" s="67"/>
      <c r="BK221" s="67">
        <f t="shared" si="182"/>
        <v>7191246</v>
      </c>
      <c r="BL221" s="67"/>
      <c r="BM221" s="156">
        <f t="shared" si="183"/>
        <v>5.4371801493093133E-2</v>
      </c>
      <c r="BN221" s="66">
        <f t="shared" si="184"/>
        <v>588644.66037735844</v>
      </c>
      <c r="BO221" s="67"/>
      <c r="BP221" s="67">
        <f t="shared" si="185"/>
        <v>7998417</v>
      </c>
      <c r="BQ221" s="67"/>
      <c r="BR221" s="478">
        <f t="shared" si="186"/>
        <v>6.4093645309354227E-2</v>
      </c>
      <c r="BS221" s="67"/>
      <c r="BT221" s="86"/>
      <c r="BU221" s="183"/>
      <c r="BV221" s="1"/>
      <c r="BW221" s="61">
        <f t="shared" si="189"/>
        <v>212</v>
      </c>
    </row>
    <row r="222" spans="2:75" x14ac:dyDescent="0.3">
      <c r="B222" s="390">
        <f t="shared" si="163"/>
        <v>44122</v>
      </c>
      <c r="C222" s="61"/>
      <c r="D222" s="17">
        <v>44941</v>
      </c>
      <c r="E222" s="16"/>
      <c r="F222" s="16"/>
      <c r="G222" s="16"/>
      <c r="H222" s="16">
        <f t="shared" si="167"/>
        <v>8386005</v>
      </c>
      <c r="I222" s="16"/>
      <c r="J222" s="479">
        <f t="shared" si="168"/>
        <v>5.3879217327669465E-3</v>
      </c>
      <c r="K222" s="16"/>
      <c r="L222" s="16"/>
      <c r="M222" s="16"/>
      <c r="N222" s="16">
        <f t="shared" si="187"/>
        <v>394007</v>
      </c>
      <c r="O222" s="16">
        <f t="shared" si="169"/>
        <v>39370.915492957749</v>
      </c>
      <c r="P222" s="41"/>
      <c r="Q222" s="17">
        <f t="shared" si="161"/>
        <v>394007</v>
      </c>
      <c r="R222" s="16"/>
      <c r="S222" s="60">
        <f t="shared" si="162"/>
        <v>0.13804467756936462</v>
      </c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70"/>
        <v>224712</v>
      </c>
      <c r="AB222" s="33"/>
      <c r="AC222" s="46">
        <f t="shared" si="171"/>
        <v>2.6796072742622978E-2</v>
      </c>
      <c r="AD222" s="33"/>
      <c r="AE222" s="33">
        <f t="shared" si="172"/>
        <v>1054.9859154929577</v>
      </c>
      <c r="AF222" s="50"/>
      <c r="AG222" s="33">
        <f t="shared" si="173"/>
        <v>5017</v>
      </c>
      <c r="AH222" s="33">
        <f t="shared" si="188"/>
        <v>459009236.34662843</v>
      </c>
      <c r="AI222" s="231">
        <f t="shared" si="174"/>
        <v>3.3999999999999998E-3</v>
      </c>
      <c r="AJ222" s="50"/>
      <c r="AK222" s="10"/>
      <c r="AL222" s="23">
        <f t="shared" si="175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6"/>
        <v>4.6927649096350057E-3</v>
      </c>
      <c r="AS222" s="25"/>
      <c r="AT222" s="25"/>
      <c r="AU222" s="24"/>
      <c r="AV222" s="341">
        <f t="shared" si="177"/>
        <v>0.65080857929371616</v>
      </c>
      <c r="AW222" s="341"/>
      <c r="AX222" s="24">
        <f t="shared" si="178"/>
        <v>25622.929577464787</v>
      </c>
      <c r="AY222" s="351"/>
      <c r="AZ222" s="391"/>
      <c r="BA222" s="66">
        <f t="shared" si="179"/>
        <v>891213</v>
      </c>
      <c r="BB222" s="67"/>
      <c r="BC222" s="67">
        <v>125683881</v>
      </c>
      <c r="BD222" s="67"/>
      <c r="BE222" s="67">
        <f t="shared" si="180"/>
        <v>44941</v>
      </c>
      <c r="BF222" s="67"/>
      <c r="BG222" s="156">
        <f t="shared" si="181"/>
        <v>5.0426777885870154E-2</v>
      </c>
      <c r="BH222" s="67"/>
      <c r="BI222" s="183"/>
      <c r="BJ222" s="67"/>
      <c r="BK222" s="67">
        <f t="shared" si="182"/>
        <v>7196983</v>
      </c>
      <c r="BL222" s="67"/>
      <c r="BM222" s="156">
        <f t="shared" si="183"/>
        <v>5.4746134595565946E-2</v>
      </c>
      <c r="BN222" s="66">
        <f t="shared" si="184"/>
        <v>590065.1690140845</v>
      </c>
      <c r="BO222" s="67"/>
      <c r="BP222" s="67">
        <f t="shared" si="185"/>
        <v>8043358</v>
      </c>
      <c r="BQ222" s="67"/>
      <c r="BR222" s="478">
        <f t="shared" si="186"/>
        <v>6.39967347921091E-2</v>
      </c>
      <c r="BS222" s="67"/>
      <c r="BT222" s="86"/>
      <c r="BU222" s="183"/>
      <c r="BV222" s="1"/>
      <c r="BW222" s="61">
        <f t="shared" si="189"/>
        <v>213</v>
      </c>
    </row>
    <row r="223" spans="2:75" x14ac:dyDescent="0.3">
      <c r="B223" s="171">
        <f t="shared" si="163"/>
        <v>44123</v>
      </c>
      <c r="C223" s="61"/>
      <c r="D223" s="17">
        <v>57327</v>
      </c>
      <c r="E223" s="16"/>
      <c r="F223" s="16"/>
      <c r="G223" s="16"/>
      <c r="H223" s="16">
        <f t="shared" ref="H223:H229" si="190">+H222+D223</f>
        <v>8443332</v>
      </c>
      <c r="I223" s="16"/>
      <c r="J223" s="479">
        <f t="shared" ref="J223:J229" si="191">+D223/H222</f>
        <v>6.8360321750344771E-3</v>
      </c>
      <c r="K223" s="16"/>
      <c r="L223" s="16"/>
      <c r="M223" s="16"/>
      <c r="N223" s="16">
        <f t="shared" ref="N223:N229" si="192">SUM(D217:D223)</f>
        <v>405543</v>
      </c>
      <c r="O223" s="16">
        <f t="shared" ref="O223:O229" si="193">+H223/BW223</f>
        <v>39454.82242990654</v>
      </c>
      <c r="P223" s="41"/>
      <c r="Q223" s="17">
        <f t="shared" si="161"/>
        <v>405543</v>
      </c>
      <c r="R223" s="16"/>
      <c r="S223" s="60">
        <f t="shared" si="162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4">+AA222+W223</f>
        <v>225154</v>
      </c>
      <c r="AB223" s="33"/>
      <c r="AC223" s="46">
        <f t="shared" ref="AC223:AC229" si="195">+AA223/H223</f>
        <v>2.6666486642950911E-2</v>
      </c>
      <c r="AD223" s="33"/>
      <c r="AE223" s="33">
        <f t="shared" ref="AE223:AE229" si="196">+AA223/BW223</f>
        <v>1052.1214953271028</v>
      </c>
      <c r="AF223" s="50"/>
      <c r="AG223" s="33">
        <f t="shared" ref="AG223:AG229" si="197">SUM(W217:W223)</f>
        <v>5143</v>
      </c>
      <c r="AH223" s="33">
        <f t="shared" si="188"/>
        <v>458965623.34662843</v>
      </c>
      <c r="AI223" s="231">
        <f t="shared" ref="AI223:AI229" si="198">+(AG223-AG216)/AG216</f>
        <v>3.5225442834138483E-2</v>
      </c>
      <c r="AJ223" s="50"/>
      <c r="AK223" s="10"/>
      <c r="AL223" s="23">
        <f t="shared" ref="AL223:AL229" si="199"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 t="shared" ref="AR223:AR229" si="200">+AL223/AP222</f>
        <v>8.3522607758162622E-3</v>
      </c>
      <c r="AS223" s="25"/>
      <c r="AT223" s="25"/>
      <c r="AU223" s="24"/>
      <c r="AV223" s="341">
        <f t="shared" ref="AV223:AV229" si="201">+AP223/H223</f>
        <v>0.65178865405268915</v>
      </c>
      <c r="AW223" s="341"/>
      <c r="AX223" s="24">
        <f t="shared" ref="AX223:AX229" si="202">+AP223/BW223</f>
        <v>25716.205607476637</v>
      </c>
      <c r="AY223" s="351"/>
      <c r="AZ223" s="10"/>
      <c r="BA223" s="66">
        <f t="shared" ref="BA223:BA229" si="203">+BC223-BC222</f>
        <v>1373226</v>
      </c>
      <c r="BB223" s="67"/>
      <c r="BC223" s="67">
        <v>127057107</v>
      </c>
      <c r="BD223" s="67"/>
      <c r="BE223" s="67">
        <f t="shared" ref="BE223:BE229" si="204">+D223</f>
        <v>57327</v>
      </c>
      <c r="BF223" s="67"/>
      <c r="BG223" s="156">
        <f t="shared" ref="BG223:BG229" si="205">+BE223/BA223</f>
        <v>4.1746223855359567E-2</v>
      </c>
      <c r="BH223" s="67"/>
      <c r="BI223" s="183"/>
      <c r="BJ223" s="67"/>
      <c r="BK223" s="67">
        <f t="shared" ref="BK223:BK229" si="206">SUM(BA217:BA223)</f>
        <v>7559483</v>
      </c>
      <c r="BL223" s="67"/>
      <c r="BM223" s="156">
        <f t="shared" ref="BM223:BM229" si="207">+Q223/BK223</f>
        <v>5.3646922679765272E-2</v>
      </c>
      <c r="BN223" s="66">
        <f t="shared" ref="BN223:BN229" si="208">+BC223/BW223</f>
        <v>593724.79906542052</v>
      </c>
      <c r="BO223" s="67"/>
      <c r="BP223" s="67">
        <f t="shared" ref="BP223:BP229" si="209">+BP222+BE223</f>
        <v>8100685</v>
      </c>
      <c r="BQ223" s="67"/>
      <c r="BR223" s="478">
        <f t="shared" ref="BR223:BR229" si="210">+BP223/BC223</f>
        <v>6.3756252532965352E-2</v>
      </c>
      <c r="BS223" s="67"/>
      <c r="BT223" s="86"/>
      <c r="BU223" s="183"/>
      <c r="BV223" s="1"/>
      <c r="BW223" s="61">
        <f t="shared" si="189"/>
        <v>214</v>
      </c>
    </row>
    <row r="224" spans="2:75" x14ac:dyDescent="0.3">
      <c r="B224" s="171">
        <f t="shared" si="163"/>
        <v>44124</v>
      </c>
      <c r="C224" s="61"/>
      <c r="D224" s="17">
        <v>62072</v>
      </c>
      <c r="E224" s="16"/>
      <c r="F224" s="16"/>
      <c r="G224" s="16"/>
      <c r="H224" s="16">
        <f t="shared" si="190"/>
        <v>8505404</v>
      </c>
      <c r="I224" s="16"/>
      <c r="J224" s="479">
        <f t="shared" si="191"/>
        <v>7.3516000555231041E-3</v>
      </c>
      <c r="K224" s="16"/>
      <c r="L224" s="16"/>
      <c r="M224" s="16"/>
      <c r="N224" s="16">
        <f t="shared" si="192"/>
        <v>416081</v>
      </c>
      <c r="O224" s="16">
        <f t="shared" si="193"/>
        <v>39560.018604651166</v>
      </c>
      <c r="P224" s="41"/>
      <c r="Q224" s="17">
        <f t="shared" si="161"/>
        <v>416081</v>
      </c>
      <c r="R224" s="16"/>
      <c r="S224" s="60">
        <f t="shared" si="162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4"/>
        <v>226106</v>
      </c>
      <c r="AB224" s="33"/>
      <c r="AC224" s="46">
        <f t="shared" si="195"/>
        <v>2.6583804837489202E-2</v>
      </c>
      <c r="AD224" s="33"/>
      <c r="AE224" s="33">
        <f t="shared" si="196"/>
        <v>1051.6558139534884</v>
      </c>
      <c r="AF224" s="50"/>
      <c r="AG224" s="33">
        <f t="shared" si="197"/>
        <v>5252</v>
      </c>
      <c r="AH224" s="33">
        <f t="shared" si="188"/>
        <v>458932237.34662843</v>
      </c>
      <c r="AI224" s="231">
        <f t="shared" si="198"/>
        <v>4.977013791724965E-2</v>
      </c>
      <c r="AJ224" s="50"/>
      <c r="AK224" s="10"/>
      <c r="AL224" s="23">
        <f t="shared" si="199"/>
        <v>42351</v>
      </c>
      <c r="AM224" s="24"/>
      <c r="AN224" s="24"/>
      <c r="AO224" s="24">
        <v>178263</v>
      </c>
      <c r="AP224" s="24">
        <v>5545619</v>
      </c>
      <c r="AQ224" s="24"/>
      <c r="AR224" s="504">
        <f t="shared" si="200"/>
        <v>7.6956092270992439E-3</v>
      </c>
      <c r="AS224" s="25"/>
      <c r="AT224" s="25"/>
      <c r="AU224" s="24"/>
      <c r="AV224" s="341">
        <f t="shared" si="201"/>
        <v>0.65201123897230517</v>
      </c>
      <c r="AW224" s="341"/>
      <c r="AX224" s="24">
        <f t="shared" si="202"/>
        <v>25793.576744186048</v>
      </c>
      <c r="AY224" s="351"/>
      <c r="AZ224" s="10"/>
      <c r="BA224" s="66">
        <f t="shared" si="203"/>
        <v>777769</v>
      </c>
      <c r="BB224" s="67"/>
      <c r="BC224" s="67">
        <v>127834876</v>
      </c>
      <c r="BD224" s="67"/>
      <c r="BE224" s="67">
        <f t="shared" si="204"/>
        <v>62072</v>
      </c>
      <c r="BF224" s="67"/>
      <c r="BG224" s="156">
        <f t="shared" si="205"/>
        <v>7.9807757830409803E-2</v>
      </c>
      <c r="BH224" s="67"/>
      <c r="BI224" s="183"/>
      <c r="BJ224" s="67"/>
      <c r="BK224" s="67">
        <f t="shared" si="206"/>
        <v>7311304</v>
      </c>
      <c r="BL224" s="67"/>
      <c r="BM224" s="156">
        <f t="shared" si="207"/>
        <v>5.6909273639832239E-2</v>
      </c>
      <c r="BN224" s="66">
        <f t="shared" si="208"/>
        <v>594580.81860465114</v>
      </c>
      <c r="BO224" s="67"/>
      <c r="BP224" s="67">
        <f t="shared" si="209"/>
        <v>8162757</v>
      </c>
      <c r="BQ224" s="67"/>
      <c r="BR224" s="478">
        <f t="shared" si="210"/>
        <v>6.3853912605195476E-2</v>
      </c>
      <c r="BS224" s="67"/>
      <c r="BT224" s="86"/>
      <c r="BU224" s="183"/>
      <c r="BV224" s="1"/>
      <c r="BW224" s="61">
        <f t="shared" si="189"/>
        <v>215</v>
      </c>
    </row>
    <row r="225" spans="2:75" x14ac:dyDescent="0.3">
      <c r="B225" s="171">
        <f t="shared" si="163"/>
        <v>44125</v>
      </c>
      <c r="C225" s="61"/>
      <c r="D225" s="17">
        <v>63663</v>
      </c>
      <c r="E225" s="16"/>
      <c r="F225" s="16"/>
      <c r="G225" s="16"/>
      <c r="H225" s="16">
        <f t="shared" si="190"/>
        <v>8569067</v>
      </c>
      <c r="I225" s="16"/>
      <c r="J225" s="479">
        <f t="shared" si="191"/>
        <v>7.4850060032421737E-3</v>
      </c>
      <c r="K225" s="16"/>
      <c r="L225" s="16"/>
      <c r="M225" s="16"/>
      <c r="N225" s="16">
        <f t="shared" si="192"/>
        <v>420051</v>
      </c>
      <c r="O225" s="16">
        <f t="shared" si="193"/>
        <v>39671.606481481482</v>
      </c>
      <c r="P225" s="41"/>
      <c r="Q225" s="17">
        <f t="shared" si="161"/>
        <v>420051</v>
      </c>
      <c r="R225" s="16"/>
      <c r="S225" s="60">
        <f t="shared" si="162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4"/>
        <v>227331</v>
      </c>
      <c r="AB225" s="33"/>
      <c r="AC225" s="46">
        <f t="shared" si="195"/>
        <v>2.6529259253078544E-2</v>
      </c>
      <c r="AD225" s="33"/>
      <c r="AE225" s="33">
        <f t="shared" si="196"/>
        <v>1052.4583333333333</v>
      </c>
      <c r="AF225" s="50"/>
      <c r="AG225" s="33">
        <f t="shared" si="197"/>
        <v>5507</v>
      </c>
      <c r="AH225" s="33">
        <f t="shared" si="188"/>
        <v>458895433.34662843</v>
      </c>
      <c r="AI225" s="231">
        <f t="shared" si="198"/>
        <v>9.2008724965298438E-2</v>
      </c>
      <c r="AJ225" s="50"/>
      <c r="AK225" s="10"/>
      <c r="AL225" s="23">
        <f t="shared" si="199"/>
        <v>56497</v>
      </c>
      <c r="AM225" s="24"/>
      <c r="AN225" s="24"/>
      <c r="AO225" s="24">
        <v>178263</v>
      </c>
      <c r="AP225" s="24">
        <v>5602116</v>
      </c>
      <c r="AQ225" s="24"/>
      <c r="AR225" s="504">
        <f t="shared" si="200"/>
        <v>1.0187681483347486E-2</v>
      </c>
      <c r="AS225" s="25"/>
      <c r="AT225" s="25"/>
      <c r="AU225" s="24"/>
      <c r="AV225" s="341">
        <f t="shared" si="201"/>
        <v>0.65376032186467903</v>
      </c>
      <c r="AW225" s="341"/>
      <c r="AX225" s="24">
        <f t="shared" si="202"/>
        <v>25935.722222222223</v>
      </c>
      <c r="AY225" s="351"/>
      <c r="AZ225" s="10"/>
      <c r="BA225" s="66">
        <f t="shared" si="203"/>
        <v>815281</v>
      </c>
      <c r="BB225" s="67"/>
      <c r="BC225" s="67">
        <v>128650157</v>
      </c>
      <c r="BD225" s="67"/>
      <c r="BE225" s="67">
        <f t="shared" si="204"/>
        <v>63663</v>
      </c>
      <c r="BF225" s="67"/>
      <c r="BG225" s="156">
        <f t="shared" si="205"/>
        <v>7.8087187117079876E-2</v>
      </c>
      <c r="BH225" s="67"/>
      <c r="BI225" s="183"/>
      <c r="BJ225" s="67"/>
      <c r="BK225" s="67">
        <f t="shared" si="206"/>
        <v>7083019</v>
      </c>
      <c r="BL225" s="67"/>
      <c r="BM225" s="156">
        <f t="shared" si="207"/>
        <v>5.9303949347022787E-2</v>
      </c>
      <c r="BN225" s="66">
        <f t="shared" si="208"/>
        <v>595602.57870370371</v>
      </c>
      <c r="BO225" s="67"/>
      <c r="BP225" s="67">
        <f t="shared" si="209"/>
        <v>8226420</v>
      </c>
      <c r="BQ225" s="67"/>
      <c r="BR225" s="478">
        <f t="shared" si="210"/>
        <v>6.3944111626696262E-2</v>
      </c>
      <c r="BS225" s="67"/>
      <c r="BT225" s="86"/>
      <c r="BU225" s="183"/>
      <c r="BV225" s="1"/>
      <c r="BW225" s="61">
        <f t="shared" si="189"/>
        <v>216</v>
      </c>
    </row>
    <row r="226" spans="2:75" x14ac:dyDescent="0.3">
      <c r="B226" s="171">
        <f t="shared" si="163"/>
        <v>44126</v>
      </c>
      <c r="C226" s="61"/>
      <c r="D226" s="17">
        <v>74301</v>
      </c>
      <c r="E226" s="16"/>
      <c r="F226" s="16"/>
      <c r="G226" s="16"/>
      <c r="H226" s="16">
        <f t="shared" si="190"/>
        <v>8643368</v>
      </c>
      <c r="I226" s="16"/>
      <c r="J226" s="479">
        <f t="shared" si="191"/>
        <v>8.6708389606476415E-3</v>
      </c>
      <c r="K226" s="16"/>
      <c r="L226" s="16"/>
      <c r="M226" s="16"/>
      <c r="N226" s="16">
        <f t="shared" si="192"/>
        <v>428223</v>
      </c>
      <c r="O226" s="16">
        <f t="shared" si="193"/>
        <v>39831.188940092165</v>
      </c>
      <c r="P226" s="41"/>
      <c r="Q226" s="17">
        <f t="shared" si="161"/>
        <v>428223</v>
      </c>
      <c r="R226" s="16"/>
      <c r="S226" s="60">
        <f t="shared" si="162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4"/>
        <v>228304</v>
      </c>
      <c r="AB226" s="33"/>
      <c r="AC226" s="46">
        <f t="shared" si="195"/>
        <v>2.6413777592253392E-2</v>
      </c>
      <c r="AD226" s="33"/>
      <c r="AE226" s="33">
        <f t="shared" si="196"/>
        <v>1052.0921658986176</v>
      </c>
      <c r="AF226" s="50"/>
      <c r="AG226" s="33">
        <f t="shared" si="197"/>
        <v>5606</v>
      </c>
      <c r="AH226" s="33">
        <f t="shared" si="188"/>
        <v>458859737.34662843</v>
      </c>
      <c r="AI226" s="231">
        <f t="shared" si="198"/>
        <v>0.13024193548387097</v>
      </c>
      <c r="AJ226" s="50"/>
      <c r="AK226" s="10"/>
      <c r="AL226" s="23">
        <f t="shared" si="199"/>
        <v>53185</v>
      </c>
      <c r="AM226" s="24"/>
      <c r="AN226" s="24"/>
      <c r="AO226" s="24">
        <v>178263</v>
      </c>
      <c r="AP226" s="24">
        <v>5655301</v>
      </c>
      <c r="AQ226" s="24"/>
      <c r="AR226" s="504">
        <f t="shared" si="200"/>
        <v>9.4937341533092145E-3</v>
      </c>
      <c r="AS226" s="25"/>
      <c r="AT226" s="25"/>
      <c r="AU226" s="24"/>
      <c r="AV226" s="341">
        <f t="shared" si="201"/>
        <v>0.65429367348468792</v>
      </c>
      <c r="AW226" s="341"/>
      <c r="AX226" s="24">
        <f t="shared" si="202"/>
        <v>26061.294930875578</v>
      </c>
      <c r="AY226" s="351"/>
      <c r="AZ226" s="10"/>
      <c r="BA226" s="66">
        <f t="shared" si="203"/>
        <v>1154411</v>
      </c>
      <c r="BB226" s="67"/>
      <c r="BC226" s="67">
        <v>129804568</v>
      </c>
      <c r="BD226" s="67"/>
      <c r="BE226" s="67">
        <f t="shared" si="204"/>
        <v>74301</v>
      </c>
      <c r="BF226" s="67"/>
      <c r="BG226" s="156">
        <f t="shared" si="205"/>
        <v>6.4362692316687897E-2</v>
      </c>
      <c r="BH226" s="67"/>
      <c r="BI226" s="183"/>
      <c r="BJ226" s="67"/>
      <c r="BK226" s="67">
        <f t="shared" si="206"/>
        <v>7109220</v>
      </c>
      <c r="BL226" s="67"/>
      <c r="BM226" s="156">
        <f t="shared" si="207"/>
        <v>6.0234878087891498E-2</v>
      </c>
      <c r="BN226" s="66">
        <f t="shared" si="208"/>
        <v>598177.73271889403</v>
      </c>
      <c r="BO226" s="67"/>
      <c r="BP226" s="67">
        <f t="shared" si="209"/>
        <v>8300721</v>
      </c>
      <c r="BQ226" s="67"/>
      <c r="BR226" s="478">
        <f t="shared" si="210"/>
        <v>6.3947834254954719E-2</v>
      </c>
      <c r="BS226" s="67"/>
      <c r="BT226" s="86"/>
      <c r="BU226" s="183"/>
      <c r="BV226" s="1"/>
      <c r="BW226" s="61">
        <f t="shared" si="189"/>
        <v>217</v>
      </c>
    </row>
    <row r="227" spans="2:75" x14ac:dyDescent="0.3">
      <c r="B227" s="171">
        <f t="shared" si="163"/>
        <v>44127</v>
      </c>
      <c r="C227" s="61"/>
      <c r="D227" s="17">
        <v>81414</v>
      </c>
      <c r="E227" s="16"/>
      <c r="F227" s="16"/>
      <c r="G227" s="16"/>
      <c r="H227" s="16">
        <f t="shared" si="190"/>
        <v>8724782</v>
      </c>
      <c r="I227" s="16"/>
      <c r="J227" s="479">
        <f t="shared" si="191"/>
        <v>9.4192449054581497E-3</v>
      </c>
      <c r="K227" s="16"/>
      <c r="L227" s="16"/>
      <c r="M227" s="16"/>
      <c r="N227" s="16">
        <f t="shared" si="192"/>
        <v>437950</v>
      </c>
      <c r="O227" s="16">
        <f t="shared" si="193"/>
        <v>40021.935779816515</v>
      </c>
      <c r="P227" s="41"/>
      <c r="Q227" s="17">
        <f t="shared" si="161"/>
        <v>437950</v>
      </c>
      <c r="R227" s="16"/>
      <c r="S227" s="60">
        <f t="shared" si="162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4"/>
        <v>229207</v>
      </c>
      <c r="AB227" s="33"/>
      <c r="AC227" s="46">
        <f t="shared" si="195"/>
        <v>2.627079966009466E-2</v>
      </c>
      <c r="AD227" s="33"/>
      <c r="AE227" s="33">
        <f t="shared" si="196"/>
        <v>1051.4082568807339</v>
      </c>
      <c r="AF227" s="50"/>
      <c r="AG227" s="33">
        <f t="shared" si="197"/>
        <v>5581</v>
      </c>
      <c r="AH227" s="33">
        <f t="shared" si="188"/>
        <v>458818121.34662843</v>
      </c>
      <c r="AI227" s="231">
        <f t="shared" si="198"/>
        <v>0.12090781281381803</v>
      </c>
      <c r="AJ227" s="50"/>
      <c r="AK227" s="10"/>
      <c r="AL227" s="23">
        <f t="shared" si="199"/>
        <v>42860</v>
      </c>
      <c r="AM227" s="24"/>
      <c r="AN227" s="24"/>
      <c r="AO227" s="24">
        <v>178263</v>
      </c>
      <c r="AP227" s="24">
        <v>5698161</v>
      </c>
      <c r="AQ227" s="24"/>
      <c r="AR227" s="504">
        <f t="shared" si="200"/>
        <v>7.5787301153378041E-3</v>
      </c>
      <c r="AS227" s="25"/>
      <c r="AT227" s="25"/>
      <c r="AU227" s="24"/>
      <c r="AV227" s="341">
        <f t="shared" si="201"/>
        <v>0.65310067346095291</v>
      </c>
      <c r="AW227" s="341"/>
      <c r="AX227" s="24">
        <f t="shared" si="202"/>
        <v>26138.353211009173</v>
      </c>
      <c r="AY227" s="351"/>
      <c r="AZ227" s="10"/>
      <c r="BA227" s="66">
        <f t="shared" si="203"/>
        <v>1252145</v>
      </c>
      <c r="BB227" s="67"/>
      <c r="BC227" s="67">
        <v>131056713</v>
      </c>
      <c r="BD227" s="67"/>
      <c r="BE227" s="67">
        <f t="shared" si="204"/>
        <v>81414</v>
      </c>
      <c r="BF227" s="67"/>
      <c r="BG227" s="156">
        <f t="shared" si="205"/>
        <v>6.501962632123276E-2</v>
      </c>
      <c r="BH227" s="67"/>
      <c r="BI227" s="183"/>
      <c r="BJ227" s="67"/>
      <c r="BK227" s="67">
        <f t="shared" si="206"/>
        <v>7320266</v>
      </c>
      <c r="BL227" s="67"/>
      <c r="BM227" s="156">
        <f t="shared" si="207"/>
        <v>5.9827060929206671E-2</v>
      </c>
      <c r="BN227" s="66">
        <f t="shared" si="208"/>
        <v>601177.58256880729</v>
      </c>
      <c r="BO227" s="67"/>
      <c r="BP227" s="67">
        <f t="shared" si="209"/>
        <v>8382135</v>
      </c>
      <c r="BQ227" s="67"/>
      <c r="BR227" s="478">
        <f t="shared" si="210"/>
        <v>6.3958074394861411E-2</v>
      </c>
      <c r="BS227" s="67"/>
      <c r="BT227" s="86"/>
      <c r="BU227" s="183"/>
      <c r="BV227" s="1"/>
      <c r="BW227" s="61">
        <f t="shared" si="189"/>
        <v>218</v>
      </c>
    </row>
    <row r="228" spans="2:75" x14ac:dyDescent="0.3">
      <c r="B228" s="171">
        <f t="shared" si="163"/>
        <v>44128</v>
      </c>
      <c r="C228" s="61"/>
      <c r="D228" s="17">
        <v>79449</v>
      </c>
      <c r="E228" s="16"/>
      <c r="F228" s="16"/>
      <c r="G228" s="16"/>
      <c r="H228" s="16">
        <f t="shared" si="190"/>
        <v>8804231</v>
      </c>
      <c r="I228" s="16"/>
      <c r="J228" s="479">
        <f t="shared" si="191"/>
        <v>9.1061301015887847E-3</v>
      </c>
      <c r="K228" s="16"/>
      <c r="L228" s="16"/>
      <c r="M228" s="16"/>
      <c r="N228" s="16">
        <f t="shared" si="192"/>
        <v>463167</v>
      </c>
      <c r="O228" s="16">
        <f t="shared" si="193"/>
        <v>40201.968036529681</v>
      </c>
      <c r="P228" s="41"/>
      <c r="Q228" s="17">
        <f t="shared" si="161"/>
        <v>463167</v>
      </c>
      <c r="R228" s="16"/>
      <c r="S228" s="60">
        <f t="shared" si="162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4"/>
        <v>229991</v>
      </c>
      <c r="AB228" s="33"/>
      <c r="AC228" s="46">
        <f t="shared" si="195"/>
        <v>2.6122781194632443E-2</v>
      </c>
      <c r="AD228" s="33"/>
      <c r="AE228" s="33">
        <f t="shared" si="196"/>
        <v>1050.1872146118722</v>
      </c>
      <c r="AF228" s="50"/>
      <c r="AG228" s="33">
        <f t="shared" si="197"/>
        <v>5727</v>
      </c>
      <c r="AH228" s="33">
        <f t="shared" si="188"/>
        <v>458772766.34662843</v>
      </c>
      <c r="AI228" s="231">
        <f t="shared" si="198"/>
        <v>0.17020841847159787</v>
      </c>
      <c r="AJ228" s="50"/>
      <c r="AK228" s="10"/>
      <c r="AL228" s="23">
        <f t="shared" si="199"/>
        <v>43450</v>
      </c>
      <c r="AM228" s="24"/>
      <c r="AN228" s="24"/>
      <c r="AO228" s="24">
        <v>178263</v>
      </c>
      <c r="AP228" s="24">
        <v>5741611</v>
      </c>
      <c r="AQ228" s="24"/>
      <c r="AR228" s="504">
        <f t="shared" si="200"/>
        <v>7.625267169530661E-3</v>
      </c>
      <c r="AS228" s="25"/>
      <c r="AT228" s="25"/>
      <c r="AU228" s="24"/>
      <c r="AV228" s="341">
        <f t="shared" si="201"/>
        <v>0.65214224842578528</v>
      </c>
      <c r="AW228" s="341"/>
      <c r="AX228" s="24">
        <f t="shared" si="202"/>
        <v>26217.40182648402</v>
      </c>
      <c r="AY228" s="351"/>
      <c r="AZ228" s="10"/>
      <c r="BA228" s="66">
        <f t="shared" si="203"/>
        <v>1151780</v>
      </c>
      <c r="BB228" s="67"/>
      <c r="BC228" s="67">
        <v>132208493</v>
      </c>
      <c r="BD228" s="67"/>
      <c r="BE228" s="67">
        <f t="shared" si="204"/>
        <v>79449</v>
      </c>
      <c r="BF228" s="67"/>
      <c r="BG228" s="156">
        <f t="shared" si="205"/>
        <v>6.8979318967163875E-2</v>
      </c>
      <c r="BH228" s="67"/>
      <c r="BI228" s="183"/>
      <c r="BJ228" s="67"/>
      <c r="BK228" s="67">
        <f t="shared" si="206"/>
        <v>7415825</v>
      </c>
      <c r="BL228" s="67"/>
      <c r="BM228" s="156">
        <f t="shared" si="207"/>
        <v>6.2456570914227343E-2</v>
      </c>
      <c r="BN228" s="66">
        <f t="shared" si="208"/>
        <v>603691.74885844754</v>
      </c>
      <c r="BO228" s="67"/>
      <c r="BP228" s="67">
        <f t="shared" si="209"/>
        <v>8461584</v>
      </c>
      <c r="BQ228" s="67"/>
      <c r="BR228" s="478">
        <f t="shared" si="210"/>
        <v>6.4001818703129765E-2</v>
      </c>
      <c r="BS228" s="67"/>
      <c r="BT228" s="86"/>
      <c r="BU228" s="183"/>
      <c r="BV228" s="1"/>
      <c r="BW228" s="61">
        <f t="shared" si="189"/>
        <v>219</v>
      </c>
    </row>
    <row r="229" spans="2:75" x14ac:dyDescent="0.3">
      <c r="B229" s="390">
        <f t="shared" si="163"/>
        <v>44129</v>
      </c>
      <c r="C229" s="61"/>
      <c r="D229" s="17">
        <v>60889</v>
      </c>
      <c r="E229" s="16"/>
      <c r="F229" s="16"/>
      <c r="G229" s="16"/>
      <c r="H229" s="16">
        <f t="shared" si="190"/>
        <v>8865120</v>
      </c>
      <c r="I229" s="16"/>
      <c r="J229" s="479">
        <f t="shared" si="191"/>
        <v>6.9158794220642323E-3</v>
      </c>
      <c r="K229" s="16"/>
      <c r="L229" s="16"/>
      <c r="M229" s="16"/>
      <c r="N229" s="16">
        <f t="shared" si="192"/>
        <v>479115</v>
      </c>
      <c r="O229" s="16">
        <f t="shared" si="193"/>
        <v>40296</v>
      </c>
      <c r="P229" s="41"/>
      <c r="Q229" s="17">
        <f t="shared" si="161"/>
        <v>479115</v>
      </c>
      <c r="R229" s="16"/>
      <c r="S229" s="60">
        <f t="shared" si="162"/>
        <v>0.21600631460862371</v>
      </c>
      <c r="T229" s="16"/>
      <c r="U229" s="41"/>
      <c r="V229" s="391">
        <f t="shared" si="109"/>
        <v>121</v>
      </c>
      <c r="W229" s="34">
        <v>442</v>
      </c>
      <c r="X229" s="33"/>
      <c r="Y229" s="33"/>
      <c r="Z229" s="33"/>
      <c r="AA229" s="33">
        <f t="shared" si="194"/>
        <v>230433</v>
      </c>
      <c r="AB229" s="33"/>
      <c r="AC229" s="46">
        <f t="shared" si="195"/>
        <v>2.5993218365910443E-2</v>
      </c>
      <c r="AD229" s="33"/>
      <c r="AE229" s="33">
        <f t="shared" si="196"/>
        <v>1047.4227272727273</v>
      </c>
      <c r="AF229" s="50"/>
      <c r="AG229" s="33">
        <f t="shared" si="197"/>
        <v>5721</v>
      </c>
      <c r="AH229" s="33">
        <f t="shared" si="188"/>
        <v>458719137.34662843</v>
      </c>
      <c r="AI229" s="231">
        <f t="shared" si="198"/>
        <v>0.14032290213274864</v>
      </c>
      <c r="AJ229" s="50"/>
      <c r="AK229" s="10"/>
      <c r="AL229" s="23">
        <f t="shared" si="199"/>
        <v>30887</v>
      </c>
      <c r="AM229" s="24"/>
      <c r="AN229" s="24"/>
      <c r="AO229" s="24">
        <v>178263</v>
      </c>
      <c r="AP229" s="24">
        <v>5772498</v>
      </c>
      <c r="AQ229" s="24"/>
      <c r="AR229" s="504">
        <f t="shared" si="200"/>
        <v>5.379500631442987E-3</v>
      </c>
      <c r="AS229" s="25"/>
      <c r="AT229" s="25"/>
      <c r="AU229" s="24"/>
      <c r="AV229" s="341">
        <f t="shared" si="201"/>
        <v>0.6511471925929937</v>
      </c>
      <c r="AW229" s="341"/>
      <c r="AX229" s="24">
        <f t="shared" si="202"/>
        <v>26238.627272727274</v>
      </c>
      <c r="AY229" s="351"/>
      <c r="AZ229" s="391"/>
      <c r="BA229" s="66">
        <f t="shared" si="203"/>
        <v>1020835</v>
      </c>
      <c r="BB229" s="67"/>
      <c r="BC229" s="67">
        <v>133229328</v>
      </c>
      <c r="BD229" s="67"/>
      <c r="BE229" s="67">
        <f t="shared" si="204"/>
        <v>60889</v>
      </c>
      <c r="BF229" s="67"/>
      <c r="BG229" s="156">
        <f t="shared" si="205"/>
        <v>5.964626996527353E-2</v>
      </c>
      <c r="BH229" s="67"/>
      <c r="BI229" s="183"/>
      <c r="BJ229" s="67"/>
      <c r="BK229" s="67">
        <f t="shared" si="206"/>
        <v>7545447</v>
      </c>
      <c r="BL229" s="67"/>
      <c r="BM229" s="156">
        <f t="shared" si="207"/>
        <v>6.349723217193097E-2</v>
      </c>
      <c r="BN229" s="66">
        <f t="shared" si="208"/>
        <v>605587.85454545449</v>
      </c>
      <c r="BO229" s="67"/>
      <c r="BP229" s="67">
        <f t="shared" si="209"/>
        <v>8522473</v>
      </c>
      <c r="BQ229" s="67"/>
      <c r="BR229" s="478">
        <f t="shared" si="210"/>
        <v>6.3968445446185837E-2</v>
      </c>
      <c r="BS229" s="67"/>
      <c r="BT229" s="86"/>
      <c r="BU229" s="183"/>
      <c r="BV229" s="1"/>
      <c r="BW229" s="61">
        <f t="shared" si="189"/>
        <v>220</v>
      </c>
    </row>
    <row r="230" spans="2:75" x14ac:dyDescent="0.3">
      <c r="B230" s="171">
        <f t="shared" si="163"/>
        <v>44130</v>
      </c>
      <c r="C230" s="61"/>
      <c r="D230" s="17">
        <v>69841</v>
      </c>
      <c r="E230" s="16"/>
      <c r="F230" s="16"/>
      <c r="G230" s="16"/>
      <c r="H230" s="16">
        <f t="shared" ref="H230" si="211">+H229+D230</f>
        <v>8934961</v>
      </c>
      <c r="I230" s="16"/>
      <c r="J230" s="479">
        <f t="shared" ref="J230" si="212">+D230/H229</f>
        <v>7.8781787499774391E-3</v>
      </c>
      <c r="K230" s="16"/>
      <c r="L230" s="16"/>
      <c r="M230" s="16"/>
      <c r="N230" s="16">
        <f t="shared" ref="N230" si="213">SUM(D224:D230)</f>
        <v>491629</v>
      </c>
      <c r="O230" s="16">
        <f t="shared" ref="O230" si="214">+H230/BW230</f>
        <v>40429.687782805428</v>
      </c>
      <c r="P230" s="41"/>
      <c r="Q230" s="17">
        <f t="shared" si="161"/>
        <v>491629</v>
      </c>
      <c r="R230" s="16"/>
      <c r="S230" s="60">
        <f t="shared" si="162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" si="215">+AA229+W230</f>
        <v>230962</v>
      </c>
      <c r="AB230" s="33"/>
      <c r="AC230" s="46">
        <f t="shared" ref="AC230" si="216">+AA230/H230</f>
        <v>2.5849245452778138E-2</v>
      </c>
      <c r="AD230" s="33"/>
      <c r="AE230" s="33">
        <f t="shared" ref="AE230" si="217">+AA230/BW230</f>
        <v>1045.0769230769231</v>
      </c>
      <c r="AF230" s="50"/>
      <c r="AG230" s="33">
        <f t="shared" ref="AG230" si="218">SUM(W224:W230)</f>
        <v>5808</v>
      </c>
      <c r="AH230" s="33">
        <f t="shared" si="188"/>
        <v>458675931.34662843</v>
      </c>
      <c r="AI230" s="231">
        <f t="shared" ref="AI230" si="219">+(AG230-AG223)/AG223</f>
        <v>0.12930196383433792</v>
      </c>
      <c r="AJ230" s="50"/>
      <c r="AK230" s="10"/>
      <c r="AL230" s="23">
        <f t="shared" ref="AL230" si="220">+AP230-AP229</f>
        <v>61326</v>
      </c>
      <c r="AM230" s="24"/>
      <c r="AN230" s="24"/>
      <c r="AO230" s="24">
        <v>178263</v>
      </c>
      <c r="AP230" s="24">
        <v>5833824</v>
      </c>
      <c r="AQ230" s="24"/>
      <c r="AR230" s="504">
        <f t="shared" ref="AR230" si="221">+AL230/AP229</f>
        <v>1.0623823516266269E-2</v>
      </c>
      <c r="AS230" s="25"/>
      <c r="AT230" s="25"/>
      <c r="AU230" s="24"/>
      <c r="AV230" s="341">
        <f t="shared" ref="AV230" si="222">+AP230/H230</f>
        <v>0.65292103681258373</v>
      </c>
      <c r="AW230" s="341"/>
      <c r="AX230" s="24">
        <f t="shared" ref="AX230" si="223">+AP230/BW230</f>
        <v>26397.393665158372</v>
      </c>
      <c r="AY230" s="351"/>
      <c r="AZ230" s="10"/>
      <c r="BA230" s="66">
        <f t="shared" ref="BA230" si="224">+BC230-BC229</f>
        <v>1246764</v>
      </c>
      <c r="BB230" s="67"/>
      <c r="BC230" s="67">
        <v>134476092</v>
      </c>
      <c r="BD230" s="67"/>
      <c r="BE230" s="67">
        <f t="shared" ref="BE230" si="225">+D230</f>
        <v>69841</v>
      </c>
      <c r="BF230" s="67"/>
      <c r="BG230" s="156">
        <f t="shared" ref="BG230" si="226">+BE230/BA230</f>
        <v>5.6017818929645066E-2</v>
      </c>
      <c r="BH230" s="67"/>
      <c r="BI230" s="183"/>
      <c r="BJ230" s="67"/>
      <c r="BK230" s="67">
        <f t="shared" ref="BK230" si="227">SUM(BA224:BA230)</f>
        <v>7418985</v>
      </c>
      <c r="BL230" s="67"/>
      <c r="BM230" s="156">
        <f t="shared" ref="BM230" si="228">+Q230/BK230</f>
        <v>6.6266342363544339E-2</v>
      </c>
      <c r="BN230" s="66">
        <f t="shared" ref="BN230" si="229">+BC230/BW230</f>
        <v>608489.10407239816</v>
      </c>
      <c r="BO230" s="67"/>
      <c r="BP230" s="67">
        <f t="shared" ref="BP230" si="230">+BP229+BE230</f>
        <v>8592314</v>
      </c>
      <c r="BQ230" s="67"/>
      <c r="BR230" s="478">
        <f t="shared" ref="BR230" si="231">+BP230/BC230</f>
        <v>6.3894733050392338E-2</v>
      </c>
      <c r="BS230" s="67"/>
      <c r="BT230" s="86"/>
      <c r="BU230" s="183"/>
      <c r="BV230" s="1"/>
      <c r="BW230" s="61">
        <f t="shared" si="189"/>
        <v>221</v>
      </c>
    </row>
    <row r="231" spans="2:75" x14ac:dyDescent="0.3">
      <c r="B231" s="171">
        <f t="shared" si="163"/>
        <v>44131</v>
      </c>
      <c r="C231" s="61"/>
      <c r="D231" s="17">
        <v>75072</v>
      </c>
      <c r="E231" s="16"/>
      <c r="F231" s="16"/>
      <c r="G231" s="16"/>
      <c r="H231" s="16">
        <f t="shared" ref="H231" si="232">+H230+D231</f>
        <v>9010033</v>
      </c>
      <c r="I231" s="16"/>
      <c r="J231" s="479">
        <f t="shared" ref="J231" si="233">+D231/H230</f>
        <v>8.4020512232789828E-3</v>
      </c>
      <c r="K231" s="16"/>
      <c r="L231" s="16"/>
      <c r="M231" s="16"/>
      <c r="N231" s="16">
        <f t="shared" ref="N231" si="234">SUM(D225:D231)</f>
        <v>504629</v>
      </c>
      <c r="O231" s="16">
        <f t="shared" ref="O231" si="235">+H231/BW231</f>
        <v>40585.734234234231</v>
      </c>
      <c r="P231" s="41"/>
      <c r="Q231" s="17">
        <f t="shared" si="161"/>
        <v>504629</v>
      </c>
      <c r="R231" s="16"/>
      <c r="S231" s="60">
        <f t="shared" si="162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ref="AA231" si="236">+AA230+W231</f>
        <v>232001</v>
      </c>
      <c r="AB231" s="33"/>
      <c r="AC231" s="46">
        <f t="shared" ref="AC231" si="237">+AA231/H231</f>
        <v>2.5749184270468267E-2</v>
      </c>
      <c r="AD231" s="33"/>
      <c r="AE231" s="33">
        <f t="shared" ref="AE231" si="238">+AA231/BW231</f>
        <v>1045.0495495495495</v>
      </c>
      <c r="AF231" s="50"/>
      <c r="AG231" s="33">
        <f t="shared" ref="AG231" si="239">SUM(W225:W231)</f>
        <v>5895</v>
      </c>
      <c r="AH231" s="33">
        <f t="shared" si="188"/>
        <v>458642149.34662843</v>
      </c>
      <c r="AI231" s="231">
        <f t="shared" ref="AI231" si="240">+(AG231-AG224)/AG224</f>
        <v>0.12242955064737243</v>
      </c>
      <c r="AJ231" s="50"/>
      <c r="AK231" s="10"/>
      <c r="AL231" s="23">
        <f t="shared" ref="AL231" si="241">+AP231-AP230</f>
        <v>44140</v>
      </c>
      <c r="AM231" s="24"/>
      <c r="AN231" s="24"/>
      <c r="AO231" s="24">
        <v>178263</v>
      </c>
      <c r="AP231" s="24">
        <v>5877964</v>
      </c>
      <c r="AQ231" s="24"/>
      <c r="AR231" s="504">
        <f t="shared" ref="AR231" si="242">+AL231/AP230</f>
        <v>7.5662207156060928E-3</v>
      </c>
      <c r="AS231" s="25"/>
      <c r="AT231" s="25"/>
      <c r="AU231" s="24"/>
      <c r="AV231" s="341">
        <f t="shared" ref="AV231" si="243">+AP231/H231</f>
        <v>0.65237985254881969</v>
      </c>
      <c r="AW231" s="341"/>
      <c r="AX231" s="24">
        <f t="shared" ref="AX231" si="244">+AP231/BW231</f>
        <v>26477.315315315314</v>
      </c>
      <c r="AY231" s="351"/>
      <c r="AZ231" s="10"/>
      <c r="BA231" s="66">
        <f t="shared" ref="BA231" si="245">+BC231-BC230</f>
        <v>948841</v>
      </c>
      <c r="BB231" s="67"/>
      <c r="BC231" s="67">
        <v>135424933</v>
      </c>
      <c r="BD231" s="67"/>
      <c r="BE231" s="67">
        <f t="shared" ref="BE231" si="246">+D231</f>
        <v>75072</v>
      </c>
      <c r="BF231" s="67"/>
      <c r="BG231" s="156">
        <f t="shared" ref="BG231" si="247">+BE231/BA231</f>
        <v>7.9119683909105953E-2</v>
      </c>
      <c r="BH231" s="67"/>
      <c r="BI231" s="183"/>
      <c r="BJ231" s="67"/>
      <c r="BK231" s="67">
        <f t="shared" ref="BK231" si="248">SUM(BA225:BA231)</f>
        <v>7590057</v>
      </c>
      <c r="BL231" s="67"/>
      <c r="BM231" s="156">
        <f t="shared" ref="BM231" si="249">+Q231/BK231</f>
        <v>6.6485534957115608E-2</v>
      </c>
      <c r="BN231" s="66">
        <f t="shared" ref="BN231" si="250">+BC231/BW231</f>
        <v>610022.22072072071</v>
      </c>
      <c r="BO231" s="67"/>
      <c r="BP231" s="67">
        <f t="shared" ref="BP231" si="251">+BP230+BE231</f>
        <v>8667386</v>
      </c>
      <c r="BQ231" s="67"/>
      <c r="BR231" s="478">
        <f t="shared" ref="BR231" si="252">+BP231/BC231</f>
        <v>6.4001405117918728E-2</v>
      </c>
      <c r="BS231" s="67"/>
      <c r="BT231" s="86"/>
      <c r="BU231" s="183"/>
      <c r="BV231" s="1"/>
      <c r="BW231" s="61">
        <f t="shared" si="189"/>
        <v>222</v>
      </c>
    </row>
    <row r="232" spans="2:75" x14ac:dyDescent="0.3">
      <c r="B232" s="171">
        <f t="shared" si="163"/>
        <v>44132</v>
      </c>
      <c r="C232" s="61"/>
      <c r="D232" s="17">
        <v>81581</v>
      </c>
      <c r="E232" s="16"/>
      <c r="F232" s="16"/>
      <c r="G232" s="16"/>
      <c r="H232" s="16">
        <f t="shared" ref="H232" si="253">+H231+D232</f>
        <v>9091614</v>
      </c>
      <c r="I232" s="16"/>
      <c r="J232" s="479">
        <f t="shared" ref="J232" si="254">+D232/H231</f>
        <v>9.0544618427035733E-3</v>
      </c>
      <c r="K232" s="16"/>
      <c r="L232" s="16"/>
      <c r="M232" s="16"/>
      <c r="N232" s="16">
        <f t="shared" ref="N232" si="255">SUM(D226:D232)</f>
        <v>522547</v>
      </c>
      <c r="O232" s="16">
        <f t="shared" ref="O232" si="256">+H232/BW232</f>
        <v>40769.569506726461</v>
      </c>
      <c r="P232" s="41"/>
      <c r="Q232" s="17">
        <f t="shared" si="161"/>
        <v>522547</v>
      </c>
      <c r="R232" s="16"/>
      <c r="S232" s="60">
        <f t="shared" si="162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ref="AA232" si="257">+AA231+W232</f>
        <v>233031</v>
      </c>
      <c r="AB232" s="33"/>
      <c r="AC232" s="46">
        <f t="shared" ref="AC232" si="258">+AA232/H232</f>
        <v>2.5631422539496289E-2</v>
      </c>
      <c r="AD232" s="33"/>
      <c r="AE232" s="33">
        <f t="shared" ref="AE232" si="259">+AA232/BW232</f>
        <v>1044.982062780269</v>
      </c>
      <c r="AF232" s="50"/>
      <c r="AG232" s="33">
        <f t="shared" ref="AG232" si="260">SUM(W226:W232)</f>
        <v>5700</v>
      </c>
      <c r="AH232" s="33">
        <f t="shared" si="188"/>
        <v>458604731.34662843</v>
      </c>
      <c r="AI232" s="231">
        <f t="shared" ref="AI232" si="261">+(AG232-AG225)/AG225</f>
        <v>3.5046304703105137E-2</v>
      </c>
      <c r="AJ232" s="50"/>
      <c r="AK232" s="10"/>
      <c r="AL232" s="23">
        <f t="shared" ref="AL232" si="262">+AP232-AP231</f>
        <v>55248</v>
      </c>
      <c r="AM232" s="24"/>
      <c r="AN232" s="24"/>
      <c r="AO232" s="24">
        <v>178263</v>
      </c>
      <c r="AP232" s="24">
        <v>5933212</v>
      </c>
      <c r="AQ232" s="24"/>
      <c r="AR232" s="504">
        <f t="shared" ref="AR232" si="263">+AL232/AP231</f>
        <v>9.3991729108922756E-3</v>
      </c>
      <c r="AS232" s="25"/>
      <c r="AT232" s="25"/>
      <c r="AU232" s="24"/>
      <c r="AV232" s="341">
        <f t="shared" ref="AV232" si="264">+AP232/H232</f>
        <v>0.65260271718530949</v>
      </c>
      <c r="AW232" s="341"/>
      <c r="AX232" s="24">
        <f t="shared" ref="AX232" si="265">+AP232/BW232</f>
        <v>26606.331838565024</v>
      </c>
      <c r="AY232" s="351"/>
      <c r="AZ232" s="10"/>
      <c r="BA232" s="66">
        <f t="shared" ref="BA232" si="266">+BC232-BC231</f>
        <v>4769881</v>
      </c>
      <c r="BB232" s="67"/>
      <c r="BC232" s="67">
        <v>140194814</v>
      </c>
      <c r="BD232" s="67"/>
      <c r="BE232" s="67">
        <f t="shared" ref="BE232" si="267">+D232</f>
        <v>81581</v>
      </c>
      <c r="BF232" s="67"/>
      <c r="BG232" s="156">
        <f t="shared" ref="BG232" si="268">+BE232/BA232</f>
        <v>1.710336169812203E-2</v>
      </c>
      <c r="BH232" s="67"/>
      <c r="BI232" s="183"/>
      <c r="BJ232" s="67"/>
      <c r="BK232" s="67">
        <f t="shared" ref="BK232" si="269">SUM(BA226:BA232)</f>
        <v>11544657</v>
      </c>
      <c r="BL232" s="67"/>
      <c r="BM232" s="156">
        <f t="shared" ref="BM232" si="270">+Q232/BK232</f>
        <v>4.5263103096090253E-2</v>
      </c>
      <c r="BN232" s="66">
        <f t="shared" ref="BN232" si="271">+BC232/BW232</f>
        <v>628676.29596412554</v>
      </c>
      <c r="BO232" s="67"/>
      <c r="BP232" s="67">
        <f t="shared" ref="BP232" si="272">+BP231+BE232</f>
        <v>8748967</v>
      </c>
      <c r="BQ232" s="67"/>
      <c r="BR232" s="478">
        <f t="shared" ref="BR232" si="273">+BP232/BC232</f>
        <v>6.2405781999896229E-2</v>
      </c>
      <c r="BS232" s="67"/>
      <c r="BT232" s="86"/>
      <c r="BU232" s="183"/>
      <c r="BV232" s="1"/>
      <c r="BW232" s="61">
        <f t="shared" si="189"/>
        <v>223</v>
      </c>
    </row>
    <row r="233" spans="2:75" x14ac:dyDescent="0.3">
      <c r="B233" s="171">
        <f t="shared" si="163"/>
        <v>44133</v>
      </c>
      <c r="C233" s="61"/>
      <c r="D233" s="17">
        <v>91530</v>
      </c>
      <c r="E233" s="16"/>
      <c r="F233" s="16"/>
      <c r="G233" s="16"/>
      <c r="H233" s="16">
        <f t="shared" ref="H233" si="274">+H232+D233</f>
        <v>9183144</v>
      </c>
      <c r="I233" s="16"/>
      <c r="J233" s="479">
        <f t="shared" ref="J233" si="275">+D233/H232</f>
        <v>1.0067519364548473E-2</v>
      </c>
      <c r="K233" s="16"/>
      <c r="L233" s="16"/>
      <c r="M233" s="16"/>
      <c r="N233" s="16">
        <f t="shared" ref="N233" si="276">SUM(D227:D233)</f>
        <v>539776</v>
      </c>
      <c r="O233" s="16">
        <f t="shared" ref="O233" si="277">+H233/BW233</f>
        <v>40996.178571428572</v>
      </c>
      <c r="P233" s="41"/>
      <c r="Q233" s="17">
        <f t="shared" si="161"/>
        <v>539776</v>
      </c>
      <c r="R233" s="16"/>
      <c r="S233" s="60">
        <f t="shared" si="162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ref="AA233" si="278">+AA232+W233</f>
        <v>234078</v>
      </c>
      <c r="AB233" s="33"/>
      <c r="AC233" s="46">
        <f t="shared" ref="AC233" si="279">+AA233/H233</f>
        <v>2.5489962914661907E-2</v>
      </c>
      <c r="AD233" s="33"/>
      <c r="AE233" s="33">
        <f t="shared" ref="AE233" si="280">+AA233/BW233</f>
        <v>1044.9910714285713</v>
      </c>
      <c r="AF233" s="50"/>
      <c r="AG233" s="33">
        <f t="shared" ref="AG233" si="281">SUM(W227:W233)</f>
        <v>5774</v>
      </c>
      <c r="AH233" s="33">
        <f t="shared" ref="AH233" si="282">SUM(D204:D368)</f>
        <v>458560504.34662843</v>
      </c>
      <c r="AI233" s="231">
        <f t="shared" ref="AI233" si="283">+(AG233-AG226)/AG226</f>
        <v>2.9967891544773455E-2</v>
      </c>
      <c r="AJ233" s="50"/>
      <c r="AK233" s="10"/>
      <c r="AL233" s="23">
        <f t="shared" ref="AL233" si="284">+AP233-AP232</f>
        <v>50133</v>
      </c>
      <c r="AM233" s="24"/>
      <c r="AN233" s="24"/>
      <c r="AO233" s="24">
        <v>178263</v>
      </c>
      <c r="AP233" s="24">
        <v>5983345</v>
      </c>
      <c r="AQ233" s="24"/>
      <c r="AR233" s="504">
        <f t="shared" ref="AR233" si="285">+AL233/AP232</f>
        <v>8.449554811120856E-3</v>
      </c>
      <c r="AS233" s="25"/>
      <c r="AT233" s="25"/>
      <c r="AU233" s="24"/>
      <c r="AV233" s="341">
        <f t="shared" ref="AV233" si="286">+AP233/H233</f>
        <v>0.65155735334216691</v>
      </c>
      <c r="AW233" s="341"/>
      <c r="AX233" s="24">
        <f t="shared" ref="AX233" si="287">+AP233/BW233</f>
        <v>26711.361607142859</v>
      </c>
      <c r="AY233" s="351"/>
      <c r="AZ233" s="10"/>
      <c r="BA233" s="66">
        <f t="shared" ref="BA233" si="288">+BC233-BC232</f>
        <v>1474514</v>
      </c>
      <c r="BB233" s="67"/>
      <c r="BC233" s="67">
        <v>141669328</v>
      </c>
      <c r="BD233" s="67"/>
      <c r="BE233" s="67">
        <f t="shared" ref="BE233" si="289">+D233</f>
        <v>91530</v>
      </c>
      <c r="BF233" s="67"/>
      <c r="BG233" s="156">
        <f t="shared" ref="BG233" si="290">+BE233/BA233</f>
        <v>6.2074690372556654E-2</v>
      </c>
      <c r="BH233" s="67"/>
      <c r="BI233" s="183"/>
      <c r="BJ233" s="67"/>
      <c r="BK233" s="67">
        <f t="shared" ref="BK233" si="291">SUM(BA227:BA233)</f>
        <v>11864760</v>
      </c>
      <c r="BL233" s="67"/>
      <c r="BM233" s="156">
        <f t="shared" ref="BM233" si="292">+Q233/BK233</f>
        <v>4.5494051291387269E-2</v>
      </c>
      <c r="BN233" s="66">
        <f t="shared" ref="BN233" si="293">+BC233/BW233</f>
        <v>632452.35714285716</v>
      </c>
      <c r="BO233" s="67"/>
      <c r="BP233" s="67">
        <f t="shared" ref="BP233" si="294">+BP232+BE233</f>
        <v>8840497</v>
      </c>
      <c r="BQ233" s="67"/>
      <c r="BR233" s="478">
        <f t="shared" ref="BR233" si="295">+BP233/BC233</f>
        <v>6.2402335952352367E-2</v>
      </c>
      <c r="BS233" s="67"/>
      <c r="BT233" s="86"/>
      <c r="BU233" s="183"/>
      <c r="BV233" s="1"/>
      <c r="BW233" s="61">
        <f t="shared" si="189"/>
        <v>224</v>
      </c>
    </row>
    <row r="234" spans="2:75" x14ac:dyDescent="0.3">
      <c r="B234" s="171">
        <f t="shared" si="163"/>
        <v>44134</v>
      </c>
      <c r="C234" s="61"/>
      <c r="D234" s="17">
        <v>101461</v>
      </c>
      <c r="E234" s="16"/>
      <c r="F234" s="16"/>
      <c r="G234" s="16"/>
      <c r="H234" s="16">
        <f t="shared" ref="H234" si="296">+H233+D234</f>
        <v>9284605</v>
      </c>
      <c r="I234" s="16"/>
      <c r="J234" s="479">
        <f t="shared" ref="J234" si="297">+D234/H233</f>
        <v>1.1048612544897477E-2</v>
      </c>
      <c r="K234" s="16"/>
      <c r="L234" s="16"/>
      <c r="M234" s="16"/>
      <c r="N234" s="16">
        <f t="shared" ref="N234" si="298">SUM(D228:D234)</f>
        <v>559823</v>
      </c>
      <c r="O234" s="16">
        <f t="shared" ref="O234" si="299">+H234/BW234</f>
        <v>41264.911111111112</v>
      </c>
      <c r="P234" s="41"/>
      <c r="Q234" s="17">
        <f t="shared" si="161"/>
        <v>559823</v>
      </c>
      <c r="R234" s="16"/>
      <c r="S234" s="60">
        <f t="shared" si="162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ref="AA234" si="300">+AA233+W234</f>
        <v>235066</v>
      </c>
      <c r="AB234" s="33"/>
      <c r="AC234" s="46">
        <f t="shared" ref="AC234" si="301">+AA234/H234</f>
        <v>2.5317824506266018E-2</v>
      </c>
      <c r="AD234" s="33"/>
      <c r="AE234" s="33">
        <f t="shared" ref="AE234" si="302">+AA234/BW234</f>
        <v>1044.7377777777779</v>
      </c>
      <c r="AF234" s="50"/>
      <c r="AG234" s="33">
        <f t="shared" ref="AG234" si="303">SUM(W228:W234)</f>
        <v>5859</v>
      </c>
      <c r="AH234" s="33">
        <f t="shared" ref="AH234" si="304">SUM(D205:D369)</f>
        <v>458519575.34662843</v>
      </c>
      <c r="AI234" s="231">
        <f t="shared" ref="AI234" si="305">+(AG234-AG227)/AG227</f>
        <v>4.9811861673535206E-2</v>
      </c>
      <c r="AJ234" s="50"/>
      <c r="AK234" s="10"/>
      <c r="AL234" s="23">
        <f t="shared" ref="AL234" si="306">+AP234-AP233</f>
        <v>41167</v>
      </c>
      <c r="AM234" s="24"/>
      <c r="AN234" s="24"/>
      <c r="AO234" s="24">
        <v>178263</v>
      </c>
      <c r="AP234" s="24">
        <v>6024512</v>
      </c>
      <c r="AQ234" s="24"/>
      <c r="AR234" s="504">
        <f t="shared" ref="AR234" si="307">+AL234/AP233</f>
        <v>6.8802651359732726E-3</v>
      </c>
      <c r="AS234" s="25"/>
      <c r="AT234" s="25"/>
      <c r="AU234" s="24"/>
      <c r="AV234" s="341">
        <f t="shared" ref="AV234" si="308">+AP234/H234</f>
        <v>0.64887111514167806</v>
      </c>
      <c r="AW234" s="341"/>
      <c r="AX234" s="24">
        <f t="shared" ref="AX234" si="309">+AP234/BW234</f>
        <v>26775.608888888888</v>
      </c>
      <c r="AY234" s="351"/>
      <c r="AZ234" s="10"/>
      <c r="BA234" s="66">
        <f t="shared" ref="BA234" si="310">+BC234-BC233</f>
        <v>1281025</v>
      </c>
      <c r="BB234" s="67"/>
      <c r="BC234" s="67">
        <v>142950353</v>
      </c>
      <c r="BD234" s="67"/>
      <c r="BE234" s="67">
        <f t="shared" ref="BE234" si="311">+D234</f>
        <v>101461</v>
      </c>
      <c r="BF234" s="67"/>
      <c r="BG234" s="156">
        <f t="shared" ref="BG234" si="312">+BE234/BA234</f>
        <v>7.9202981987080659E-2</v>
      </c>
      <c r="BH234" s="67"/>
      <c r="BI234" s="183"/>
      <c r="BJ234" s="67"/>
      <c r="BK234" s="67">
        <f t="shared" ref="BK234" si="313">SUM(BA228:BA234)</f>
        <v>11893640</v>
      </c>
      <c r="BL234" s="67"/>
      <c r="BM234" s="156">
        <f t="shared" ref="BM234" si="314">+Q234/BK234</f>
        <v>4.7069105841441305E-2</v>
      </c>
      <c r="BN234" s="66">
        <f t="shared" ref="BN234" si="315">+BC234/BW234</f>
        <v>635334.90222222218</v>
      </c>
      <c r="BO234" s="67"/>
      <c r="BP234" s="67">
        <f t="shared" ref="BP234" si="316">+BP233+BE234</f>
        <v>8941958</v>
      </c>
      <c r="BQ234" s="67"/>
      <c r="BR234" s="478">
        <f t="shared" ref="BR234" si="317">+BP234/BC234</f>
        <v>6.2552892051969955E-2</v>
      </c>
      <c r="BS234" s="67"/>
      <c r="BT234" s="86"/>
      <c r="BU234" s="183"/>
      <c r="BV234" s="1"/>
      <c r="BW234" s="61">
        <f t="shared" si="189"/>
        <v>225</v>
      </c>
    </row>
    <row r="235" spans="2:75" x14ac:dyDescent="0.3">
      <c r="B235" s="171">
        <f t="shared" si="163"/>
        <v>44135</v>
      </c>
      <c r="C235" s="61"/>
      <c r="D235" s="17">
        <v>86293</v>
      </c>
      <c r="E235" s="16"/>
      <c r="F235" s="16"/>
      <c r="G235" s="16"/>
      <c r="H235" s="16">
        <f t="shared" ref="H235" si="318">+H234+D235</f>
        <v>9370898</v>
      </c>
      <c r="I235" s="16"/>
      <c r="J235" s="479">
        <f t="shared" ref="J235" si="319">+D235/H234</f>
        <v>9.2942026074345659E-3</v>
      </c>
      <c r="K235" s="16"/>
      <c r="L235" s="16"/>
      <c r="M235" s="16"/>
      <c r="N235" s="16">
        <f>SUM(D205:D235)</f>
        <v>1906897</v>
      </c>
      <c r="O235" s="16">
        <f t="shared" ref="O235" si="320">+H235/BW235</f>
        <v>41464.150442477876</v>
      </c>
      <c r="P235" s="41"/>
      <c r="Q235" s="17">
        <f t="shared" si="161"/>
        <v>566667</v>
      </c>
      <c r="R235" s="16"/>
      <c r="S235" s="60">
        <f t="shared" si="162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ref="AA235" si="321">+AA234+W235</f>
        <v>235980</v>
      </c>
      <c r="AB235" s="33"/>
      <c r="AC235" s="46">
        <f t="shared" ref="AC235" si="322">+AA235/H235</f>
        <v>2.5182218395718318E-2</v>
      </c>
      <c r="AD235" s="33"/>
      <c r="AE235" s="33">
        <f t="shared" ref="AE235" si="323">+AA235/BW235</f>
        <v>1044.1592920353983</v>
      </c>
      <c r="AF235" s="50"/>
      <c r="AG235" s="33">
        <f t="shared" ref="AG235" si="324">SUM(W229:W235)</f>
        <v>5989</v>
      </c>
      <c r="AH235" s="33">
        <f t="shared" ref="AH235" si="325">SUM(D206:D370)</f>
        <v>458472186.34662843</v>
      </c>
      <c r="AI235" s="231">
        <f t="shared" ref="AI235" si="326">+(AG235-AG228)/AG228</f>
        <v>4.5748210232233279E-2</v>
      </c>
      <c r="AJ235" s="50"/>
      <c r="AK235" s="10"/>
      <c r="AL235" s="23">
        <f t="shared" ref="AL235" si="327">+AP235-AP234</f>
        <v>37926</v>
      </c>
      <c r="AM235" s="24"/>
      <c r="AN235" s="24"/>
      <c r="AO235" s="24">
        <v>178263</v>
      </c>
      <c r="AP235" s="24">
        <v>6062438</v>
      </c>
      <c r="AQ235" s="24"/>
      <c r="AR235" s="504">
        <f t="shared" ref="AR235" si="328">+AL235/AP234</f>
        <v>6.2952816759266148E-3</v>
      </c>
      <c r="AS235" s="25"/>
      <c r="AT235" s="25"/>
      <c r="AU235" s="24"/>
      <c r="AV235" s="341">
        <f t="shared" ref="AV235" si="329">+AP235/H235</f>
        <v>0.6469431211395108</v>
      </c>
      <c r="AW235" s="341"/>
      <c r="AX235" s="24">
        <f t="shared" ref="AX235" si="330">+AP235/BW235</f>
        <v>26824.946902654869</v>
      </c>
      <c r="AY235" s="351"/>
      <c r="AZ235" s="10"/>
      <c r="BA235" s="66">
        <f t="shared" ref="BA235" si="331">+BC235-BC234</f>
        <v>1235921</v>
      </c>
      <c r="BB235" s="67"/>
      <c r="BC235" s="67">
        <v>144186274</v>
      </c>
      <c r="BD235" s="67"/>
      <c r="BE235" s="67">
        <f t="shared" ref="BE235" si="332">+D235</f>
        <v>86293</v>
      </c>
      <c r="BF235" s="67"/>
      <c r="BG235" s="156">
        <f t="shared" ref="BG235" si="333">+BE235/BA235</f>
        <v>6.9820805698746116E-2</v>
      </c>
      <c r="BH235" s="67"/>
      <c r="BI235" s="183"/>
      <c r="BJ235" s="67"/>
      <c r="BK235" s="67">
        <f t="shared" ref="BK235" si="334">SUM(BA229:BA235)</f>
        <v>11977781</v>
      </c>
      <c r="BL235" s="67"/>
      <c r="BM235" s="156">
        <f t="shared" ref="BM235" si="335">+Q235/BK235</f>
        <v>4.7309848126293179E-2</v>
      </c>
      <c r="BN235" s="66">
        <f t="shared" ref="BN235" si="336">+BC235/BW235</f>
        <v>637992.36283185845</v>
      </c>
      <c r="BO235" s="67"/>
      <c r="BP235" s="67">
        <f t="shared" ref="BP235" si="337">+BP234+BE235</f>
        <v>9028251</v>
      </c>
      <c r="BQ235" s="67"/>
      <c r="BR235" s="478">
        <f t="shared" ref="BR235" si="338">+BP235/BC235</f>
        <v>6.2615190402936685E-2</v>
      </c>
      <c r="BS235" s="67"/>
      <c r="BT235" s="86"/>
      <c r="BU235" s="183"/>
      <c r="BV235" s="1"/>
      <c r="BW235" s="61">
        <f t="shared" si="189"/>
        <v>226</v>
      </c>
    </row>
    <row r="236" spans="2:75" x14ac:dyDescent="0.3">
      <c r="B236" s="390">
        <f t="shared" si="163"/>
        <v>44136</v>
      </c>
      <c r="C236" s="61"/>
      <c r="D236" s="17">
        <v>71321</v>
      </c>
      <c r="E236" s="16"/>
      <c r="F236" s="16"/>
      <c r="G236" s="16"/>
      <c r="H236" s="16">
        <f t="shared" ref="H236" si="339">+H235+D236</f>
        <v>9442219</v>
      </c>
      <c r="I236" s="16"/>
      <c r="J236" s="479">
        <f t="shared" ref="J236" si="340">+D236/H235</f>
        <v>7.6109034587720408E-3</v>
      </c>
      <c r="K236" s="16"/>
      <c r="L236" s="16"/>
      <c r="M236" s="16"/>
      <c r="N236" s="16">
        <f t="shared" ref="N236" si="341">SUM(D230:D236)</f>
        <v>577099</v>
      </c>
      <c r="O236" s="16">
        <f t="shared" ref="O236" si="342">+H236/BW236</f>
        <v>41595.678414096918</v>
      </c>
      <c r="P236" s="41"/>
      <c r="Q236" s="17">
        <f t="shared" si="161"/>
        <v>577099</v>
      </c>
      <c r="R236" s="16"/>
      <c r="S236" s="60">
        <f t="shared" si="162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ref="AA236" si="343">+AA235+W236</f>
        <v>236379</v>
      </c>
      <c r="AB236" s="33"/>
      <c r="AC236" s="46">
        <f t="shared" ref="AC236" si="344">+AA236/H236</f>
        <v>2.5034263661963357E-2</v>
      </c>
      <c r="AD236" s="33"/>
      <c r="AE236" s="33">
        <f t="shared" ref="AE236" si="345">+AA236/BW236</f>
        <v>1041.3171806167402</v>
      </c>
      <c r="AF236" s="50"/>
      <c r="AG236" s="33">
        <f t="shared" ref="AG236" si="346">SUM(W230:W236)</f>
        <v>5946</v>
      </c>
      <c r="AH236" s="33">
        <f t="shared" ref="AH236" si="347">SUM(D207:D371)</f>
        <v>458420783.34662843</v>
      </c>
      <c r="AI236" s="231">
        <f t="shared" ref="AI236" si="348">+(AG236-AG229)/AG229</f>
        <v>3.9328788673308863E-2</v>
      </c>
      <c r="AJ236" s="50"/>
      <c r="AK236" s="391"/>
      <c r="AL236" s="23">
        <f t="shared" ref="AL236" si="349">+AP236-AP235</f>
        <v>41167</v>
      </c>
      <c r="AM236" s="24"/>
      <c r="AN236" s="24"/>
      <c r="AO236" s="24">
        <v>178263</v>
      </c>
      <c r="AP236" s="24">
        <v>6103605</v>
      </c>
      <c r="AQ236" s="24"/>
      <c r="AR236" s="504">
        <f t="shared" ref="AR236" si="350">+AL236/AP235</f>
        <v>6.7905024348290238E-3</v>
      </c>
      <c r="AS236" s="25"/>
      <c r="AT236" s="25"/>
      <c r="AU236" s="24"/>
      <c r="AV236" s="341">
        <f t="shared" ref="AV236" si="351">+AP236/H236</f>
        <v>0.64641637733672563</v>
      </c>
      <c r="AW236" s="341"/>
      <c r="AX236" s="24">
        <f t="shared" ref="AX236" si="352">+AP236/BW236</f>
        <v>26888.127753303965</v>
      </c>
      <c r="AY236" s="351"/>
      <c r="AZ236" s="391"/>
      <c r="BA236" s="66">
        <f t="shared" ref="BA236" si="353">+BC236-BC235</f>
        <v>851151</v>
      </c>
      <c r="BB236" s="67"/>
      <c r="BC236" s="67">
        <v>145037425</v>
      </c>
      <c r="BD236" s="67"/>
      <c r="BE236" s="67">
        <f t="shared" ref="BE236" si="354">+D236</f>
        <v>71321</v>
      </c>
      <c r="BF236" s="67"/>
      <c r="BG236" s="156">
        <f t="shared" ref="BG236" si="355">+BE236/BA236</f>
        <v>8.3793592441294196E-2</v>
      </c>
      <c r="BH236" s="67"/>
      <c r="BI236" s="183"/>
      <c r="BJ236" s="67"/>
      <c r="BK236" s="67">
        <f t="shared" ref="BK236" si="356">SUM(BA230:BA236)</f>
        <v>11808097</v>
      </c>
      <c r="BL236" s="67"/>
      <c r="BM236" s="156">
        <f t="shared" ref="BM236" si="357">+Q236/BK236</f>
        <v>4.8873158816361346E-2</v>
      </c>
      <c r="BN236" s="66">
        <f t="shared" ref="BN236" si="358">+BC236/BW236</f>
        <v>638931.38766519818</v>
      </c>
      <c r="BO236" s="67"/>
      <c r="BP236" s="67">
        <f t="shared" ref="BP236" si="359">+BP235+BE236</f>
        <v>9099572</v>
      </c>
      <c r="BQ236" s="67"/>
      <c r="BR236" s="478">
        <f t="shared" ref="BR236" si="360">+BP236/BC236</f>
        <v>6.2739475690498508E-2</v>
      </c>
      <c r="BS236" s="67"/>
      <c r="BT236" s="86"/>
      <c r="BU236" s="183"/>
      <c r="BV236" s="1"/>
      <c r="BW236" s="61">
        <f t="shared" si="189"/>
        <v>227</v>
      </c>
    </row>
    <row r="237" spans="2:75" x14ac:dyDescent="0.3">
      <c r="B237" s="171">
        <f t="shared" si="163"/>
        <v>44137</v>
      </c>
      <c r="C237" s="61"/>
      <c r="D237" s="17">
        <v>88905</v>
      </c>
      <c r="E237" s="16"/>
      <c r="F237" s="16"/>
      <c r="G237" s="16"/>
      <c r="H237" s="16">
        <f t="shared" ref="H237" si="361">+H236+D237</f>
        <v>9531124</v>
      </c>
      <c r="I237" s="16"/>
      <c r="J237" s="479">
        <f t="shared" ref="J237" si="362">+D237/H236</f>
        <v>9.4156892569426734E-3</v>
      </c>
      <c r="K237" s="16"/>
      <c r="L237" s="16"/>
      <c r="M237" s="16"/>
      <c r="N237" s="16">
        <f t="shared" ref="N237" si="363">SUM(D231:D237)</f>
        <v>596163</v>
      </c>
      <c r="O237" s="16">
        <f t="shared" ref="O237" si="364">+H237/BW237</f>
        <v>41803.175438596489</v>
      </c>
      <c r="P237" s="41"/>
      <c r="Q237" s="17">
        <f t="shared" ref="Q237" si="365">SUM(D231:D237)</f>
        <v>596163</v>
      </c>
      <c r="R237" s="16"/>
      <c r="S237" s="60">
        <f t="shared" ref="S237" si="366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ref="AA237" si="367">+AA236+W237</f>
        <v>236901</v>
      </c>
      <c r="AB237" s="33"/>
      <c r="AC237" s="46">
        <f t="shared" ref="AC237" si="368">+AA237/H237</f>
        <v>2.4855515467011025E-2</v>
      </c>
      <c r="AD237" s="33"/>
      <c r="AE237" s="33">
        <f t="shared" ref="AE237" si="369">+AA237/BW237</f>
        <v>1039.0394736842106</v>
      </c>
      <c r="AF237" s="50"/>
      <c r="AG237" s="33">
        <f t="shared" ref="AG237" si="370">SUM(W231:W237)</f>
        <v>5939</v>
      </c>
      <c r="AH237" s="33">
        <f t="shared" ref="AH237" si="371">SUM(D208:D372)</f>
        <v>458371858.34662843</v>
      </c>
      <c r="AI237" s="231">
        <f t="shared" ref="AI237" si="372">+(AG237-AG230)/AG230</f>
        <v>2.2555096418732781E-2</v>
      </c>
      <c r="AJ237" s="50"/>
      <c r="AK237" s="10"/>
      <c r="AL237" s="23">
        <f t="shared" ref="AL237" si="373">+AP237-AP236</f>
        <v>67797</v>
      </c>
      <c r="AM237" s="24"/>
      <c r="AN237" s="24"/>
      <c r="AO237" s="24">
        <v>178263</v>
      </c>
      <c r="AP237" s="24">
        <v>6171402</v>
      </c>
      <c r="AQ237" s="24"/>
      <c r="AR237" s="504">
        <f t="shared" ref="AR237" si="374">+AL237/AP236</f>
        <v>1.1107697827759168E-2</v>
      </c>
      <c r="AS237" s="25"/>
      <c r="AT237" s="25"/>
      <c r="AU237" s="24"/>
      <c r="AV237" s="341">
        <f t="shared" ref="AV237" si="375">+AP237/H237</f>
        <v>0.6474999171136584</v>
      </c>
      <c r="AW237" s="341"/>
      <c r="AX237" s="24">
        <f t="shared" ref="AX237" si="376">+AP237/BW237</f>
        <v>27067.552631578947</v>
      </c>
      <c r="AY237" s="351"/>
      <c r="AZ237" s="10"/>
      <c r="BA237" s="66">
        <f t="shared" ref="BA237" si="377">+BC237-BC236</f>
        <v>4657343</v>
      </c>
      <c r="BB237" s="67"/>
      <c r="BC237" s="67">
        <v>149694768</v>
      </c>
      <c r="BD237" s="67"/>
      <c r="BE237" s="67">
        <f t="shared" ref="BE237" si="378">+D237</f>
        <v>88905</v>
      </c>
      <c r="BF237" s="67"/>
      <c r="BG237" s="156">
        <f t="shared" ref="BG237" si="379">+BE237/BA237</f>
        <v>1.9089210307250293E-2</v>
      </c>
      <c r="BH237" s="67"/>
      <c r="BI237" s="183"/>
      <c r="BJ237" s="67"/>
      <c r="BK237" s="67">
        <f t="shared" ref="BK237" si="380">SUM(BA231:BA237)</f>
        <v>15218676</v>
      </c>
      <c r="BL237" s="67"/>
      <c r="BM237" s="156">
        <f t="shared" ref="BM237" si="381">+Q237/BK237</f>
        <v>3.9173118607689655E-2</v>
      </c>
      <c r="BN237" s="66">
        <f t="shared" ref="BN237" si="382">+BC237/BW237</f>
        <v>656556</v>
      </c>
      <c r="BO237" s="67"/>
      <c r="BP237" s="67">
        <f t="shared" ref="BP237" si="383">+BP236+BE237</f>
        <v>9188477</v>
      </c>
      <c r="BQ237" s="67"/>
      <c r="BR237" s="478">
        <f t="shared" ref="BR237" si="384">+BP237/BC237</f>
        <v>6.1381417151466507E-2</v>
      </c>
      <c r="BS237" s="67"/>
      <c r="BT237" s="86"/>
      <c r="BU237" s="183"/>
      <c r="BV237" s="1"/>
      <c r="BW237" s="61">
        <f t="shared" si="189"/>
        <v>228</v>
      </c>
    </row>
    <row r="238" spans="2:75" x14ac:dyDescent="0.3">
      <c r="B238" s="171">
        <f t="shared" si="163"/>
        <v>44138</v>
      </c>
      <c r="C238" s="61"/>
      <c r="D238" s="17">
        <v>94467</v>
      </c>
      <c r="E238" s="16"/>
      <c r="F238" s="16"/>
      <c r="G238" s="16"/>
      <c r="H238" s="16">
        <f t="shared" ref="H238" si="385">+H237+D238</f>
        <v>9625591</v>
      </c>
      <c r="I238" s="16"/>
      <c r="J238" s="479">
        <f t="shared" ref="J238" si="386">+D238/H237</f>
        <v>9.9114228290388424E-3</v>
      </c>
      <c r="K238" s="16"/>
      <c r="L238" s="16"/>
      <c r="M238" s="16"/>
      <c r="N238" s="16">
        <f t="shared" ref="N238" si="387">SUM(D232:D238)</f>
        <v>615558</v>
      </c>
      <c r="O238" s="16">
        <f t="shared" ref="O238" si="388">+H238/BW238</f>
        <v>42033.148471615721</v>
      </c>
      <c r="P238" s="41"/>
      <c r="Q238" s="17">
        <f t="shared" ref="Q238" si="389">SUM(D232:D238)</f>
        <v>615558</v>
      </c>
      <c r="R238" s="16"/>
      <c r="S238" s="60">
        <f t="shared" ref="S238" si="390">+(Q238-Q231)/Q231</f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ref="AA238" si="391">+AA237+W238</f>
        <v>238088</v>
      </c>
      <c r="AB238" s="33"/>
      <c r="AC238" s="46">
        <f t="shared" ref="AC238" si="392">+AA238/H238</f>
        <v>2.4734896797505731E-2</v>
      </c>
      <c r="AD238" s="33"/>
      <c r="AE238" s="33">
        <f t="shared" ref="AE238" si="393">+AA238/BW238</f>
        <v>1039.6855895196506</v>
      </c>
      <c r="AF238" s="50"/>
      <c r="AG238" s="33">
        <f t="shared" ref="AG238" si="394">SUM(W232:W238)</f>
        <v>6087</v>
      </c>
      <c r="AH238" s="33">
        <f t="shared" ref="AH238" si="395">SUM(D209:D373)</f>
        <v>458337792.34662843</v>
      </c>
      <c r="AI238" s="231">
        <f t="shared" ref="AI238" si="396">+(AG238-AG231)/AG231</f>
        <v>3.2569974554707379E-2</v>
      </c>
      <c r="AJ238" s="50"/>
      <c r="AK238" s="10"/>
      <c r="AL238" s="23">
        <f t="shared" ref="AL238" si="397">+AP238-AP237</f>
        <v>64768</v>
      </c>
      <c r="AM238" s="24"/>
      <c r="AN238" s="24"/>
      <c r="AO238" s="24">
        <v>178263</v>
      </c>
      <c r="AP238" s="24">
        <v>6236170</v>
      </c>
      <c r="AQ238" s="24"/>
      <c r="AR238" s="504">
        <f t="shared" ref="AR238" si="398">+AL238/AP237</f>
        <v>1.0494860001017597E-2</v>
      </c>
      <c r="AS238" s="25"/>
      <c r="AT238" s="25"/>
      <c r="AU238" s="24"/>
      <c r="AV238" s="341">
        <f t="shared" ref="AV238" si="399">+AP238/H238</f>
        <v>0.64787398508829219</v>
      </c>
      <c r="AW238" s="341"/>
      <c r="AX238" s="24">
        <f t="shared" ref="AX238" si="400">+AP238/BW238</f>
        <v>27232.183406113538</v>
      </c>
      <c r="AY238" s="351"/>
      <c r="AZ238" s="10"/>
      <c r="BA238" s="66">
        <f t="shared" ref="BA238" si="401">+BC238-BC237</f>
        <v>1154241</v>
      </c>
      <c r="BB238" s="67"/>
      <c r="BC238" s="67">
        <v>150849009</v>
      </c>
      <c r="BD238" s="67"/>
      <c r="BE238" s="67">
        <f t="shared" ref="BE238" si="402">+D238</f>
        <v>94467</v>
      </c>
      <c r="BF238" s="67"/>
      <c r="BG238" s="156">
        <f t="shared" ref="BG238" si="403">+BE238/BA238</f>
        <v>8.1843393190850086E-2</v>
      </c>
      <c r="BH238" s="67"/>
      <c r="BI238" s="183"/>
      <c r="BJ238" s="67"/>
      <c r="BK238" s="67">
        <f t="shared" ref="BK238" si="404">SUM(BA232:BA238)</f>
        <v>15424076</v>
      </c>
      <c r="BL238" s="67"/>
      <c r="BM238" s="156">
        <f t="shared" ref="BM238" si="405">+Q238/BK238</f>
        <v>3.9908906050514795E-2</v>
      </c>
      <c r="BN238" s="66">
        <f t="shared" ref="BN238" si="406">+BC238/BW238</f>
        <v>658729.29694323149</v>
      </c>
      <c r="BO238" s="67"/>
      <c r="BP238" s="67">
        <f t="shared" ref="BP238" si="407">+BP237+BE238</f>
        <v>9282944</v>
      </c>
      <c r="BQ238" s="67"/>
      <c r="BR238" s="478">
        <f t="shared" ref="BR238" si="408">+BP238/BC238</f>
        <v>6.1537984647946874E-2</v>
      </c>
      <c r="BS238" s="67"/>
      <c r="BT238" s="86"/>
      <c r="BU238" s="183"/>
      <c r="BV238" s="1"/>
      <c r="BW238" s="61">
        <f t="shared" si="189"/>
        <v>229</v>
      </c>
    </row>
    <row r="239" spans="2:75" x14ac:dyDescent="0.3">
      <c r="B239" s="171">
        <f t="shared" si="163"/>
        <v>44139</v>
      </c>
      <c r="C239" s="61"/>
      <c r="D239" s="17">
        <v>108389</v>
      </c>
      <c r="E239" s="16"/>
      <c r="F239" s="16"/>
      <c r="G239" s="16"/>
      <c r="H239" s="16">
        <f t="shared" ref="H239" si="409">+H238+D239</f>
        <v>9733980</v>
      </c>
      <c r="I239" s="16"/>
      <c r="J239" s="479">
        <f t="shared" ref="J239" si="410">+D239/H238</f>
        <v>1.1260503381039148E-2</v>
      </c>
      <c r="K239" s="16"/>
      <c r="L239" s="16"/>
      <c r="M239" s="16"/>
      <c r="N239" s="16">
        <f t="shared" ref="N239" si="411">SUM(D233:D239)</f>
        <v>642366</v>
      </c>
      <c r="O239" s="16">
        <f t="shared" ref="O239" si="412">+H239/BW239</f>
        <v>42321.65217391304</v>
      </c>
      <c r="P239" s="41"/>
      <c r="Q239" s="17">
        <f t="shared" ref="Q239" si="413">SUM(D233:D239)</f>
        <v>642366</v>
      </c>
      <c r="R239" s="16"/>
      <c r="S239" s="60">
        <f t="shared" ref="S239" si="414">+(Q239-Q232)/Q232</f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ref="AA239" si="415">+AA238+W239</f>
        <v>239289</v>
      </c>
      <c r="AB239" s="33"/>
      <c r="AC239" s="46">
        <f t="shared" ref="AC239" si="416">+AA239/H239</f>
        <v>2.4582853057022923E-2</v>
      </c>
      <c r="AD239" s="33"/>
      <c r="AE239" s="33">
        <f t="shared" ref="AE239" si="417">+AA239/BW239</f>
        <v>1040.3869565217392</v>
      </c>
      <c r="AF239" s="50"/>
      <c r="AG239" s="33">
        <f t="shared" ref="AG239" si="418">SUM(W233:W239)</f>
        <v>6258</v>
      </c>
      <c r="AH239" s="33">
        <f t="shared" ref="AH239" si="419">SUM(D210:D374)</f>
        <v>458300075.34662843</v>
      </c>
      <c r="AI239" s="231">
        <f t="shared" ref="AI239" si="420">+(AG239-AG232)/AG232</f>
        <v>9.7894736842105257E-2</v>
      </c>
      <c r="AJ239" s="50"/>
      <c r="AK239" s="10"/>
      <c r="AL239" s="23">
        <f t="shared" ref="AL239" si="421">+AP239-AP238</f>
        <v>55849</v>
      </c>
      <c r="AM239" s="24"/>
      <c r="AN239" s="24"/>
      <c r="AO239" s="24">
        <v>178263</v>
      </c>
      <c r="AP239" s="24">
        <v>6292019</v>
      </c>
      <c r="AQ239" s="24"/>
      <c r="AR239" s="504">
        <f t="shared" ref="AR239" si="422">+AL239/AP238</f>
        <v>8.9556570779821595E-3</v>
      </c>
      <c r="AS239" s="25"/>
      <c r="AT239" s="25"/>
      <c r="AU239" s="24"/>
      <c r="AV239" s="341">
        <f t="shared" ref="AV239" si="423">+AP239/H239</f>
        <v>0.64639736264097525</v>
      </c>
      <c r="AW239" s="341"/>
      <c r="AX239" s="24">
        <f t="shared" ref="AX239" si="424">+AP239/BW239</f>
        <v>27356.604347826087</v>
      </c>
      <c r="AY239" s="351"/>
      <c r="AZ239" s="10"/>
      <c r="BA239" s="66">
        <f t="shared" ref="BA239" si="425">+BC239-BC238</f>
        <v>1201405</v>
      </c>
      <c r="BB239" s="67"/>
      <c r="BC239" s="67">
        <v>152050414</v>
      </c>
      <c r="BD239" s="67"/>
      <c r="BE239" s="67">
        <f t="shared" ref="BE239" si="426">+D239</f>
        <v>108389</v>
      </c>
      <c r="BF239" s="67"/>
      <c r="BG239" s="156">
        <f t="shared" ref="BG239" si="427">+BE239/BA239</f>
        <v>9.0218535797670224E-2</v>
      </c>
      <c r="BH239" s="67"/>
      <c r="BI239" s="183"/>
      <c r="BJ239" s="67"/>
      <c r="BK239" s="67">
        <f t="shared" ref="BK239" si="428">SUM(BA233:BA239)</f>
        <v>11855600</v>
      </c>
      <c r="BL239" s="67"/>
      <c r="BM239" s="156">
        <f t="shared" ref="BM239" si="429">+Q239/BK239</f>
        <v>5.4182496035628733E-2</v>
      </c>
      <c r="BN239" s="66">
        <f t="shared" ref="BN239" si="430">+BC239/BW239</f>
        <v>661088.75652173918</v>
      </c>
      <c r="BO239" s="67"/>
      <c r="BP239" s="67">
        <f t="shared" ref="BP239" si="431">+BP238+BE239</f>
        <v>9391333</v>
      </c>
      <c r="BQ239" s="67"/>
      <c r="BR239" s="478">
        <f t="shared" ref="BR239" si="432">+BP239/BC239</f>
        <v>6.176459999641961E-2</v>
      </c>
      <c r="BS239" s="67"/>
      <c r="BT239" s="86"/>
      <c r="BU239" s="183"/>
      <c r="BV239" s="1"/>
      <c r="BW239" s="61">
        <f t="shared" si="189"/>
        <v>230</v>
      </c>
    </row>
    <row r="240" spans="2:75" x14ac:dyDescent="0.3">
      <c r="B240" s="171">
        <f t="shared" si="163"/>
        <v>44140</v>
      </c>
      <c r="C240" s="61"/>
      <c r="D240" s="17">
        <v>118319</v>
      </c>
      <c r="E240" s="16"/>
      <c r="F240" s="16"/>
      <c r="G240" s="16"/>
      <c r="H240" s="16">
        <f t="shared" ref="H240" si="433">+H239+D240</f>
        <v>9852299</v>
      </c>
      <c r="I240" s="16"/>
      <c r="J240" s="479">
        <f t="shared" ref="J240" si="434">+D240/H239</f>
        <v>1.2155254068736529E-2</v>
      </c>
      <c r="K240" s="16"/>
      <c r="L240" s="16"/>
      <c r="M240" s="16"/>
      <c r="N240" s="16">
        <f t="shared" ref="N240" si="435">SUM(D234:D240)</f>
        <v>669155</v>
      </c>
      <c r="O240" s="16">
        <f t="shared" ref="O240" si="436">+H240/BW240</f>
        <v>42650.645021645025</v>
      </c>
      <c r="P240" s="41"/>
      <c r="Q240" s="17">
        <f t="shared" ref="Q240" si="437">SUM(D234:D240)</f>
        <v>669155</v>
      </c>
      <c r="R240" s="16"/>
      <c r="S240" s="60">
        <f t="shared" ref="S240" si="438">+(Q240-Q233)/Q233</f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ref="AA240" si="439">+AA239+W240</f>
        <v>240416</v>
      </c>
      <c r="AB240" s="33"/>
      <c r="AC240" s="46">
        <f t="shared" ref="AC240" si="440">+AA240/H240</f>
        <v>2.4402020279733695E-2</v>
      </c>
      <c r="AD240" s="33"/>
      <c r="AE240" s="33">
        <f t="shared" ref="AE240" si="441">+AA240/BW240</f>
        <v>1040.7619047619048</v>
      </c>
      <c r="AF240" s="50"/>
      <c r="AG240" s="33">
        <f t="shared" ref="AG240" si="442">SUM(W234:W240)</f>
        <v>6338</v>
      </c>
      <c r="AH240" s="33">
        <f t="shared" ref="AH240" si="443">SUM(D211:D375)</f>
        <v>458255407.34662843</v>
      </c>
      <c r="AI240" s="231">
        <f t="shared" ref="AI240" si="444">+(AG240-AG233)/AG233</f>
        <v>9.767925181849671E-2</v>
      </c>
      <c r="AJ240" s="50"/>
      <c r="AK240" s="10"/>
      <c r="AL240" s="23">
        <f t="shared" ref="AL240" si="445">+AP240-AP239</f>
        <v>48467</v>
      </c>
      <c r="AM240" s="24"/>
      <c r="AN240" s="24"/>
      <c r="AO240" s="24">
        <v>178263</v>
      </c>
      <c r="AP240" s="24">
        <v>6340486</v>
      </c>
      <c r="AQ240" s="24"/>
      <c r="AR240" s="504">
        <f t="shared" ref="AR240" si="446">+AL240/AP239</f>
        <v>7.7029328741696429E-3</v>
      </c>
      <c r="AS240" s="25"/>
      <c r="AT240" s="25"/>
      <c r="AU240" s="24"/>
      <c r="AV240" s="341">
        <f t="shared" ref="AV240" si="447">+AP240/H240</f>
        <v>0.64355395628979595</v>
      </c>
      <c r="AW240" s="341"/>
      <c r="AX240" s="24">
        <f t="shared" ref="AX240" si="448">+AP240/BW240</f>
        <v>27447.991341991343</v>
      </c>
      <c r="AY240" s="351"/>
      <c r="AZ240" s="10"/>
      <c r="BA240" s="66">
        <f t="shared" ref="BA240" si="449">+BC240-BC239</f>
        <v>1544407</v>
      </c>
      <c r="BB240" s="67"/>
      <c r="BC240" s="67">
        <v>153594821</v>
      </c>
      <c r="BD240" s="67"/>
      <c r="BE240" s="67">
        <f t="shared" ref="BE240" si="450">+D240</f>
        <v>118319</v>
      </c>
      <c r="BF240" s="67"/>
      <c r="BG240" s="156">
        <f t="shared" ref="BG240" si="451">+BE240/BA240</f>
        <v>7.6611281870646794E-2</v>
      </c>
      <c r="BH240" s="67"/>
      <c r="BI240" s="183"/>
      <c r="BJ240" s="67"/>
      <c r="BK240" s="67">
        <f t="shared" ref="BK240" si="452">SUM(BA234:BA240)</f>
        <v>11925493</v>
      </c>
      <c r="BL240" s="67"/>
      <c r="BM240" s="156">
        <f t="shared" ref="BM240" si="453">+Q240/BK240</f>
        <v>5.6111307096486492E-2</v>
      </c>
      <c r="BN240" s="66">
        <f t="shared" ref="BN240" si="454">+BC240/BW240</f>
        <v>664912.645021645</v>
      </c>
      <c r="BO240" s="67"/>
      <c r="BP240" s="67">
        <f t="shared" ref="BP240" si="455">+BP239+BE240</f>
        <v>9509652</v>
      </c>
      <c r="BQ240" s="67"/>
      <c r="BR240" s="478">
        <f t="shared" ref="BR240" si="456">+BP240/BC240</f>
        <v>6.1913884453174368E-2</v>
      </c>
      <c r="BS240" s="67"/>
      <c r="BT240" s="86"/>
      <c r="BU240" s="183"/>
      <c r="BV240" s="1"/>
      <c r="BW240" s="61">
        <f t="shared" si="189"/>
        <v>231</v>
      </c>
    </row>
    <row r="241" spans="2:75" x14ac:dyDescent="0.3">
      <c r="B241" s="171">
        <f t="shared" si="163"/>
        <v>44141</v>
      </c>
      <c r="C241" s="61"/>
      <c r="D241" s="17">
        <v>132541</v>
      </c>
      <c r="E241" s="16"/>
      <c r="F241" s="16"/>
      <c r="G241" s="16"/>
      <c r="H241" s="16">
        <f t="shared" ref="H241" si="457">+H240+D241</f>
        <v>9984840</v>
      </c>
      <c r="I241" s="16"/>
      <c r="J241" s="479">
        <f t="shared" ref="J241" si="458">+D241/H240</f>
        <v>1.3452799189305968E-2</v>
      </c>
      <c r="K241" s="16"/>
      <c r="L241" s="16"/>
      <c r="M241" s="16"/>
      <c r="N241" s="16">
        <f t="shared" ref="N241" si="459">SUM(D235:D241)</f>
        <v>700235</v>
      </c>
      <c r="O241" s="16">
        <f t="shared" ref="O241" si="460">+H241/BW241</f>
        <v>43038.103448275862</v>
      </c>
      <c r="P241" s="41"/>
      <c r="Q241" s="17">
        <f t="shared" ref="Q241" si="461">SUM(D235:D241)</f>
        <v>700235</v>
      </c>
      <c r="R241" s="16"/>
      <c r="S241" s="60">
        <f t="shared" ref="S241" si="462">+(Q241-Q234)/Q234</f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ref="AA241" si="463">+AA240+W241</f>
        <v>241660</v>
      </c>
      <c r="AB241" s="33"/>
      <c r="AC241" s="46">
        <f t="shared" ref="AC241" si="464">+AA241/H241</f>
        <v>2.420269127998045E-2</v>
      </c>
      <c r="AD241" s="33"/>
      <c r="AE241" s="33">
        <f t="shared" ref="AE241" si="465">+AA241/BW241</f>
        <v>1041.6379310344828</v>
      </c>
      <c r="AF241" s="50"/>
      <c r="AG241" s="33">
        <f t="shared" ref="AG241" si="466">SUM(W235:W241)</f>
        <v>6594</v>
      </c>
      <c r="AH241" s="33">
        <f t="shared" ref="AH241" si="467">SUM(D212:D376)</f>
        <v>458206049.34662843</v>
      </c>
      <c r="AI241" s="231">
        <f t="shared" ref="AI241" si="468">+(AG241-AG234)/AG234</f>
        <v>0.12544802867383512</v>
      </c>
      <c r="AJ241" s="50"/>
      <c r="AK241" s="10"/>
      <c r="AL241" s="23">
        <f t="shared" ref="AL241" si="469">+AP241-AP240</f>
        <v>50722</v>
      </c>
      <c r="AM241" s="24"/>
      <c r="AN241" s="24"/>
      <c r="AO241" s="24">
        <v>178263</v>
      </c>
      <c r="AP241" s="24">
        <v>6391208</v>
      </c>
      <c r="AQ241" s="24"/>
      <c r="AR241" s="504">
        <f t="shared" ref="AR241" si="470">+AL241/AP240</f>
        <v>7.999702231027717E-3</v>
      </c>
      <c r="AS241" s="25"/>
      <c r="AT241" s="25"/>
      <c r="AU241" s="24"/>
      <c r="AV241" s="341">
        <f t="shared" ref="AV241" si="471">+AP241/H241</f>
        <v>0.64009117822619088</v>
      </c>
      <c r="AW241" s="341"/>
      <c r="AX241" s="24">
        <f t="shared" ref="AX241" si="472">+AP241/BW241</f>
        <v>27548.310344827587</v>
      </c>
      <c r="AY241" s="351"/>
      <c r="AZ241" s="10"/>
      <c r="BA241" s="66">
        <f t="shared" ref="BA241" si="473">+BC241-BC240</f>
        <v>1425131</v>
      </c>
      <c r="BB241" s="67"/>
      <c r="BC241" s="67">
        <v>155019952</v>
      </c>
      <c r="BD241" s="67"/>
      <c r="BE241" s="67">
        <f t="shared" ref="BE241" si="474">+D241</f>
        <v>132541</v>
      </c>
      <c r="BF241" s="67"/>
      <c r="BG241" s="156">
        <f t="shared" ref="BG241" si="475">+BE241/BA241</f>
        <v>9.3002678350270956E-2</v>
      </c>
      <c r="BH241" s="67"/>
      <c r="BI241" s="183"/>
      <c r="BJ241" s="67"/>
      <c r="BK241" s="67">
        <f t="shared" ref="BK241" si="476">SUM(BA235:BA241)</f>
        <v>12069599</v>
      </c>
      <c r="BL241" s="67"/>
      <c r="BM241" s="156">
        <f t="shared" ref="BM241" si="477">+Q241/BK241</f>
        <v>5.8016426229239262E-2</v>
      </c>
      <c r="BN241" s="66">
        <f t="shared" ref="BN241" si="478">+BC241/BW241</f>
        <v>668189.44827586203</v>
      </c>
      <c r="BO241" s="67"/>
      <c r="BP241" s="67">
        <f t="shared" ref="BP241" si="479">+BP240+BE241</f>
        <v>9642193</v>
      </c>
      <c r="BQ241" s="67"/>
      <c r="BR241" s="478">
        <f t="shared" ref="BR241" si="480">+BP241/BC241</f>
        <v>6.219969026954672E-2</v>
      </c>
      <c r="BS241" s="67"/>
      <c r="BT241" s="86"/>
      <c r="BU241" s="183"/>
      <c r="BV241" s="1"/>
      <c r="BW241" s="61">
        <f t="shared" si="189"/>
        <v>232</v>
      </c>
    </row>
    <row r="242" spans="2:75" x14ac:dyDescent="0.3">
      <c r="B242" s="171">
        <f t="shared" si="163"/>
        <v>44142</v>
      </c>
      <c r="C242" s="61"/>
      <c r="D242" s="17">
        <v>124390</v>
      </c>
      <c r="E242" s="16"/>
      <c r="F242" s="16"/>
      <c r="G242" s="16"/>
      <c r="H242" s="16">
        <f t="shared" ref="H242" si="481">+H241+D242</f>
        <v>10109230</v>
      </c>
      <c r="I242" s="16"/>
      <c r="J242" s="479">
        <f t="shared" ref="J242" si="482">+D242/H241</f>
        <v>1.2457886155411603E-2</v>
      </c>
      <c r="K242" s="16"/>
      <c r="L242" s="16"/>
      <c r="M242" s="16"/>
      <c r="N242" s="16">
        <f t="shared" ref="N242" si="483">SUM(D236:D242)</f>
        <v>738332</v>
      </c>
      <c r="O242" s="16">
        <f t="shared" ref="O242" si="484">+H242/BW242</f>
        <v>43387.253218884121</v>
      </c>
      <c r="P242" s="41"/>
      <c r="Q242" s="17">
        <f t="shared" ref="Q242" si="485">SUM(D236:D242)</f>
        <v>738332</v>
      </c>
      <c r="R242" s="16"/>
      <c r="S242" s="60">
        <f t="shared" ref="S242" si="486">+(Q242-Q235)/Q235</f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ref="AA242" si="487">+AA241+W242</f>
        <v>242691</v>
      </c>
      <c r="AB242" s="33"/>
      <c r="AC242" s="46">
        <f t="shared" ref="AC242" si="488">+AA242/H242</f>
        <v>2.400687292701818E-2</v>
      </c>
      <c r="AD242" s="33"/>
      <c r="AE242" s="33">
        <f t="shared" ref="AE242" si="489">+AA242/BW242</f>
        <v>1041.5922746781116</v>
      </c>
      <c r="AF242" s="50"/>
      <c r="AG242" s="33">
        <f t="shared" ref="AG242" si="490">SUM(W236:W242)</f>
        <v>6711</v>
      </c>
      <c r="AH242" s="33">
        <f t="shared" ref="AH242" si="491">SUM(D213:D377)</f>
        <v>458148731.34662843</v>
      </c>
      <c r="AI242" s="231">
        <f t="shared" ref="AI242" si="492">+(AG242-AG235)/AG235</f>
        <v>0.12055434964100852</v>
      </c>
      <c r="AJ242" s="50"/>
      <c r="AK242" s="10"/>
      <c r="AL242" s="23">
        <f t="shared" ref="AL242" si="493">+AP242-AP241</f>
        <v>50540</v>
      </c>
      <c r="AM242" s="24"/>
      <c r="AN242" s="24"/>
      <c r="AO242" s="24">
        <v>178263</v>
      </c>
      <c r="AP242" s="24">
        <v>6441748</v>
      </c>
      <c r="AQ242" s="24"/>
      <c r="AR242" s="504">
        <f t="shared" ref="AR242" si="494">+AL242/AP241</f>
        <v>7.9077382554283947E-3</v>
      </c>
      <c r="AS242" s="25"/>
      <c r="AT242" s="25"/>
      <c r="AU242" s="24"/>
      <c r="AV242" s="341">
        <f t="shared" ref="AV242" si="495">+AP242/H242</f>
        <v>0.63721450595149187</v>
      </c>
      <c r="AW242" s="341"/>
      <c r="AX242" s="24">
        <f t="shared" ref="AX242" si="496">+AP242/BW242</f>
        <v>27646.987124463518</v>
      </c>
      <c r="AY242" s="351"/>
      <c r="AZ242" s="10"/>
      <c r="BA242" s="66">
        <f t="shared" ref="BA242" si="497">+BC242-BC241</f>
        <v>1534974</v>
      </c>
      <c r="BB242" s="67"/>
      <c r="BC242" s="67">
        <v>156554926</v>
      </c>
      <c r="BD242" s="67"/>
      <c r="BE242" s="67">
        <f t="shared" ref="BE242" si="498">+D242</f>
        <v>124390</v>
      </c>
      <c r="BF242" s="67"/>
      <c r="BG242" s="156">
        <f t="shared" ref="BG242" si="499">+BE242/BA242</f>
        <v>8.1037203236015723E-2</v>
      </c>
      <c r="BH242" s="67"/>
      <c r="BI242" s="183"/>
      <c r="BJ242" s="67"/>
      <c r="BK242" s="67">
        <f t="shared" ref="BK242" si="500">SUM(BA236:BA242)</f>
        <v>12368652</v>
      </c>
      <c r="BL242" s="67"/>
      <c r="BM242" s="156">
        <f t="shared" ref="BM242" si="501">+Q242/BK242</f>
        <v>5.9693813036376157E-2</v>
      </c>
      <c r="BN242" s="66">
        <f t="shared" ref="BN242" si="502">+BC242/BW242</f>
        <v>671909.55364806869</v>
      </c>
      <c r="BO242" s="67"/>
      <c r="BP242" s="67">
        <f t="shared" ref="BP242" si="503">+BP241+BE242</f>
        <v>9766583</v>
      </c>
      <c r="BQ242" s="67"/>
      <c r="BR242" s="478">
        <f t="shared" ref="BR242" si="504">+BP242/BC242</f>
        <v>6.2384386422947816E-2</v>
      </c>
      <c r="BS242" s="67"/>
      <c r="BT242" s="86"/>
      <c r="BU242" s="183"/>
      <c r="BV242" s="1"/>
      <c r="BW242" s="61">
        <f t="shared" si="189"/>
        <v>233</v>
      </c>
    </row>
    <row r="243" spans="2:75" x14ac:dyDescent="0.3">
      <c r="B243" s="390">
        <f t="shared" si="163"/>
        <v>44143</v>
      </c>
      <c r="C243" s="61"/>
      <c r="D243" s="17">
        <v>102726</v>
      </c>
      <c r="E243" s="16"/>
      <c r="F243" s="16"/>
      <c r="G243" s="16"/>
      <c r="H243" s="16">
        <f t="shared" ref="H243" si="505">+H242+D243</f>
        <v>10211956</v>
      </c>
      <c r="I243" s="16"/>
      <c r="J243" s="479">
        <f t="shared" ref="J243" si="506">+D243/H242</f>
        <v>1.0161604790869335E-2</v>
      </c>
      <c r="K243" s="16"/>
      <c r="L243" s="16"/>
      <c r="M243" s="16"/>
      <c r="N243" s="16">
        <f t="shared" ref="N243" si="507">SUM(D237:D243)</f>
        <v>769737</v>
      </c>
      <c r="O243" s="16">
        <f t="shared" ref="O243" si="508">+H243/BW243</f>
        <v>43640.837606837609</v>
      </c>
      <c r="P243" s="41"/>
      <c r="Q243" s="17">
        <f t="shared" ref="Q243" si="509">SUM(D237:D243)</f>
        <v>769737</v>
      </c>
      <c r="R243" s="16"/>
      <c r="S243" s="60">
        <f t="shared" ref="S243" si="510">+(Q243-Q236)/Q236</f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ref="AA243" si="511">+AA242+W243</f>
        <v>243203</v>
      </c>
      <c r="AB243" s="33"/>
      <c r="AC243" s="46">
        <f t="shared" ref="AC243" si="512">+AA243/H243</f>
        <v>2.3815515852203047E-2</v>
      </c>
      <c r="AD243" s="33"/>
      <c r="AE243" s="33">
        <f t="shared" ref="AE243" si="513">+AA243/BW243</f>
        <v>1039.3290598290598</v>
      </c>
      <c r="AF243" s="50"/>
      <c r="AG243" s="33">
        <f t="shared" ref="AG243" si="514">SUM(W237:W243)</f>
        <v>6824</v>
      </c>
      <c r="AH243" s="33">
        <f t="shared" ref="AH243" si="515">SUM(D214:D378)</f>
        <v>458087748.34662843</v>
      </c>
      <c r="AI243" s="231">
        <f t="shared" ref="AI243" si="516">+(AG243-AG236)/AG236</f>
        <v>0.14766229397914565</v>
      </c>
      <c r="AJ243" s="50"/>
      <c r="AK243" s="391"/>
      <c r="AL243" s="23">
        <f t="shared" ref="AL243" si="517">+AP243-AP242</f>
        <v>41672</v>
      </c>
      <c r="AM243" s="24"/>
      <c r="AN243" s="24"/>
      <c r="AO243" s="24">
        <v>178263</v>
      </c>
      <c r="AP243" s="24">
        <v>6483420</v>
      </c>
      <c r="AQ243" s="24"/>
      <c r="AR243" s="504">
        <f t="shared" ref="AR243" si="518">+AL243/AP242</f>
        <v>6.4690515679905513E-3</v>
      </c>
      <c r="AS243" s="25"/>
      <c r="AT243" s="25"/>
      <c r="AU243" s="24"/>
      <c r="AV243" s="341">
        <f t="shared" ref="AV243" si="519">+AP243/H243</f>
        <v>0.63488522668918668</v>
      </c>
      <c r="AW243" s="341"/>
      <c r="AX243" s="24">
        <f t="shared" ref="AX243" si="520">+AP243/BW243</f>
        <v>27706.923076923078</v>
      </c>
      <c r="AY243" s="351"/>
      <c r="AZ243" s="391"/>
      <c r="BA243" s="66">
        <f t="shared" ref="BA243" si="521">+BC243-BC242</f>
        <v>1047931</v>
      </c>
      <c r="BB243" s="67"/>
      <c r="BC243" s="67">
        <v>157602857</v>
      </c>
      <c r="BD243" s="67"/>
      <c r="BE243" s="67">
        <f t="shared" ref="BE243" si="522">+D243</f>
        <v>102726</v>
      </c>
      <c r="BF243" s="67"/>
      <c r="BG243" s="156">
        <f t="shared" ref="BG243" si="523">+BE243/BA243</f>
        <v>9.8027446463555323E-2</v>
      </c>
      <c r="BH243" s="67"/>
      <c r="BI243" s="183"/>
      <c r="BJ243" s="67"/>
      <c r="BK243" s="67">
        <f t="shared" ref="BK243" si="524">SUM(BA237:BA243)</f>
        <v>12565432</v>
      </c>
      <c r="BL243" s="67"/>
      <c r="BM243" s="156">
        <f t="shared" ref="BM243" si="525">+Q243/BK243</f>
        <v>6.1258299754437411E-2</v>
      </c>
      <c r="BN243" s="66">
        <f t="shared" ref="BN243" si="526">+BC243/BW243</f>
        <v>673516.48290598288</v>
      </c>
      <c r="BO243" s="67"/>
      <c r="BP243" s="67">
        <f t="shared" ref="BP243" si="527">+BP242+BE243</f>
        <v>9869309</v>
      </c>
      <c r="BQ243" s="67"/>
      <c r="BR243" s="478">
        <f t="shared" ref="BR243" si="528">+BP243/BC243</f>
        <v>6.2621383824279273E-2</v>
      </c>
      <c r="BS243" s="67"/>
      <c r="BT243" s="86"/>
      <c r="BU243" s="183"/>
      <c r="BV243" s="1"/>
      <c r="BW243" s="61">
        <f t="shared" si="189"/>
        <v>234</v>
      </c>
    </row>
    <row r="244" spans="2:75" x14ac:dyDescent="0.3">
      <c r="B244" s="171">
        <f t="shared" si="163"/>
        <v>44144</v>
      </c>
      <c r="C244" s="61"/>
      <c r="D244" s="17">
        <v>125689</v>
      </c>
      <c r="E244" s="16"/>
      <c r="F244" s="16"/>
      <c r="G244" s="16"/>
      <c r="H244" s="16">
        <f t="shared" ref="H244" si="529">+H243+D244</f>
        <v>10337645</v>
      </c>
      <c r="I244" s="16"/>
      <c r="J244" s="479">
        <f t="shared" ref="J244" si="530">+D244/H243</f>
        <v>1.2308024045540345E-2</v>
      </c>
      <c r="K244" s="16"/>
      <c r="L244" s="16"/>
      <c r="M244" s="16"/>
      <c r="N244" s="16">
        <f t="shared" ref="N244" si="531">SUM(D238:D244)</f>
        <v>806521</v>
      </c>
      <c r="O244" s="16">
        <f t="shared" ref="O244" si="532">+H244/BW244</f>
        <v>43989.978723404252</v>
      </c>
      <c r="P244" s="41"/>
      <c r="Q244" s="17">
        <f t="shared" ref="Q244" si="533">SUM(D238:D244)</f>
        <v>806521</v>
      </c>
      <c r="R244" s="16"/>
      <c r="S244" s="60">
        <f t="shared" ref="S244" si="534">+(Q244-Q237)/Q237</f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ref="AA244" si="535">+AA243+W244</f>
        <v>243844</v>
      </c>
      <c r="AB244" s="33"/>
      <c r="AC244" s="46">
        <f t="shared" ref="AC244" si="536">+AA244/H244</f>
        <v>2.3587964183331891E-2</v>
      </c>
      <c r="AD244" s="33"/>
      <c r="AE244" s="33">
        <f t="shared" ref="AE244" si="537">+AA244/BW244</f>
        <v>1037.6340425531914</v>
      </c>
      <c r="AF244" s="50"/>
      <c r="AG244" s="33">
        <f t="shared" ref="AG244" si="538">SUM(W238:W244)</f>
        <v>6943</v>
      </c>
      <c r="AH244" s="33">
        <f t="shared" ref="AH244" si="539">SUM(D215:D379)</f>
        <v>458033513.34662843</v>
      </c>
      <c r="AI244" s="231">
        <f t="shared" ref="AI244" si="540">+(AG244-AG237)/AG237</f>
        <v>0.16905202896110455</v>
      </c>
      <c r="AJ244" s="50"/>
      <c r="AK244" s="10"/>
      <c r="AL244" s="23">
        <f t="shared" ref="AL244" si="541">+AP244-AP243</f>
        <v>69190</v>
      </c>
      <c r="AM244" s="24"/>
      <c r="AN244" s="24"/>
      <c r="AO244" s="24">
        <v>178263</v>
      </c>
      <c r="AP244" s="24">
        <v>6552610</v>
      </c>
      <c r="AQ244" s="24"/>
      <c r="AR244" s="504">
        <f t="shared" ref="AR244" si="542">+AL244/AP243</f>
        <v>1.0671836777503231E-2</v>
      </c>
      <c r="AS244" s="25"/>
      <c r="AT244" s="25"/>
      <c r="AU244" s="24"/>
      <c r="AV244" s="341">
        <f t="shared" ref="AV244" si="543">+AP244/H244</f>
        <v>0.63385906558021676</v>
      </c>
      <c r="AW244" s="341"/>
      <c r="AX244" s="24">
        <f t="shared" ref="AX244" si="544">+AP244/BW244</f>
        <v>27883.446808510638</v>
      </c>
      <c r="AY244" s="351"/>
      <c r="AZ244" s="10"/>
      <c r="BA244" s="66">
        <f t="shared" ref="BA244" si="545">+BC244-BC243</f>
        <v>1681256</v>
      </c>
      <c r="BB244" s="67"/>
      <c r="BC244" s="67">
        <v>159284113</v>
      </c>
      <c r="BD244" s="67"/>
      <c r="BE244" s="67">
        <f t="shared" ref="BE244" si="546">+D244</f>
        <v>125689</v>
      </c>
      <c r="BF244" s="67"/>
      <c r="BG244" s="156">
        <f t="shared" ref="BG244" si="547">+BE244/BA244</f>
        <v>7.475898970769472E-2</v>
      </c>
      <c r="BH244" s="67"/>
      <c r="BI244" s="183"/>
      <c r="BJ244" s="67"/>
      <c r="BK244" s="67">
        <f t="shared" ref="BK244" si="548">SUM(BA238:BA244)</f>
        <v>9589345</v>
      </c>
      <c r="BL244" s="67"/>
      <c r="BM244" s="156">
        <f t="shared" ref="BM244" si="549">+Q244/BK244</f>
        <v>8.4105953013474857E-2</v>
      </c>
      <c r="BN244" s="66">
        <f t="shared" ref="BN244" si="550">+BC244/BW244</f>
        <v>677804.73617021274</v>
      </c>
      <c r="BO244" s="67"/>
      <c r="BP244" s="67">
        <f t="shared" ref="BP244" si="551">+BP243+BE244</f>
        <v>9994998</v>
      </c>
      <c r="BQ244" s="67"/>
      <c r="BR244" s="478">
        <f t="shared" ref="BR244" si="552">+BP244/BC244</f>
        <v>6.2749497183061817E-2</v>
      </c>
      <c r="BS244" s="67"/>
      <c r="BT244" s="86"/>
      <c r="BU244" s="183"/>
      <c r="BV244" s="1"/>
      <c r="BW244" s="61">
        <f t="shared" si="189"/>
        <v>235</v>
      </c>
    </row>
    <row r="245" spans="2:75" x14ac:dyDescent="0.3">
      <c r="B245" s="171">
        <f t="shared" si="163"/>
        <v>44145</v>
      </c>
      <c r="C245" s="61"/>
      <c r="D245" s="17">
        <v>135653</v>
      </c>
      <c r="E245" s="16"/>
      <c r="F245" s="16"/>
      <c r="G245" s="16"/>
      <c r="H245" s="16">
        <f t="shared" ref="H245" si="553">+H244+D245</f>
        <v>10473298</v>
      </c>
      <c r="I245" s="16"/>
      <c r="J245" s="479">
        <f t="shared" ref="J245" si="554">+D245/H244</f>
        <v>1.3122234319325146E-2</v>
      </c>
      <c r="K245" s="16"/>
      <c r="L245" s="16"/>
      <c r="M245" s="16"/>
      <c r="N245" s="16">
        <f t="shared" ref="N245" si="555">SUM(D239:D245)</f>
        <v>847707</v>
      </c>
      <c r="O245" s="16">
        <f t="shared" ref="O245" si="556">+H245/BW245</f>
        <v>44378.381355932201</v>
      </c>
      <c r="P245" s="41"/>
      <c r="Q245" s="17">
        <f t="shared" ref="Q245" si="557">SUM(D239:D245)</f>
        <v>847707</v>
      </c>
      <c r="R245" s="16"/>
      <c r="S245" s="60">
        <f t="shared" ref="S245" si="558">+(Q245-Q238)/Q238</f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ref="AA245" si="559">+AA244+W245</f>
        <v>245190</v>
      </c>
      <c r="AB245" s="33"/>
      <c r="AC245" s="46">
        <f t="shared" ref="AC245" si="560">+AA245/H245</f>
        <v>2.3410963767096095E-2</v>
      </c>
      <c r="AD245" s="33"/>
      <c r="AE245" s="33">
        <f t="shared" ref="AE245" si="561">+AA245/BW245</f>
        <v>1038.9406779661017</v>
      </c>
      <c r="AF245" s="50"/>
      <c r="AG245" s="33">
        <f t="shared" ref="AG245" si="562">SUM(W239:W245)</f>
        <v>7102</v>
      </c>
      <c r="AH245" s="33">
        <f t="shared" ref="AH245" si="563">SUM(D216:D380)</f>
        <v>457991578.34662843</v>
      </c>
      <c r="AI245" s="231">
        <f t="shared" ref="AI245" si="564">+(AG245-AG238)/AG238</f>
        <v>0.16674880893707902</v>
      </c>
      <c r="AJ245" s="50"/>
      <c r="AK245" s="10"/>
      <c r="AL245" s="23">
        <f t="shared" ref="AL245" si="565">+AP245-AP244</f>
        <v>48728</v>
      </c>
      <c r="AM245" s="24"/>
      <c r="AN245" s="24"/>
      <c r="AO245" s="24">
        <v>178263</v>
      </c>
      <c r="AP245" s="24">
        <v>6601338</v>
      </c>
      <c r="AQ245" s="24"/>
      <c r="AR245" s="504">
        <f t="shared" ref="AR245" si="566">+AL245/AP244</f>
        <v>7.4364260958610382E-3</v>
      </c>
      <c r="AS245" s="25"/>
      <c r="AT245" s="25"/>
      <c r="AU245" s="24"/>
      <c r="AV245" s="341">
        <f t="shared" ref="AV245" si="567">+AP245/H245</f>
        <v>0.63030174449347287</v>
      </c>
      <c r="AW245" s="341"/>
      <c r="AX245" s="24">
        <f t="shared" ref="AX245" si="568">+AP245/BW245</f>
        <v>27971.771186440677</v>
      </c>
      <c r="AY245" s="351"/>
      <c r="AZ245" s="10"/>
      <c r="BA245" s="66">
        <f t="shared" ref="BA245" si="569">+BC245-BC244</f>
        <v>1311466</v>
      </c>
      <c r="BB245" s="67"/>
      <c r="BC245" s="67">
        <v>160595579</v>
      </c>
      <c r="BD245" s="67"/>
      <c r="BE245" s="67">
        <f t="shared" ref="BE245" si="570">+D245</f>
        <v>135653</v>
      </c>
      <c r="BF245" s="67"/>
      <c r="BG245" s="156">
        <f t="shared" ref="BG245" si="571">+BE245/BA245</f>
        <v>0.10343615465440964</v>
      </c>
      <c r="BH245" s="67"/>
      <c r="BI245" s="183"/>
      <c r="BJ245" s="67"/>
      <c r="BK245" s="67">
        <f t="shared" ref="BK245" si="572">SUM(BA239:BA245)</f>
        <v>9746570</v>
      </c>
      <c r="BL245" s="67"/>
      <c r="BM245" s="156">
        <f t="shared" ref="BM245" si="573">+Q245/BK245</f>
        <v>8.6974905017867823E-2</v>
      </c>
      <c r="BN245" s="66">
        <f t="shared" ref="BN245" si="574">+BC245/BW245</f>
        <v>680489.74152542371</v>
      </c>
      <c r="BO245" s="67"/>
      <c r="BP245" s="67">
        <f t="shared" ref="BP245" si="575">+BP244+BE245</f>
        <v>10130651</v>
      </c>
      <c r="BQ245" s="67"/>
      <c r="BR245" s="478">
        <f t="shared" ref="BR245" si="576">+BP245/BC245</f>
        <v>6.3081755195764144E-2</v>
      </c>
      <c r="BS245" s="67"/>
      <c r="BT245" s="86"/>
      <c r="BU245" s="183"/>
      <c r="BV245" s="1"/>
      <c r="BW245" s="61">
        <f t="shared" si="189"/>
        <v>236</v>
      </c>
    </row>
    <row r="246" spans="2:75" x14ac:dyDescent="0.3">
      <c r="B246" s="171">
        <f t="shared" si="163"/>
        <v>44146</v>
      </c>
      <c r="C246" s="61"/>
      <c r="D246" s="17">
        <v>142906</v>
      </c>
      <c r="E246" s="16"/>
      <c r="F246" s="16"/>
      <c r="G246" s="16"/>
      <c r="H246" s="16">
        <f t="shared" ref="H246" si="577">+H245+D246</f>
        <v>10616204</v>
      </c>
      <c r="I246" s="16"/>
      <c r="J246" s="479">
        <f t="shared" ref="J246" si="578">+D246/H245</f>
        <v>1.3644794600516475E-2</v>
      </c>
      <c r="K246" s="16"/>
      <c r="L246" s="16"/>
      <c r="M246" s="16"/>
      <c r="N246" s="16">
        <f t="shared" ref="N246" si="579">SUM(D240:D246)</f>
        <v>882224</v>
      </c>
      <c r="O246" s="16">
        <f t="shared" ref="O246" si="580">+H246/BW246</f>
        <v>44794.109704641349</v>
      </c>
      <c r="P246" s="41"/>
      <c r="Q246" s="17">
        <f t="shared" ref="Q246" si="581">SUM(D240:D246)</f>
        <v>882224</v>
      </c>
      <c r="R246" s="16"/>
      <c r="S246" s="60">
        <f t="shared" ref="S246" si="582">+(Q246-Q239)/Q239</f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ref="AA246" si="583">+AA245+W246</f>
        <v>246660</v>
      </c>
      <c r="AB246" s="33"/>
      <c r="AC246" s="46">
        <f t="shared" ref="AC246" si="584">+AA246/H246</f>
        <v>2.3234293538443685E-2</v>
      </c>
      <c r="AD246" s="33"/>
      <c r="AE246" s="33">
        <f t="shared" ref="AE246" si="585">+AA246/BW246</f>
        <v>1040.7594936708861</v>
      </c>
      <c r="AF246" s="50"/>
      <c r="AG246" s="33">
        <f t="shared" ref="AG246" si="586">SUM(W240:W246)</f>
        <v>7371</v>
      </c>
      <c r="AH246" s="33">
        <f t="shared" ref="AH246" si="587">SUM(D217:D381)</f>
        <v>457945787.34662843</v>
      </c>
      <c r="AI246" s="231">
        <f t="shared" ref="AI246" si="588">+(AG246-AG239)/AG239</f>
        <v>0.17785234899328858</v>
      </c>
      <c r="AJ246" s="50"/>
      <c r="AK246" s="10"/>
      <c r="AL246" s="23">
        <f t="shared" ref="AL246" si="589">+AP246-AP245</f>
        <v>47367</v>
      </c>
      <c r="AM246" s="24"/>
      <c r="AN246" s="24"/>
      <c r="AO246" s="24">
        <v>178263</v>
      </c>
      <c r="AP246" s="24">
        <v>6648705</v>
      </c>
      <c r="AQ246" s="24"/>
      <c r="AR246" s="504">
        <f t="shared" ref="AR246" si="590">+AL246/AP245</f>
        <v>7.1753635399369039E-3</v>
      </c>
      <c r="AS246" s="25"/>
      <c r="AT246" s="25"/>
      <c r="AU246" s="24"/>
      <c r="AV246" s="341">
        <f t="shared" ref="AV246" si="591">+AP246/H246</f>
        <v>0.62627894113564508</v>
      </c>
      <c r="AW246" s="341"/>
      <c r="AX246" s="24">
        <f t="shared" ref="AX246" si="592">+AP246/BW246</f>
        <v>28053.607594936708</v>
      </c>
      <c r="AY246" s="351"/>
      <c r="AZ246" s="10"/>
      <c r="BA246" s="66">
        <f t="shared" ref="BA246" si="593">+BC246-BC245</f>
        <v>1321988</v>
      </c>
      <c r="BB246" s="67"/>
      <c r="BC246" s="67">
        <v>161917567</v>
      </c>
      <c r="BD246" s="67"/>
      <c r="BE246" s="67">
        <f t="shared" ref="BE246" si="594">+D246</f>
        <v>142906</v>
      </c>
      <c r="BF246" s="67"/>
      <c r="BG246" s="156">
        <f t="shared" ref="BG246" si="595">+BE246/BA246</f>
        <v>0.10809931708911125</v>
      </c>
      <c r="BH246" s="67"/>
      <c r="BI246" s="183"/>
      <c r="BJ246" s="67"/>
      <c r="BK246" s="67">
        <f t="shared" ref="BK246" si="596">SUM(BA240:BA246)</f>
        <v>9867153</v>
      </c>
      <c r="BL246" s="67"/>
      <c r="BM246" s="156">
        <f t="shared" ref="BM246" si="597">+Q246/BK246</f>
        <v>8.9410187518121992E-2</v>
      </c>
      <c r="BN246" s="66">
        <f t="shared" ref="BN246" si="598">+BC246/BW246</f>
        <v>683196.48523206753</v>
      </c>
      <c r="BO246" s="67"/>
      <c r="BP246" s="67">
        <f t="shared" ref="BP246" si="599">+BP245+BE246</f>
        <v>10273557</v>
      </c>
      <c r="BQ246" s="67"/>
      <c r="BR246" s="478">
        <f t="shared" ref="BR246" si="600">+BP246/BC246</f>
        <v>6.3449304422910455E-2</v>
      </c>
      <c r="BS246" s="67"/>
      <c r="BT246" s="86"/>
      <c r="BU246" s="183"/>
      <c r="BV246" s="1"/>
      <c r="BW246" s="61">
        <f t="shared" si="189"/>
        <v>237</v>
      </c>
    </row>
    <row r="247" spans="2:75" x14ac:dyDescent="0.3">
      <c r="B247" s="171">
        <f t="shared" si="163"/>
        <v>44147</v>
      </c>
      <c r="C247" s="61"/>
      <c r="D247" s="17">
        <v>161541</v>
      </c>
      <c r="E247" s="16"/>
      <c r="F247" s="16"/>
      <c r="G247" s="16"/>
      <c r="H247" s="16">
        <f t="shared" ref="H247" si="601">+H246+D247</f>
        <v>10777745</v>
      </c>
      <c r="I247" s="16"/>
      <c r="J247" s="479">
        <f t="shared" ref="J247" si="602">+D247/H246</f>
        <v>1.5216455900809743E-2</v>
      </c>
      <c r="K247" s="16"/>
      <c r="L247" s="16"/>
      <c r="M247" s="16"/>
      <c r="N247" s="16">
        <f t="shared" ref="N247" si="603">SUM(D241:D247)</f>
        <v>925446</v>
      </c>
      <c r="O247" s="16">
        <f t="shared" ref="O247" si="604">+H247/BW247</f>
        <v>45284.642857142855</v>
      </c>
      <c r="P247" s="41"/>
      <c r="Q247" s="17">
        <f t="shared" ref="Q247" si="605">SUM(D241:D247)</f>
        <v>925446</v>
      </c>
      <c r="R247" s="16"/>
      <c r="S247" s="60">
        <f t="shared" ref="S247" si="606">+(Q247-Q240)/Q240</f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ref="AA247" si="607">+AA246+W247</f>
        <v>247850</v>
      </c>
      <c r="AB247" s="33"/>
      <c r="AC247" s="46">
        <f t="shared" ref="AC247" si="608">+AA247/H247</f>
        <v>2.299646169027009E-2</v>
      </c>
      <c r="AD247" s="33"/>
      <c r="AE247" s="33">
        <f t="shared" ref="AE247" si="609">+AA247/BW247</f>
        <v>1041.3865546218487</v>
      </c>
      <c r="AF247" s="50"/>
      <c r="AG247" s="33">
        <f t="shared" ref="AG247" si="610">SUM(W241:W247)</f>
        <v>7434</v>
      </c>
      <c r="AH247" s="33">
        <f t="shared" ref="AH247" si="611">SUM(D218:D382)</f>
        <v>457894253.34662843</v>
      </c>
      <c r="AI247" s="231">
        <f t="shared" ref="AI247" si="612">+(AG247-AG240)/AG240</f>
        <v>0.17292521300094668</v>
      </c>
      <c r="AJ247" s="50"/>
      <c r="AK247" s="10"/>
      <c r="AL247" s="23">
        <f t="shared" ref="AL247" si="613">+AP247-AP246</f>
        <v>79415</v>
      </c>
      <c r="AM247" s="24"/>
      <c r="AN247" s="24"/>
      <c r="AO247" s="24">
        <v>178263</v>
      </c>
      <c r="AP247" s="24">
        <v>6728120</v>
      </c>
      <c r="AQ247" s="24"/>
      <c r="AR247" s="504">
        <f t="shared" ref="AR247" si="614">+AL247/AP246</f>
        <v>1.1944431283986881E-2</v>
      </c>
      <c r="AS247" s="25"/>
      <c r="AT247" s="25"/>
      <c r="AU247" s="24"/>
      <c r="AV247" s="341">
        <f t="shared" ref="AV247" si="615">+AP247/H247</f>
        <v>0.62426045522509577</v>
      </c>
      <c r="AW247" s="341"/>
      <c r="AX247" s="24">
        <f t="shared" ref="AX247" si="616">+AP247/BW247</f>
        <v>28269.411764705881</v>
      </c>
      <c r="AY247" s="351"/>
      <c r="AZ247" s="10"/>
      <c r="BA247" s="66">
        <f t="shared" ref="BA247" si="617">+BC247-BC246</f>
        <v>1537138</v>
      </c>
      <c r="BB247" s="67"/>
      <c r="BC247" s="67">
        <v>163454705</v>
      </c>
      <c r="BD247" s="67"/>
      <c r="BE247" s="67">
        <f t="shared" ref="BE247" si="618">+D247</f>
        <v>161541</v>
      </c>
      <c r="BF247" s="67"/>
      <c r="BG247" s="156">
        <f t="shared" ref="BG247" si="619">+BE247/BA247</f>
        <v>0.10509206069982005</v>
      </c>
      <c r="BH247" s="67"/>
      <c r="BI247" s="183"/>
      <c r="BJ247" s="67"/>
      <c r="BK247" s="67">
        <f t="shared" ref="BK247" si="620">SUM(BA241:BA247)</f>
        <v>9859884</v>
      </c>
      <c r="BL247" s="67"/>
      <c r="BM247" s="156">
        <f t="shared" ref="BM247" si="621">+Q247/BK247</f>
        <v>9.3859724921713072E-2</v>
      </c>
      <c r="BN247" s="66">
        <f t="shared" ref="BN247" si="622">+BC247/BW247</f>
        <v>686784.47478991596</v>
      </c>
      <c r="BO247" s="67"/>
      <c r="BP247" s="67">
        <f t="shared" ref="BP247" si="623">+BP246+BE247</f>
        <v>10435098</v>
      </c>
      <c r="BQ247" s="67"/>
      <c r="BR247" s="478">
        <f t="shared" ref="BR247" si="624">+BP247/BC247</f>
        <v>6.3840915438928475E-2</v>
      </c>
      <c r="BS247" s="67"/>
      <c r="BT247" s="86"/>
      <c r="BU247" s="183"/>
      <c r="BV247" s="1"/>
      <c r="BW247" s="61">
        <f t="shared" si="189"/>
        <v>238</v>
      </c>
    </row>
    <row r="248" spans="2:75" x14ac:dyDescent="0.3">
      <c r="B248" s="171">
        <f t="shared" si="163"/>
        <v>44148</v>
      </c>
      <c r="C248" s="61"/>
      <c r="D248" s="17">
        <v>183527</v>
      </c>
      <c r="E248" s="16"/>
      <c r="F248" s="16"/>
      <c r="G248" s="16"/>
      <c r="H248" s="16">
        <f t="shared" ref="H248" si="625">+H247+D248</f>
        <v>10961272</v>
      </c>
      <c r="I248" s="16"/>
      <c r="J248" s="479">
        <f t="shared" ref="J248" si="626">+D248/H247</f>
        <v>1.7028330137705057E-2</v>
      </c>
      <c r="K248" s="16"/>
      <c r="L248" s="16"/>
      <c r="M248" s="16"/>
      <c r="N248" s="16">
        <f t="shared" ref="N248" si="627">SUM(D242:D248)</f>
        <v>976432</v>
      </c>
      <c r="O248" s="16">
        <f t="shared" ref="O248" si="628">+H248/BW248</f>
        <v>45863.062761506277</v>
      </c>
      <c r="P248" s="41"/>
      <c r="Q248" s="17">
        <f t="shared" ref="Q248" si="629">SUM(D242:D248)</f>
        <v>976432</v>
      </c>
      <c r="R248" s="16"/>
      <c r="S248" s="60">
        <f t="shared" ref="S248" si="630">+(Q248-Q241)/Q241</f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ref="AA248" si="631">+AA247+W248</f>
        <v>249245</v>
      </c>
      <c r="AB248" s="33"/>
      <c r="AC248" s="46">
        <f t="shared" ref="AC248" si="632">+AA248/H248</f>
        <v>2.2738693100581759E-2</v>
      </c>
      <c r="AD248" s="33"/>
      <c r="AE248" s="33">
        <f t="shared" ref="AE248" si="633">+AA248/BW248</f>
        <v>1042.8661087866108</v>
      </c>
      <c r="AF248" s="50"/>
      <c r="AG248" s="33">
        <f t="shared" ref="AG248" si="634">SUM(W242:W248)</f>
        <v>7585</v>
      </c>
      <c r="AH248" s="33">
        <f t="shared" ref="AH248" si="635">SUM(D219:D383)</f>
        <v>457834560.34662843</v>
      </c>
      <c r="AI248" s="231">
        <f t="shared" ref="AI248" si="636">+(AG248-AG241)/AG241</f>
        <v>0.1502881407340006</v>
      </c>
      <c r="AJ248" s="50"/>
      <c r="AK248" s="10"/>
      <c r="AL248" s="23">
        <f t="shared" ref="AL248" si="637">+AP248-AP247</f>
        <v>61026</v>
      </c>
      <c r="AM248" s="24"/>
      <c r="AN248" s="24"/>
      <c r="AO248" s="24">
        <v>178263</v>
      </c>
      <c r="AP248" s="24">
        <v>6789146</v>
      </c>
      <c r="AQ248" s="24"/>
      <c r="AR248" s="504">
        <f t="shared" ref="AR248" si="638">+AL248/AP247</f>
        <v>9.0702900661700451E-3</v>
      </c>
      <c r="AS248" s="25"/>
      <c r="AT248" s="25"/>
      <c r="AU248" s="24"/>
      <c r="AV248" s="341">
        <f t="shared" ref="AV248" si="639">+AP248/H248</f>
        <v>0.61937574398299755</v>
      </c>
      <c r="AW248" s="341"/>
      <c r="AX248" s="24">
        <f t="shared" ref="AX248" si="640">+AP248/BW248</f>
        <v>28406.468619246862</v>
      </c>
      <c r="AY248" s="351"/>
      <c r="AZ248" s="10"/>
      <c r="BA248" s="66">
        <f t="shared" ref="BA248" si="641">+BC248-BC247</f>
        <v>1687033</v>
      </c>
      <c r="BB248" s="67"/>
      <c r="BC248" s="67">
        <v>165141738</v>
      </c>
      <c r="BD248" s="67"/>
      <c r="BE248" s="67">
        <f t="shared" ref="BE248" si="642">+D248</f>
        <v>183527</v>
      </c>
      <c r="BF248" s="67"/>
      <c r="BG248" s="156">
        <f t="shared" ref="BG248" si="643">+BE248/BA248</f>
        <v>0.10878684649322212</v>
      </c>
      <c r="BH248" s="67"/>
      <c r="BI248" s="183"/>
      <c r="BJ248" s="67"/>
      <c r="BK248" s="67">
        <f t="shared" ref="BK248" si="644">SUM(BA242:BA248)</f>
        <v>10121786</v>
      </c>
      <c r="BL248" s="67"/>
      <c r="BM248" s="156">
        <f t="shared" ref="BM248" si="645">+Q248/BK248</f>
        <v>9.6468350546039999E-2</v>
      </c>
      <c r="BN248" s="66">
        <f t="shared" ref="BN248" si="646">+BC248/BW248</f>
        <v>690969.61506276147</v>
      </c>
      <c r="BO248" s="67"/>
      <c r="BP248" s="67">
        <f t="shared" ref="BP248" si="647">+BP247+BE248</f>
        <v>10618625</v>
      </c>
      <c r="BQ248" s="67"/>
      <c r="BR248" s="478">
        <f t="shared" ref="BR248" si="648">+BP248/BC248</f>
        <v>6.4300068102710661E-2</v>
      </c>
      <c r="BS248" s="67"/>
      <c r="BT248" s="86"/>
      <c r="BU248" s="183"/>
      <c r="BV248" s="1"/>
      <c r="BW248" s="61">
        <f t="shared" si="189"/>
        <v>239</v>
      </c>
    </row>
    <row r="249" spans="2:75" x14ac:dyDescent="0.3">
      <c r="B249" s="171">
        <f t="shared" si="163"/>
        <v>44149</v>
      </c>
      <c r="C249" s="61"/>
      <c r="D249" s="17">
        <v>157253</v>
      </c>
      <c r="E249" s="16"/>
      <c r="F249" s="16"/>
      <c r="G249" s="16"/>
      <c r="H249" s="16">
        <f t="shared" ref="H249" si="649">+H248+D249</f>
        <v>11118525</v>
      </c>
      <c r="I249" s="16"/>
      <c r="J249" s="479">
        <f t="shared" ref="J249" si="650">+D249/H248</f>
        <v>1.4346236458688372E-2</v>
      </c>
      <c r="K249" s="16"/>
      <c r="L249" s="16"/>
      <c r="M249" s="16"/>
      <c r="N249" s="16">
        <f t="shared" ref="N249" si="651">SUM(D243:D249)</f>
        <v>1009295</v>
      </c>
      <c r="O249" s="16">
        <f t="shared" ref="O249" si="652">+H249/BW249</f>
        <v>46327.1875</v>
      </c>
      <c r="P249" s="41"/>
      <c r="Q249" s="17">
        <f t="shared" ref="Q249" si="653">SUM(D243:D249)</f>
        <v>1009295</v>
      </c>
      <c r="R249" s="16"/>
      <c r="S249" s="60">
        <f t="shared" ref="S249" si="654">+(Q249-Q242)/Q242</f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ref="AA249" si="655">+AA248+W249</f>
        <v>250505</v>
      </c>
      <c r="AB249" s="33"/>
      <c r="AC249" s="46">
        <f t="shared" ref="AC249" si="656">+AA249/H249</f>
        <v>2.2530416579537305E-2</v>
      </c>
      <c r="AD249" s="33"/>
      <c r="AE249" s="33">
        <f t="shared" ref="AE249" si="657">+AA249/BW249</f>
        <v>1043.7708333333333</v>
      </c>
      <c r="AF249" s="50"/>
      <c r="AG249" s="33">
        <f t="shared" ref="AG249" si="658">SUM(W243:W249)</f>
        <v>7814</v>
      </c>
      <c r="AH249" s="33">
        <f t="shared" ref="AH249" si="659">SUM(D220:D384)</f>
        <v>457768431.34662843</v>
      </c>
      <c r="AI249" s="231">
        <f t="shared" ref="AI249" si="660">+(AG249-AG242)/AG242</f>
        <v>0.1643570257785725</v>
      </c>
      <c r="AJ249" s="50"/>
      <c r="AK249" s="10"/>
      <c r="AL249" s="23">
        <f t="shared" ref="AL249" si="661">+AP249-AP248</f>
        <v>101885</v>
      </c>
      <c r="AM249" s="24"/>
      <c r="AN249" s="24"/>
      <c r="AO249" s="24">
        <v>178263</v>
      </c>
      <c r="AP249" s="24">
        <v>6891031</v>
      </c>
      <c r="AQ249" s="24"/>
      <c r="AR249" s="504">
        <f t="shared" ref="AR249" si="662">+AL249/AP248</f>
        <v>1.5007042122823696E-2</v>
      </c>
      <c r="AS249" s="25"/>
      <c r="AT249" s="25"/>
      <c r="AU249" s="24"/>
      <c r="AV249" s="341">
        <f t="shared" ref="AV249" si="663">+AP249/H249</f>
        <v>0.61977924230057491</v>
      </c>
      <c r="AW249" s="341"/>
      <c r="AX249" s="24">
        <f t="shared" ref="AX249" si="664">+AP249/BW249</f>
        <v>28712.629166666666</v>
      </c>
      <c r="AY249" s="351"/>
      <c r="AZ249" s="10"/>
      <c r="BA249" s="66">
        <f t="shared" ref="BA249" si="665">+BC249-BC248</f>
        <v>1609746</v>
      </c>
      <c r="BB249" s="67"/>
      <c r="BC249" s="67">
        <v>166751484</v>
      </c>
      <c r="BD249" s="67"/>
      <c r="BE249" s="67">
        <f t="shared" ref="BE249" si="666">+D249</f>
        <v>157253</v>
      </c>
      <c r="BF249" s="67"/>
      <c r="BG249" s="156">
        <f t="shared" ref="BG249" si="667">+BE249/BA249</f>
        <v>9.7688082467668816E-2</v>
      </c>
      <c r="BH249" s="67"/>
      <c r="BI249" s="183"/>
      <c r="BJ249" s="67"/>
      <c r="BK249" s="67">
        <f t="shared" ref="BK249" si="668">SUM(BA243:BA249)</f>
        <v>10196558</v>
      </c>
      <c r="BL249" s="67"/>
      <c r="BM249" s="156">
        <f t="shared" ref="BM249" si="669">+Q249/BK249</f>
        <v>9.8983892407614418E-2</v>
      </c>
      <c r="BN249" s="66">
        <f t="shared" ref="BN249" si="670">+BC249/BW249</f>
        <v>694797.85</v>
      </c>
      <c r="BO249" s="67"/>
      <c r="BP249" s="67">
        <f t="shared" ref="BP249" si="671">+BP248+BE249</f>
        <v>10775878</v>
      </c>
      <c r="BQ249" s="67"/>
      <c r="BR249" s="478">
        <f t="shared" ref="BR249" si="672">+BP249/BC249</f>
        <v>6.46223814116101E-2</v>
      </c>
      <c r="BS249" s="67"/>
      <c r="BT249" s="86"/>
      <c r="BU249" s="183"/>
      <c r="BV249" s="1"/>
      <c r="BW249" s="61">
        <f t="shared" si="189"/>
        <v>240</v>
      </c>
    </row>
    <row r="250" spans="2:75" x14ac:dyDescent="0.3">
      <c r="B250" s="390">
        <f t="shared" si="163"/>
        <v>44150</v>
      </c>
      <c r="C250" s="61"/>
      <c r="D250" s="17">
        <v>138249</v>
      </c>
      <c r="E250" s="16"/>
      <c r="F250" s="16"/>
      <c r="G250" s="16"/>
      <c r="H250" s="16">
        <f t="shared" ref="H250" si="673">+H249+D250</f>
        <v>11256774</v>
      </c>
      <c r="I250" s="16"/>
      <c r="J250" s="479">
        <f t="shared" ref="J250" si="674">+D250/H249</f>
        <v>1.2434113337875302E-2</v>
      </c>
      <c r="K250" s="16"/>
      <c r="L250" s="16"/>
      <c r="M250" s="16"/>
      <c r="N250" s="16">
        <f t="shared" ref="N250" si="675">SUM(D244:D250)</f>
        <v>1044818</v>
      </c>
      <c r="O250" s="16">
        <f t="shared" ref="O250" si="676">+H250/BW250</f>
        <v>46708.605809128632</v>
      </c>
      <c r="P250" s="41"/>
      <c r="Q250" s="17">
        <f t="shared" ref="Q250" si="677">SUM(D244:D250)</f>
        <v>1044818</v>
      </c>
      <c r="R250" s="16"/>
      <c r="S250" s="60">
        <f t="shared" ref="S250" si="678">+(Q250-Q243)/Q243</f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ref="AA250" si="679">+AA249+W250</f>
        <v>251084</v>
      </c>
      <c r="AB250" s="33"/>
      <c r="AC250" s="46">
        <f t="shared" ref="AC250" si="680">+AA250/H250</f>
        <v>2.2305147105200832E-2</v>
      </c>
      <c r="AD250" s="33"/>
      <c r="AE250" s="33">
        <f t="shared" ref="AE250" si="681">+AA250/BW250</f>
        <v>1041.8423236514523</v>
      </c>
      <c r="AF250" s="50"/>
      <c r="AG250" s="33">
        <f t="shared" ref="AG250" si="682">SUM(W244:W250)</f>
        <v>7881</v>
      </c>
      <c r="AH250" s="33">
        <f t="shared" ref="AH250" si="683">SUM(D221:D385)</f>
        <v>457696744.34662843</v>
      </c>
      <c r="AI250" s="231">
        <f t="shared" ref="AI250" si="684">+(AG250-AG243)/AG243</f>
        <v>0.15489449003517</v>
      </c>
      <c r="AJ250" s="50"/>
      <c r="AK250" s="391"/>
      <c r="AL250" s="23">
        <f t="shared" ref="AL250" si="685">+AP250-AP249</f>
        <v>44599</v>
      </c>
      <c r="AM250" s="24"/>
      <c r="AN250" s="24"/>
      <c r="AO250" s="24">
        <v>178263</v>
      </c>
      <c r="AP250" s="24">
        <v>6935630</v>
      </c>
      <c r="AQ250" s="24"/>
      <c r="AR250" s="504">
        <f t="shared" ref="AR250" si="686">+AL250/AP249</f>
        <v>6.4720358970958049E-3</v>
      </c>
      <c r="AS250" s="25"/>
      <c r="AT250" s="25"/>
      <c r="AU250" s="24"/>
      <c r="AV250" s="341">
        <f t="shared" ref="AV250" si="687">+AP250/H250</f>
        <v>0.61612945236352801</v>
      </c>
      <c r="AW250" s="341"/>
      <c r="AX250" s="24">
        <f t="shared" ref="AX250" si="688">+AP250/BW250</f>
        <v>28778.547717842324</v>
      </c>
      <c r="AY250" s="351"/>
      <c r="AZ250" s="10"/>
      <c r="BA250" s="66">
        <f t="shared" ref="BA250" si="689">+BC250-BC249</f>
        <v>1404360</v>
      </c>
      <c r="BB250" s="67"/>
      <c r="BC250" s="67">
        <v>168155844</v>
      </c>
      <c r="BD250" s="67"/>
      <c r="BE250" s="67">
        <f t="shared" ref="BE250" si="690">+D250</f>
        <v>138249</v>
      </c>
      <c r="BF250" s="67"/>
      <c r="BG250" s="156">
        <f t="shared" ref="BG250" si="691">+BE250/BA250</f>
        <v>9.8442706998205592E-2</v>
      </c>
      <c r="BH250" s="67"/>
      <c r="BI250" s="183"/>
      <c r="BJ250" s="67"/>
      <c r="BK250" s="67">
        <f t="shared" ref="BK250" si="692">SUM(BA244:BA250)</f>
        <v>10552987</v>
      </c>
      <c r="BL250" s="67"/>
      <c r="BM250" s="156">
        <f t="shared" ref="BM250" si="693">+Q250/BK250</f>
        <v>9.9006849908940472E-2</v>
      </c>
      <c r="BN250" s="66">
        <f t="shared" ref="BN250" si="694">+BC250/BW250</f>
        <v>697742.09128630708</v>
      </c>
      <c r="BO250" s="67"/>
      <c r="BP250" s="67">
        <f t="shared" ref="BP250" si="695">+BP249+BE250</f>
        <v>10914127</v>
      </c>
      <c r="BQ250" s="67"/>
      <c r="BR250" s="478">
        <f t="shared" ref="BR250" si="696">+BP250/BC250</f>
        <v>6.4904833161790076E-2</v>
      </c>
      <c r="BS250" s="67"/>
      <c r="BT250" s="86"/>
      <c r="BU250" s="183"/>
      <c r="BV250" s="1"/>
      <c r="BW250" s="61">
        <f t="shared" si="189"/>
        <v>241</v>
      </c>
    </row>
    <row r="251" spans="2:75" x14ac:dyDescent="0.3">
      <c r="B251" s="171">
        <f t="shared" si="163"/>
        <v>44151</v>
      </c>
      <c r="C251" s="61"/>
      <c r="D251" s="17">
        <v>162149</v>
      </c>
      <c r="E251" s="16"/>
      <c r="F251" s="16"/>
      <c r="G251" s="16"/>
      <c r="H251" s="16">
        <f t="shared" ref="H251" si="697">+H250+D251</f>
        <v>11418923</v>
      </c>
      <c r="I251" s="16"/>
      <c r="J251" s="479">
        <f t="shared" ref="J251" si="698">+D251/H250</f>
        <v>1.4404570972109771E-2</v>
      </c>
      <c r="K251" s="16"/>
      <c r="L251" s="16"/>
      <c r="M251" s="16"/>
      <c r="N251" s="16">
        <f t="shared" ref="N251" si="699">SUM(D245:D251)</f>
        <v>1081278</v>
      </c>
      <c r="O251" s="16">
        <f t="shared" ref="O251" si="700">+H251/BW251</f>
        <v>47185.632231404961</v>
      </c>
      <c r="P251" s="41"/>
      <c r="Q251" s="17">
        <f t="shared" ref="Q251" si="701">SUM(D245:D251)</f>
        <v>1081278</v>
      </c>
      <c r="R251" s="16"/>
      <c r="S251" s="60">
        <f t="shared" ref="S251" si="702">+(Q251-Q244)/Q244</f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ref="AA251" si="703">+AA250+W251</f>
        <v>251823</v>
      </c>
      <c r="AB251" s="33"/>
      <c r="AC251" s="46">
        <f t="shared" ref="AC251" si="704">+AA251/H251</f>
        <v>2.2053130579827888E-2</v>
      </c>
      <c r="AD251" s="33"/>
      <c r="AE251" s="33">
        <f t="shared" ref="AE251" si="705">+AA251/BW251</f>
        <v>1040.590909090909</v>
      </c>
      <c r="AF251" s="50"/>
      <c r="AG251" s="33">
        <f t="shared" ref="AG251" si="706">SUM(W245:W251)</f>
        <v>7979</v>
      </c>
      <c r="AH251" s="33">
        <f t="shared" ref="AH251" si="707">SUM(D222:D386)</f>
        <v>457642512.34662843</v>
      </c>
      <c r="AI251" s="231">
        <f t="shared" ref="AI251" si="708">+(AG251-AG244)/AG244</f>
        <v>0.14921503672763936</v>
      </c>
      <c r="AJ251" s="50"/>
      <c r="AK251" s="10"/>
      <c r="AL251" s="23">
        <f t="shared" ref="AL251" si="709">+AP251-AP250</f>
        <v>83674</v>
      </c>
      <c r="AM251" s="24"/>
      <c r="AN251" s="24"/>
      <c r="AO251" s="24">
        <v>178263</v>
      </c>
      <c r="AP251" s="24">
        <v>7019304</v>
      </c>
      <c r="AQ251" s="24"/>
      <c r="AR251" s="504">
        <f t="shared" ref="AR251" si="710">+AL251/AP250</f>
        <v>1.2064369062363477E-2</v>
      </c>
      <c r="AS251" s="25"/>
      <c r="AT251" s="25"/>
      <c r="AU251" s="24"/>
      <c r="AV251" s="341">
        <f t="shared" ref="AV251" si="711">+AP251/H251</f>
        <v>0.61470805959546271</v>
      </c>
      <c r="AW251" s="341"/>
      <c r="AX251" s="24">
        <f t="shared" ref="AX251" si="712">+AP251/BW251</f>
        <v>29005.388429752067</v>
      </c>
      <c r="AY251" s="351"/>
      <c r="AZ251" s="10"/>
      <c r="BA251" s="66">
        <f t="shared" ref="BA251" si="713">+BC251-BC250</f>
        <v>1980160</v>
      </c>
      <c r="BB251" s="67"/>
      <c r="BC251" s="67">
        <v>170136004</v>
      </c>
      <c r="BD251" s="67"/>
      <c r="BE251" s="67">
        <f t="shared" ref="BE251" si="714">+D251</f>
        <v>162149</v>
      </c>
      <c r="BF251" s="67"/>
      <c r="BG251" s="156">
        <f t="shared" ref="BG251" si="715">+BE251/BA251</f>
        <v>8.1886817226890757E-2</v>
      </c>
      <c r="BH251" s="67"/>
      <c r="BI251" s="183"/>
      <c r="BJ251" s="67"/>
      <c r="BK251" s="67">
        <f t="shared" ref="BK251" si="716">SUM(BA245:BA251)</f>
        <v>10851891</v>
      </c>
      <c r="BL251" s="67"/>
      <c r="BM251" s="156">
        <f t="shared" ref="BM251" si="717">+Q251/BK251</f>
        <v>9.9639592767748961E-2</v>
      </c>
      <c r="BN251" s="66">
        <f t="shared" ref="BN251" si="718">+BC251/BW251</f>
        <v>703041.33884297521</v>
      </c>
      <c r="BO251" s="67"/>
      <c r="BP251" s="67">
        <f t="shared" ref="BP251" si="719">+BP250+BE251</f>
        <v>11076276</v>
      </c>
      <c r="BQ251" s="67"/>
      <c r="BR251" s="478">
        <f t="shared" ref="BR251" si="720">+BP251/BC251</f>
        <v>6.5102481189107983E-2</v>
      </c>
      <c r="BS251" s="67"/>
      <c r="BT251" s="86"/>
      <c r="BU251" s="183"/>
      <c r="BV251" s="1"/>
      <c r="BW251" s="61">
        <f t="shared" si="189"/>
        <v>242</v>
      </c>
    </row>
    <row r="252" spans="2:75" x14ac:dyDescent="0.3">
      <c r="B252" s="171">
        <f t="shared" si="163"/>
        <v>44152</v>
      </c>
      <c r="C252" s="61"/>
      <c r="D252" s="17">
        <v>157261</v>
      </c>
      <c r="E252" s="16"/>
      <c r="F252" s="16"/>
      <c r="G252" s="16"/>
      <c r="H252" s="16">
        <f t="shared" ref="H252" si="721">+H251+D252</f>
        <v>11576184</v>
      </c>
      <c r="I252" s="16"/>
      <c r="J252" s="479">
        <f t="shared" ref="J252" si="722">+D252/H251</f>
        <v>1.3771964308718082E-2</v>
      </c>
      <c r="K252" s="16"/>
      <c r="L252" s="16"/>
      <c r="M252" s="16"/>
      <c r="N252" s="16">
        <f t="shared" ref="N252" si="723">SUM(D246:D252)</f>
        <v>1102886</v>
      </c>
      <c r="O252" s="16">
        <f t="shared" ref="O252" si="724">+H252/BW252</f>
        <v>47638.617283950618</v>
      </c>
      <c r="P252" s="41"/>
      <c r="Q252" s="17">
        <f t="shared" ref="Q252" si="725">SUM(D246:D252)</f>
        <v>1102886</v>
      </c>
      <c r="R252" s="16"/>
      <c r="S252" s="60">
        <f t="shared" ref="S252" si="726">+(Q252-Q245)/Q245</f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ref="AA252" si="727">+AA251+W252</f>
        <v>253438</v>
      </c>
      <c r="AB252" s="33"/>
      <c r="AC252" s="46">
        <f t="shared" ref="AC252" si="728">+AA252/H252</f>
        <v>2.1893052149136536E-2</v>
      </c>
      <c r="AD252" s="33"/>
      <c r="AE252" s="33">
        <f t="shared" ref="AE252" si="729">+AA252/BW252</f>
        <v>1042.9547325102881</v>
      </c>
      <c r="AF252" s="50"/>
      <c r="AG252" s="33">
        <f t="shared" ref="AG252" si="730">SUM(W246:W252)</f>
        <v>8248</v>
      </c>
      <c r="AH252" s="33">
        <f t="shared" ref="AH252" si="731">SUM(D223:D387)</f>
        <v>457597571.34662843</v>
      </c>
      <c r="AI252" s="231">
        <f t="shared" ref="AI252" si="732">+(AG252-AG245)/AG245</f>
        <v>0.16136299633905943</v>
      </c>
      <c r="AJ252" s="50"/>
      <c r="AK252" s="10"/>
      <c r="AL252" s="23">
        <f t="shared" ref="AL252" si="733">+AP252-AP251</f>
        <v>68492</v>
      </c>
      <c r="AM252" s="24"/>
      <c r="AN252" s="24"/>
      <c r="AO252" s="24">
        <v>178263</v>
      </c>
      <c r="AP252" s="24">
        <v>7087796</v>
      </c>
      <c r="AQ252" s="24"/>
      <c r="AR252" s="504">
        <f t="shared" ref="AR252" si="734">+AL252/AP251</f>
        <v>9.7576625830709147E-3</v>
      </c>
      <c r="AS252" s="25"/>
      <c r="AT252" s="25"/>
      <c r="AU252" s="24"/>
      <c r="AV252" s="341">
        <f t="shared" ref="AV252" si="735">+AP252/H252</f>
        <v>0.61227395832685449</v>
      </c>
      <c r="AW252" s="341"/>
      <c r="AX252" s="24">
        <f t="shared" ref="AX252" si="736">+AP252/BW252</f>
        <v>29167.88477366255</v>
      </c>
      <c r="AY252" s="351"/>
      <c r="AZ252" s="10"/>
      <c r="BA252" s="66">
        <f t="shared" ref="BA252" si="737">+BC252-BC251</f>
        <v>1555687</v>
      </c>
      <c r="BB252" s="67"/>
      <c r="BC252" s="67">
        <v>171691691</v>
      </c>
      <c r="BD252" s="67"/>
      <c r="BE252" s="67">
        <f t="shared" ref="BE252" si="738">+D252</f>
        <v>157261</v>
      </c>
      <c r="BF252" s="67"/>
      <c r="BG252" s="156">
        <f t="shared" ref="BG252" si="739">+BE252/BA252</f>
        <v>0.10108781522247084</v>
      </c>
      <c r="BH252" s="67"/>
      <c r="BI252" s="183"/>
      <c r="BJ252" s="67"/>
      <c r="BK252" s="67">
        <f t="shared" ref="BK252" si="740">SUM(BA246:BA252)</f>
        <v>11096112</v>
      </c>
      <c r="BL252" s="67"/>
      <c r="BM252" s="156">
        <f t="shared" ref="BM252" si="741">+Q252/BK252</f>
        <v>9.9393913832160313E-2</v>
      </c>
      <c r="BN252" s="66">
        <f t="shared" ref="BN252" si="742">+BC252/BW252</f>
        <v>706550.16872427985</v>
      </c>
      <c r="BO252" s="67"/>
      <c r="BP252" s="67">
        <f t="shared" ref="BP252" si="743">+BP251+BE252</f>
        <v>11233537</v>
      </c>
      <c r="BQ252" s="67"/>
      <c r="BR252" s="478">
        <f t="shared" ref="BR252" si="744">+BP252/BC252</f>
        <v>6.5428541908880145E-2</v>
      </c>
      <c r="BS252" s="67"/>
      <c r="BT252" s="86"/>
      <c r="BU252" s="183"/>
      <c r="BV252" s="1"/>
      <c r="BW252" s="61">
        <f t="shared" si="189"/>
        <v>243</v>
      </c>
    </row>
    <row r="253" spans="2:75" x14ac:dyDescent="0.3">
      <c r="B253" s="171">
        <f t="shared" si="163"/>
        <v>44153</v>
      </c>
      <c r="C253" s="61"/>
      <c r="D253" s="17">
        <v>173768</v>
      </c>
      <c r="E253" s="16"/>
      <c r="F253" s="16"/>
      <c r="G253" s="16"/>
      <c r="H253" s="16">
        <f t="shared" ref="H253" si="745">+H252+D253</f>
        <v>11749952</v>
      </c>
      <c r="I253" s="16"/>
      <c r="J253" s="479">
        <f t="shared" ref="J253" si="746">+D253/H252</f>
        <v>1.5010818763765331E-2</v>
      </c>
      <c r="K253" s="16"/>
      <c r="L253" s="16"/>
      <c r="M253" s="16"/>
      <c r="N253" s="16">
        <f t="shared" ref="N253" si="747">SUM(D247:D253)</f>
        <v>1133748</v>
      </c>
      <c r="O253" s="16">
        <f t="shared" ref="O253" si="748">+H253/BW253</f>
        <v>48155.540983606559</v>
      </c>
      <c r="P253" s="41"/>
      <c r="Q253" s="17">
        <f t="shared" ref="Q253" si="749">SUM(D247:D253)</f>
        <v>1133748</v>
      </c>
      <c r="R253" s="16"/>
      <c r="S253" s="60">
        <f t="shared" ref="S253" si="750">+(Q253-Q246)/Q246</f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ref="AA253" si="751">+AA252+W253</f>
        <v>255402</v>
      </c>
      <c r="AB253" s="33"/>
      <c r="AC253" s="46">
        <f t="shared" ref="AC253" si="752">+AA253/H253</f>
        <v>2.173642922115767E-2</v>
      </c>
      <c r="AD253" s="33"/>
      <c r="AE253" s="33">
        <f t="shared" ref="AE253" si="753">+AA253/BW253</f>
        <v>1046.7295081967213</v>
      </c>
      <c r="AF253" s="50"/>
      <c r="AG253" s="33">
        <f t="shared" ref="AG253" si="754">SUM(W247:W253)</f>
        <v>8742</v>
      </c>
      <c r="AH253" s="33">
        <f t="shared" ref="AH253" si="755">SUM(D224:D388)</f>
        <v>457540244.34662843</v>
      </c>
      <c r="AI253" s="231">
        <f t="shared" ref="AI253" si="756">+(AG253-AG246)/AG246</f>
        <v>0.185999185999186</v>
      </c>
      <c r="AJ253" s="50"/>
      <c r="AK253" s="10"/>
      <c r="AL253" s="23">
        <f t="shared" ref="AL253" si="757">+AP253-AP252</f>
        <v>112200</v>
      </c>
      <c r="AM253" s="24"/>
      <c r="AN253" s="24"/>
      <c r="AO253" s="24">
        <v>178263</v>
      </c>
      <c r="AP253" s="24">
        <v>7199996</v>
      </c>
      <c r="AQ253" s="24"/>
      <c r="AR253" s="504">
        <f t="shared" ref="AR253" si="758">+AL253/AP252</f>
        <v>1.583002671070104E-2</v>
      </c>
      <c r="AS253" s="25"/>
      <c r="AT253" s="25"/>
      <c r="AU253" s="24"/>
      <c r="AV253" s="341">
        <f t="shared" ref="AV253" si="759">+AP253/H253</f>
        <v>0.61276812024423588</v>
      </c>
      <c r="AW253" s="341"/>
      <c r="AX253" s="24">
        <f t="shared" ref="AX253" si="760">+AP253/BW253</f>
        <v>29508.180327868853</v>
      </c>
      <c r="AY253" s="351"/>
      <c r="AZ253" s="10"/>
      <c r="BA253" s="66">
        <f t="shared" ref="BA253" si="761">+BC253-BC252</f>
        <v>1544138</v>
      </c>
      <c r="BB253" s="67"/>
      <c r="BC253" s="67">
        <v>173235829</v>
      </c>
      <c r="BD253" s="67"/>
      <c r="BE253" s="67">
        <f t="shared" ref="BE253" si="762">+D253</f>
        <v>173768</v>
      </c>
      <c r="BF253" s="67"/>
      <c r="BG253" s="156">
        <f t="shared" ref="BG253" si="763">+BE253/BA253</f>
        <v>0.11253398336159073</v>
      </c>
      <c r="BH253" s="67"/>
      <c r="BI253" s="183"/>
      <c r="BJ253" s="67"/>
      <c r="BK253" s="67">
        <f t="shared" ref="BK253" si="764">SUM(BA247:BA253)</f>
        <v>11318262</v>
      </c>
      <c r="BL253" s="67"/>
      <c r="BM253" s="156">
        <f t="shared" ref="BM253" si="765">+Q253/BK253</f>
        <v>0.10016979638746655</v>
      </c>
      <c r="BN253" s="66">
        <f t="shared" ref="BN253" si="766">+BC253/BW253</f>
        <v>709982.90573770495</v>
      </c>
      <c r="BO253" s="67"/>
      <c r="BP253" s="67">
        <f t="shared" ref="BP253" si="767">+BP252+BE253</f>
        <v>11407305</v>
      </c>
      <c r="BQ253" s="67"/>
      <c r="BR253" s="478">
        <f t="shared" ref="BR253" si="768">+BP253/BC253</f>
        <v>6.5848416380424393E-2</v>
      </c>
      <c r="BS253" s="67"/>
      <c r="BT253" s="86"/>
      <c r="BU253" s="183"/>
      <c r="BV253" s="1"/>
      <c r="BW253" s="61">
        <f t="shared" si="189"/>
        <v>244</v>
      </c>
    </row>
    <row r="254" spans="2:75" x14ac:dyDescent="0.3">
      <c r="B254" s="171">
        <f t="shared" si="163"/>
        <v>44154</v>
      </c>
      <c r="C254" s="61"/>
      <c r="D254" s="17">
        <v>192186</v>
      </c>
      <c r="E254" s="16"/>
      <c r="F254" s="16"/>
      <c r="G254" s="16"/>
      <c r="H254" s="16">
        <f t="shared" ref="H254" si="769">+H253+D254</f>
        <v>11942138</v>
      </c>
      <c r="I254" s="16"/>
      <c r="J254" s="479">
        <f t="shared" ref="J254" si="770">+D254/H253</f>
        <v>1.6356322136464898E-2</v>
      </c>
      <c r="K254" s="16"/>
      <c r="L254" s="16"/>
      <c r="M254" s="16"/>
      <c r="N254" s="16">
        <f t="shared" ref="N254" si="771">SUM(D248:D254)</f>
        <v>1164393</v>
      </c>
      <c r="O254" s="16">
        <f t="shared" ref="O254" si="772">+H254/BW254</f>
        <v>48743.420408163263</v>
      </c>
      <c r="P254" s="41"/>
      <c r="Q254" s="17">
        <f t="shared" ref="Q254" si="773">SUM(D248:D254)</f>
        <v>1164393</v>
      </c>
      <c r="R254" s="16"/>
      <c r="S254" s="60">
        <f t="shared" ref="S254" si="774">+(Q254-Q247)/Q247</f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ref="AA254" si="775">+AA253+W254</f>
        <v>257467</v>
      </c>
      <c r="AB254" s="33"/>
      <c r="AC254" s="46">
        <f t="shared" ref="AC254" si="776">+AA254/H254</f>
        <v>2.1559539841190915E-2</v>
      </c>
      <c r="AD254" s="33"/>
      <c r="AE254" s="33">
        <f t="shared" ref="AE254" si="777">+AA254/BW254</f>
        <v>1050.8857142857144</v>
      </c>
      <c r="AF254" s="50"/>
      <c r="AG254" s="33">
        <f t="shared" ref="AG254" si="778">SUM(W248:W254)</f>
        <v>9617</v>
      </c>
      <c r="AH254" s="33">
        <f t="shared" ref="AH254" si="779">SUM(D225:D389)</f>
        <v>457478172.34662843</v>
      </c>
      <c r="AI254" s="231">
        <f t="shared" ref="AI254" si="780">+(AG254-AG247)/AG247</f>
        <v>0.29365079365079366</v>
      </c>
      <c r="AJ254" s="50"/>
      <c r="AK254" s="10"/>
      <c r="AL254" s="23">
        <f t="shared" ref="AL254" si="781">+AP254-AP253</f>
        <v>43492</v>
      </c>
      <c r="AM254" s="24"/>
      <c r="AN254" s="24"/>
      <c r="AO254" s="24">
        <v>178263</v>
      </c>
      <c r="AP254" s="24">
        <v>7243488</v>
      </c>
      <c r="AQ254" s="24"/>
      <c r="AR254" s="504">
        <f t="shared" ref="AR254" si="782">+AL254/AP253</f>
        <v>6.0405589114216176E-3</v>
      </c>
      <c r="AS254" s="25"/>
      <c r="AT254" s="25"/>
      <c r="AU254" s="24"/>
      <c r="AV254" s="341">
        <f t="shared" ref="AV254" si="783">+AP254/H254</f>
        <v>0.60654867662725054</v>
      </c>
      <c r="AW254" s="341"/>
      <c r="AX254" s="24">
        <f t="shared" ref="AX254" si="784">+AP254/BW254</f>
        <v>29565.257142857143</v>
      </c>
      <c r="AY254" s="351"/>
      <c r="AZ254" s="10"/>
      <c r="BA254" s="66">
        <f t="shared" ref="BA254" si="785">+BC254-BC253</f>
        <v>1748416</v>
      </c>
      <c r="BB254" s="67"/>
      <c r="BC254" s="67">
        <v>174984245</v>
      </c>
      <c r="BD254" s="67"/>
      <c r="BE254" s="67">
        <f t="shared" ref="BE254" si="786">+D254</f>
        <v>192186</v>
      </c>
      <c r="BF254" s="67"/>
      <c r="BG254" s="156">
        <f t="shared" ref="BG254" si="787">+BE254/BA254</f>
        <v>0.10992006479007284</v>
      </c>
      <c r="BH254" s="67"/>
      <c r="BI254" s="183"/>
      <c r="BJ254" s="67"/>
      <c r="BK254" s="67">
        <f t="shared" ref="BK254" si="788">SUM(BA248:BA254)</f>
        <v>11529540</v>
      </c>
      <c r="BL254" s="67"/>
      <c r="BM254" s="156">
        <f t="shared" ref="BM254" si="789">+Q254/BK254</f>
        <v>0.10099214712815949</v>
      </c>
      <c r="BN254" s="66">
        <f t="shared" ref="BN254" si="790">+BC254/BW254</f>
        <v>714221.40816326533</v>
      </c>
      <c r="BO254" s="67"/>
      <c r="BP254" s="67">
        <f t="shared" ref="BP254" si="791">+BP253+BE254</f>
        <v>11599491</v>
      </c>
      <c r="BQ254" s="67"/>
      <c r="BR254" s="478">
        <f t="shared" ref="BR254" si="792">+BP254/BC254</f>
        <v>6.6288773597874481E-2</v>
      </c>
      <c r="BS254" s="67"/>
      <c r="BT254" s="86"/>
      <c r="BU254" s="183"/>
      <c r="BV254" s="1"/>
      <c r="BW254" s="61">
        <f t="shared" si="189"/>
        <v>245</v>
      </c>
    </row>
    <row r="255" spans="2:75" x14ac:dyDescent="0.3">
      <c r="B255" s="171">
        <f t="shared" si="163"/>
        <v>44155</v>
      </c>
      <c r="C255" s="61"/>
      <c r="D255" s="17">
        <v>204179</v>
      </c>
      <c r="E255" s="16"/>
      <c r="F255" s="16"/>
      <c r="G255" s="16"/>
      <c r="H255" s="16">
        <f t="shared" ref="H255" si="793">+H254+D255</f>
        <v>12146317</v>
      </c>
      <c r="I255" s="16"/>
      <c r="J255" s="479">
        <f t="shared" ref="J255" si="794">+D255/H254</f>
        <v>1.7097357273881779E-2</v>
      </c>
      <c r="K255" s="16"/>
      <c r="L255" s="16"/>
      <c r="M255" s="16"/>
      <c r="N255" s="16">
        <f t="shared" ref="N255" si="795">SUM(D249:D255)</f>
        <v>1185045</v>
      </c>
      <c r="O255" s="16">
        <f t="shared" ref="O255" si="796">+H255/BW255</f>
        <v>49375.272357723574</v>
      </c>
      <c r="P255" s="41"/>
      <c r="Q255" s="17">
        <f t="shared" ref="Q255" si="797">SUM(D249:D255)</f>
        <v>1185045</v>
      </c>
      <c r="R255" s="16"/>
      <c r="S255" s="60">
        <f t="shared" ref="S255" si="798">+(Q255-Q248)/Q248</f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ref="AA255" si="799">+AA254+W255</f>
        <v>259465</v>
      </c>
      <c r="AB255" s="33"/>
      <c r="AC255" s="46">
        <f t="shared" ref="AC255" si="800">+AA255/H255</f>
        <v>2.1361619328723266E-2</v>
      </c>
      <c r="AD255" s="33"/>
      <c r="AE255" s="33">
        <f t="shared" ref="AE255" si="801">+AA255/BW255</f>
        <v>1054.7357723577236</v>
      </c>
      <c r="AF255" s="50"/>
      <c r="AG255" s="33">
        <f t="shared" ref="AG255" si="802">SUM(W249:W255)</f>
        <v>10220</v>
      </c>
      <c r="AH255" s="33">
        <f t="shared" ref="AH255" si="803">SUM(D226:D390)</f>
        <v>457414509.34662843</v>
      </c>
      <c r="AI255" s="231">
        <f t="shared" ref="AI255" si="804">+(AG255-AG248)/AG248</f>
        <v>0.34739617666446937</v>
      </c>
      <c r="AJ255" s="50"/>
      <c r="AK255" s="10"/>
      <c r="AL255" s="23">
        <f t="shared" ref="AL255" si="805">+AP255-AP254</f>
        <v>73572</v>
      </c>
      <c r="AM255" s="24"/>
      <c r="AN255" s="24"/>
      <c r="AO255" s="24">
        <v>178263</v>
      </c>
      <c r="AP255" s="24">
        <v>7317060</v>
      </c>
      <c r="AQ255" s="24"/>
      <c r="AR255" s="504">
        <f t="shared" ref="AR255" si="806">+AL255/AP254</f>
        <v>1.0156985143069196E-2</v>
      </c>
      <c r="AS255" s="25"/>
      <c r="AT255" s="25"/>
      <c r="AU255" s="24"/>
      <c r="AV255" s="341">
        <f t="shared" ref="AV255" si="807">+AP255/H255</f>
        <v>0.60240976750400965</v>
      </c>
      <c r="AW255" s="341"/>
      <c r="AX255" s="24">
        <f t="shared" ref="AX255" si="808">+AP255/BW255</f>
        <v>29744.146341463416</v>
      </c>
      <c r="AY255" s="351"/>
      <c r="AZ255" s="10"/>
      <c r="BA255" s="66">
        <f t="shared" ref="BA255" si="809">+BC255-BC254</f>
        <v>2172596</v>
      </c>
      <c r="BB255" s="67"/>
      <c r="BC255" s="67">
        <v>177156841</v>
      </c>
      <c r="BD255" s="67"/>
      <c r="BE255" s="67">
        <f t="shared" ref="BE255" si="810">+D255</f>
        <v>204179</v>
      </c>
      <c r="BF255" s="67"/>
      <c r="BG255" s="156">
        <f t="shared" ref="BG255" si="811">+BE255/BA255</f>
        <v>9.3979276404817097E-2</v>
      </c>
      <c r="BH255" s="67"/>
      <c r="BI255" s="183"/>
      <c r="BJ255" s="67"/>
      <c r="BK255" s="67">
        <f t="shared" ref="BK255" si="812">SUM(BA249:BA255)</f>
        <v>12015103</v>
      </c>
      <c r="BL255" s="67"/>
      <c r="BM255" s="156">
        <f t="shared" ref="BM255" si="813">+Q255/BK255</f>
        <v>9.8629616408615062E-2</v>
      </c>
      <c r="BN255" s="66">
        <f t="shared" ref="BN255" si="814">+BC255/BW255</f>
        <v>720149.7601626016</v>
      </c>
      <c r="BO255" s="67"/>
      <c r="BP255" s="67">
        <f t="shared" ref="BP255" si="815">+BP254+BE255</f>
        <v>11803670</v>
      </c>
      <c r="BQ255" s="67"/>
      <c r="BR255" s="478">
        <f t="shared" ref="BR255" si="816">+BP255/BC255</f>
        <v>6.6628361249679316E-2</v>
      </c>
      <c r="BS255" s="67"/>
      <c r="BT255" s="86"/>
      <c r="BU255" s="183"/>
      <c r="BV255" s="1"/>
      <c r="BW255" s="61">
        <f t="shared" si="189"/>
        <v>246</v>
      </c>
    </row>
    <row r="256" spans="2:75" x14ac:dyDescent="0.3">
      <c r="B256" s="171">
        <f t="shared" si="163"/>
        <v>44156</v>
      </c>
      <c r="C256" s="61"/>
      <c r="D256" s="17">
        <v>172839</v>
      </c>
      <c r="E256" s="16"/>
      <c r="F256" s="16"/>
      <c r="G256" s="16"/>
      <c r="H256" s="16">
        <f t="shared" ref="H256" si="817">+H255+D256</f>
        <v>12319156</v>
      </c>
      <c r="I256" s="16"/>
      <c r="J256" s="479">
        <f t="shared" ref="J256" si="818">+D256/H255</f>
        <v>1.4229745526977438E-2</v>
      </c>
      <c r="K256" s="16"/>
      <c r="L256" s="16"/>
      <c r="M256" s="16"/>
      <c r="N256" s="16">
        <f t="shared" ref="N256" si="819">SUM(D250:D256)</f>
        <v>1200631</v>
      </c>
      <c r="O256" s="16">
        <f t="shared" ref="O256" si="820">+H256/BW256</f>
        <v>49875.125506072873</v>
      </c>
      <c r="P256" s="41"/>
      <c r="Q256" s="17">
        <f t="shared" ref="Q256" si="821">SUM(D250:D256)</f>
        <v>1200631</v>
      </c>
      <c r="R256" s="16"/>
      <c r="S256" s="60">
        <f t="shared" ref="S256" si="822">+(Q256-Q249)/Q249</f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ref="AA256" si="823">+AA255+W256</f>
        <v>260925</v>
      </c>
      <c r="AB256" s="33"/>
      <c r="AC256" s="46">
        <f t="shared" ref="AC256" si="824">+AA256/H256</f>
        <v>2.118042826959899E-2</v>
      </c>
      <c r="AD256" s="33"/>
      <c r="AE256" s="33">
        <f t="shared" ref="AE256" si="825">+AA256/BW256</f>
        <v>1056.3765182186235</v>
      </c>
      <c r="AF256" s="50"/>
      <c r="AG256" s="33">
        <f t="shared" ref="AG256" si="826">SUM(W250:W256)</f>
        <v>10420</v>
      </c>
      <c r="AH256" s="33">
        <f t="shared" ref="AH256" si="827">SUM(D227:D391)</f>
        <v>457340208.34662843</v>
      </c>
      <c r="AI256" s="231">
        <f t="shared" ref="AI256" si="828">+(AG256-AG249)/AG249</f>
        <v>0.33350396723829023</v>
      </c>
      <c r="AJ256" s="50"/>
      <c r="AK256" s="10"/>
      <c r="AL256" s="23">
        <f t="shared" ref="AL256" si="829">+AP256-AP255</f>
        <v>86787</v>
      </c>
      <c r="AM256" s="24"/>
      <c r="AN256" s="24"/>
      <c r="AO256" s="24">
        <v>178263</v>
      </c>
      <c r="AP256" s="24">
        <v>7403847</v>
      </c>
      <c r="AQ256" s="24"/>
      <c r="AR256" s="504">
        <f t="shared" ref="AR256" si="830">+AL256/AP255</f>
        <v>1.1860911349640429E-2</v>
      </c>
      <c r="AS256" s="25"/>
      <c r="AT256" s="25"/>
      <c r="AU256" s="24"/>
      <c r="AV256" s="341">
        <f t="shared" ref="AV256" si="831">+AP256/H256</f>
        <v>0.60100277973588445</v>
      </c>
      <c r="AW256" s="341"/>
      <c r="AX256" s="24">
        <f t="shared" ref="AX256" si="832">+AP256/BW256</f>
        <v>29975.08906882591</v>
      </c>
      <c r="AY256" s="351"/>
      <c r="AZ256" s="10"/>
      <c r="BA256" s="66">
        <f t="shared" ref="BA256" si="833">+BC256-BC255</f>
        <v>1882866</v>
      </c>
      <c r="BB256" s="67"/>
      <c r="BC256" s="67">
        <v>179039707</v>
      </c>
      <c r="BD256" s="67"/>
      <c r="BE256" s="67">
        <f t="shared" ref="BE256" si="834">+D256</f>
        <v>172839</v>
      </c>
      <c r="BF256" s="67"/>
      <c r="BG256" s="156">
        <f t="shared" ref="BG256" si="835">+BE256/BA256</f>
        <v>9.1795698684877206E-2</v>
      </c>
      <c r="BH256" s="67"/>
      <c r="BI256" s="183"/>
      <c r="BJ256" s="67"/>
      <c r="BK256" s="67">
        <f t="shared" ref="BK256" si="836">SUM(BA250:BA256)</f>
        <v>12288223</v>
      </c>
      <c r="BL256" s="67"/>
      <c r="BM256" s="156">
        <f t="shared" ref="BM256" si="837">+Q256/BK256</f>
        <v>9.7705827766960282E-2</v>
      </c>
      <c r="BN256" s="66">
        <f t="shared" ref="BN256" si="838">+BC256/BW256</f>
        <v>724857.11336032394</v>
      </c>
      <c r="BO256" s="67"/>
      <c r="BP256" s="67">
        <f t="shared" ref="BP256" si="839">+BP255+BE256</f>
        <v>11976509</v>
      </c>
      <c r="BQ256" s="67"/>
      <c r="BR256" s="478">
        <f t="shared" ref="BR256" si="840">+BP256/BC256</f>
        <v>6.689303283991635E-2</v>
      </c>
      <c r="BS256" s="67"/>
      <c r="BT256" s="86"/>
      <c r="BU256" s="183"/>
      <c r="BV256" s="1"/>
      <c r="BW256" s="61">
        <f t="shared" si="189"/>
        <v>247</v>
      </c>
    </row>
    <row r="257" spans="2:85" x14ac:dyDescent="0.3">
      <c r="B257" s="390">
        <f t="shared" si="163"/>
        <v>44157</v>
      </c>
      <c r="C257" s="61"/>
      <c r="D257" s="17">
        <v>136627</v>
      </c>
      <c r="E257" s="16"/>
      <c r="F257" s="16"/>
      <c r="G257" s="16"/>
      <c r="H257" s="16">
        <f t="shared" ref="H257" si="841">+H256+D257</f>
        <v>12455783</v>
      </c>
      <c r="I257" s="16"/>
      <c r="J257" s="479">
        <f t="shared" ref="J257" si="842">+D257/H256</f>
        <v>1.1090613675157616E-2</v>
      </c>
      <c r="K257" s="16"/>
      <c r="L257" s="16"/>
      <c r="M257" s="16"/>
      <c r="N257" s="16">
        <f t="shared" ref="N257" si="843">SUM(D251:D257)</f>
        <v>1199009</v>
      </c>
      <c r="O257" s="16">
        <f t="shared" ref="O257" si="844">+H257/BW257</f>
        <v>50224.931451612902</v>
      </c>
      <c r="P257" s="41"/>
      <c r="Q257" s="17">
        <f t="shared" ref="Q257" si="845">SUM(D251:D257)</f>
        <v>1199009</v>
      </c>
      <c r="R257" s="16"/>
      <c r="S257" s="60">
        <f t="shared" ref="S257" si="846">+(Q257-Q250)/Q250</f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ref="AA257" si="847">+AA256+W257</f>
        <v>261791</v>
      </c>
      <c r="AB257" s="33"/>
      <c r="AC257" s="46">
        <f t="shared" ref="AC257" si="848">+AA257/H257</f>
        <v>2.1017626912736037E-2</v>
      </c>
      <c r="AD257" s="33"/>
      <c r="AE257" s="33">
        <f t="shared" ref="AE257" si="849">+AA257/BW257</f>
        <v>1055.608870967742</v>
      </c>
      <c r="AF257" s="50"/>
      <c r="AG257" s="33">
        <f t="shared" ref="AG257" si="850">SUM(W251:W257)</f>
        <v>10707</v>
      </c>
      <c r="AH257" s="33">
        <f t="shared" ref="AH257" si="851">SUM(D228:D392)</f>
        <v>457258794.34662843</v>
      </c>
      <c r="AI257" s="231">
        <f t="shared" ref="AI257" si="852">+(AG257-AG250)/AG250</f>
        <v>0.35858393604872479</v>
      </c>
      <c r="AJ257" s="50"/>
      <c r="AK257" s="10"/>
      <c r="AL257" s="23">
        <f t="shared" ref="AL257" si="853">+AP257-AP256</f>
        <v>48693</v>
      </c>
      <c r="AM257" s="24"/>
      <c r="AN257" s="24"/>
      <c r="AO257" s="24">
        <v>178263</v>
      </c>
      <c r="AP257" s="24">
        <v>7452540</v>
      </c>
      <c r="AQ257" s="24"/>
      <c r="AR257" s="504">
        <f t="shared" ref="AR257" si="854">+AL257/AP256</f>
        <v>6.5767161314921824E-3</v>
      </c>
      <c r="AS257" s="25"/>
      <c r="AT257" s="25"/>
      <c r="AU257" s="24"/>
      <c r="AV257" s="341">
        <f t="shared" ref="AV257" si="855">+AP257/H257</f>
        <v>0.59831967207521197</v>
      </c>
      <c r="AW257" s="341"/>
      <c r="AX257" s="24">
        <f t="shared" ref="AX257" si="856">+AP257/BW257</f>
        <v>30050.564516129034</v>
      </c>
      <c r="AY257" s="351"/>
      <c r="AZ257" s="10"/>
      <c r="BA257" s="66">
        <f t="shared" ref="BA257" si="857">+BC257-BC256</f>
        <v>1632877</v>
      </c>
      <c r="BB257" s="67"/>
      <c r="BC257" s="67">
        <v>180672584</v>
      </c>
      <c r="BD257" s="67"/>
      <c r="BE257" s="67">
        <f t="shared" ref="BE257" si="858">+D257</f>
        <v>136627</v>
      </c>
      <c r="BF257" s="67"/>
      <c r="BG257" s="156">
        <f t="shared" ref="BG257" si="859">+BE257/BA257</f>
        <v>8.3672560762384426E-2</v>
      </c>
      <c r="BH257" s="67"/>
      <c r="BI257" s="183"/>
      <c r="BJ257" s="67"/>
      <c r="BK257" s="67">
        <f t="shared" ref="BK257" si="860">SUM(BA251:BA257)</f>
        <v>12516740</v>
      </c>
      <c r="BL257" s="67"/>
      <c r="BM257" s="156">
        <f t="shared" ref="BM257" si="861">+Q257/BK257</f>
        <v>9.5792434771354198E-2</v>
      </c>
      <c r="BN257" s="66">
        <f t="shared" ref="BN257" si="862">+BC257/BW257</f>
        <v>728518.48387096776</v>
      </c>
      <c r="BO257" s="67"/>
      <c r="BP257" s="67">
        <f t="shared" ref="BP257" si="863">+BP256+BE257</f>
        <v>12113136</v>
      </c>
      <c r="BQ257" s="67"/>
      <c r="BR257" s="478">
        <f t="shared" ref="BR257" si="864">+BP257/BC257</f>
        <v>6.7044682329887972E-2</v>
      </c>
      <c r="BS257" s="67"/>
      <c r="BT257" s="86"/>
      <c r="BU257" s="183"/>
      <c r="BV257" s="1"/>
      <c r="BW257" s="61">
        <f t="shared" si="189"/>
        <v>248</v>
      </c>
    </row>
    <row r="258" spans="2:85" x14ac:dyDescent="0.3">
      <c r="B258" s="171">
        <f t="shared" si="163"/>
        <v>44158</v>
      </c>
      <c r="C258" s="61"/>
      <c r="D258" s="17"/>
      <c r="E258" s="16"/>
      <c r="F258" s="16"/>
      <c r="G258" s="16"/>
      <c r="H258" s="16"/>
      <c r="I258" s="16"/>
      <c r="J258" s="479"/>
      <c r="K258" s="16"/>
      <c r="L258" s="16"/>
      <c r="M258" s="16"/>
      <c r="N258" s="16"/>
      <c r="O258" s="16"/>
      <c r="P258" s="41"/>
      <c r="Q258" s="17"/>
      <c r="R258" s="16"/>
      <c r="S258" s="60"/>
      <c r="T258" s="16"/>
      <c r="U258" s="41"/>
      <c r="V258" s="10"/>
      <c r="W258" s="34"/>
      <c r="X258" s="33"/>
      <c r="Y258" s="33"/>
      <c r="Z258" s="33"/>
      <c r="AA258" s="33"/>
      <c r="AB258" s="33"/>
      <c r="AC258" s="46"/>
      <c r="AD258" s="33"/>
      <c r="AE258" s="33"/>
      <c r="AF258" s="50"/>
      <c r="AG258" s="33"/>
      <c r="AH258" s="33"/>
      <c r="AI258" s="231"/>
      <c r="AJ258" s="50"/>
      <c r="AK258" s="10"/>
      <c r="AL258" s="23"/>
      <c r="AM258" s="24"/>
      <c r="AN258" s="24"/>
      <c r="AO258" s="24"/>
      <c r="AP258" s="24"/>
      <c r="AQ258" s="24"/>
      <c r="AR258" s="504"/>
      <c r="AS258" s="25"/>
      <c r="AT258" s="25"/>
      <c r="AU258" s="24"/>
      <c r="AV258" s="341"/>
      <c r="AW258" s="341"/>
      <c r="AX258" s="24"/>
      <c r="AY258" s="351"/>
      <c r="AZ258" s="10"/>
      <c r="BA258" s="66"/>
      <c r="BB258" s="67"/>
      <c r="BC258" s="67"/>
      <c r="BD258" s="67"/>
      <c r="BE258" s="67"/>
      <c r="BF258" s="67"/>
      <c r="BG258" s="156"/>
      <c r="BH258" s="67"/>
      <c r="BI258" s="183"/>
      <c r="BJ258" s="67"/>
      <c r="BK258" s="67"/>
      <c r="BL258" s="67"/>
      <c r="BM258" s="156"/>
      <c r="BN258" s="66"/>
      <c r="BO258" s="67"/>
      <c r="BP258" s="67"/>
      <c r="BQ258" s="67"/>
      <c r="BR258" s="478"/>
      <c r="BS258" s="67"/>
      <c r="BT258" s="86"/>
      <c r="BU258" s="183"/>
      <c r="BV258" s="1"/>
      <c r="BW258" s="61"/>
    </row>
    <row r="259" spans="2:85" x14ac:dyDescent="0.3">
      <c r="B259" s="171">
        <f t="shared" si="163"/>
        <v>44159</v>
      </c>
      <c r="C259" s="61"/>
      <c r="D259" s="17"/>
      <c r="E259" s="16"/>
      <c r="F259" s="16"/>
      <c r="G259" s="16"/>
      <c r="H259" s="16"/>
      <c r="I259" s="16"/>
      <c r="J259" s="479"/>
      <c r="K259" s="16"/>
      <c r="L259" s="16"/>
      <c r="M259" s="16"/>
      <c r="N259" s="16"/>
      <c r="O259" s="16"/>
      <c r="P259" s="41"/>
      <c r="Q259" s="17"/>
      <c r="R259" s="16"/>
      <c r="S259" s="60"/>
      <c r="T259" s="16"/>
      <c r="U259" s="41"/>
      <c r="V259" s="10"/>
      <c r="W259" s="34"/>
      <c r="X259" s="33"/>
      <c r="Y259" s="33"/>
      <c r="Z259" s="33"/>
      <c r="AA259" s="33"/>
      <c r="AB259" s="33"/>
      <c r="AC259" s="46"/>
      <c r="AD259" s="33"/>
      <c r="AE259" s="33"/>
      <c r="AF259" s="50"/>
      <c r="AG259" s="33"/>
      <c r="AH259" s="33"/>
      <c r="AI259" s="231"/>
      <c r="AJ259" s="50"/>
      <c r="AK259" s="10"/>
      <c r="AL259" s="23"/>
      <c r="AM259" s="24"/>
      <c r="AN259" s="24"/>
      <c r="AO259" s="24"/>
      <c r="AP259" s="24"/>
      <c r="AQ259" s="24"/>
      <c r="AR259" s="504"/>
      <c r="AS259" s="25"/>
      <c r="AT259" s="25"/>
      <c r="AU259" s="24"/>
      <c r="AV259" s="341"/>
      <c r="AW259" s="341"/>
      <c r="AX259" s="24"/>
      <c r="AY259" s="351"/>
      <c r="AZ259" s="10"/>
      <c r="BA259" s="66"/>
      <c r="BB259" s="67"/>
      <c r="BC259" s="67"/>
      <c r="BD259" s="67"/>
      <c r="BE259" s="67"/>
      <c r="BF259" s="67"/>
      <c r="BG259" s="156"/>
      <c r="BH259" s="67"/>
      <c r="BI259" s="183"/>
      <c r="BJ259" s="67"/>
      <c r="BK259" s="67"/>
      <c r="BL259" s="67"/>
      <c r="BM259" s="156"/>
      <c r="BN259" s="66"/>
      <c r="BO259" s="67"/>
      <c r="BP259" s="67"/>
      <c r="BQ259" s="67"/>
      <c r="BR259" s="478"/>
      <c r="BS259" s="67"/>
      <c r="BT259" s="86"/>
      <c r="BU259" s="183"/>
      <c r="BV259" s="1"/>
      <c r="BW259" s="61"/>
    </row>
    <row r="260" spans="2:85" x14ac:dyDescent="0.3">
      <c r="B260" s="171">
        <f t="shared" si="163"/>
        <v>44160</v>
      </c>
      <c r="C260" s="61"/>
      <c r="D260" s="17"/>
      <c r="E260" s="16"/>
      <c r="F260" s="16"/>
      <c r="G260" s="16"/>
      <c r="H260" s="16"/>
      <c r="I260" s="16"/>
      <c r="J260" s="479"/>
      <c r="K260" s="16"/>
      <c r="L260" s="16"/>
      <c r="M260" s="16"/>
      <c r="N260" s="16"/>
      <c r="O260" s="16"/>
      <c r="P260" s="41"/>
      <c r="Q260" s="17"/>
      <c r="R260" s="16"/>
      <c r="S260" s="60"/>
      <c r="T260" s="16"/>
      <c r="U260" s="41"/>
      <c r="V260" s="10"/>
      <c r="W260" s="34"/>
      <c r="X260" s="33"/>
      <c r="Y260" s="33"/>
      <c r="Z260" s="33"/>
      <c r="AA260" s="33"/>
      <c r="AB260" s="33"/>
      <c r="AC260" s="46"/>
      <c r="AD260" s="33"/>
      <c r="AE260" s="33"/>
      <c r="AF260" s="50"/>
      <c r="AG260" s="33"/>
      <c r="AH260" s="33"/>
      <c r="AI260" s="231"/>
      <c r="AJ260" s="50"/>
      <c r="AK260" s="10"/>
      <c r="AL260" s="23"/>
      <c r="AM260" s="24"/>
      <c r="AN260" s="24"/>
      <c r="AO260" s="24"/>
      <c r="AP260" s="24"/>
      <c r="AQ260" s="24"/>
      <c r="AR260" s="504"/>
      <c r="AS260" s="25"/>
      <c r="AT260" s="25"/>
      <c r="AU260" s="24"/>
      <c r="AV260" s="341"/>
      <c r="AW260" s="341"/>
      <c r="AX260" s="24"/>
      <c r="AY260" s="351"/>
      <c r="AZ260" s="10"/>
      <c r="BA260" s="66"/>
      <c r="BB260" s="67"/>
      <c r="BC260" s="67"/>
      <c r="BD260" s="67"/>
      <c r="BE260" s="67"/>
      <c r="BF260" s="67"/>
      <c r="BG260" s="156"/>
      <c r="BH260" s="67"/>
      <c r="BI260" s="183"/>
      <c r="BJ260" s="67"/>
      <c r="BK260" s="592"/>
      <c r="BL260" s="67"/>
      <c r="BM260" s="156"/>
      <c r="BN260" s="66"/>
      <c r="BO260" s="67"/>
      <c r="BP260" s="67"/>
      <c r="BQ260" s="67"/>
      <c r="BR260" s="478"/>
      <c r="BS260" s="67"/>
      <c r="BT260" s="86"/>
      <c r="BU260" s="183"/>
      <c r="BV260" s="1"/>
      <c r="BW260" s="61">
        <f>+BW246+1</f>
        <v>238</v>
      </c>
    </row>
    <row r="261" spans="2:85" x14ac:dyDescent="0.3">
      <c r="B261" s="171">
        <f t="shared" si="163"/>
        <v>44161</v>
      </c>
      <c r="C261" s="61"/>
      <c r="D261" s="17"/>
      <c r="E261" s="16"/>
      <c r="F261" s="16"/>
      <c r="G261" s="16"/>
      <c r="H261" s="16"/>
      <c r="I261" s="16"/>
      <c r="J261" s="479"/>
      <c r="K261" s="16"/>
      <c r="L261" s="16"/>
      <c r="M261" s="16"/>
      <c r="N261" s="16"/>
      <c r="O261" s="16"/>
      <c r="P261" s="41"/>
      <c r="Q261" s="453"/>
      <c r="R261" s="16"/>
      <c r="S261" s="60"/>
      <c r="T261" s="16"/>
      <c r="U261" s="41"/>
      <c r="V261" s="10"/>
      <c r="W261" s="34"/>
      <c r="X261" s="33"/>
      <c r="Y261" s="33"/>
      <c r="Z261" s="33"/>
      <c r="AA261" s="33"/>
      <c r="AB261" s="33"/>
      <c r="AC261" s="46"/>
      <c r="AD261" s="33"/>
      <c r="AE261" s="33"/>
      <c r="AF261" s="50"/>
      <c r="AG261" s="33"/>
      <c r="AH261" s="33"/>
      <c r="AI261" s="231"/>
      <c r="AJ261" s="50"/>
      <c r="AK261" s="10"/>
      <c r="AL261" s="23"/>
      <c r="AM261" s="24"/>
      <c r="AN261" s="24"/>
      <c r="AO261" s="24"/>
      <c r="AP261" s="24"/>
      <c r="AQ261" s="24"/>
      <c r="AR261" s="504"/>
      <c r="AS261" s="25"/>
      <c r="AT261" s="25"/>
      <c r="AU261" s="24"/>
      <c r="AV261" s="341"/>
      <c r="AW261" s="341"/>
      <c r="AX261" s="24"/>
      <c r="AY261" s="351"/>
      <c r="AZ261" s="10"/>
      <c r="BA261" s="66"/>
      <c r="BB261" s="67"/>
      <c r="BC261" s="67"/>
      <c r="BD261" s="67"/>
      <c r="BE261" s="67"/>
      <c r="BF261" s="67"/>
      <c r="BG261" s="156"/>
      <c r="BH261" s="67"/>
      <c r="BI261" s="183"/>
      <c r="BJ261" s="67"/>
      <c r="BK261" s="67"/>
      <c r="BL261" s="67"/>
      <c r="BM261" s="156"/>
      <c r="BN261" s="66"/>
      <c r="BO261" s="67"/>
      <c r="BP261" s="67"/>
      <c r="BQ261" s="67"/>
      <c r="BR261" s="478"/>
      <c r="BS261" s="67"/>
      <c r="BT261" s="86"/>
      <c r="BU261" s="183"/>
      <c r="BV261" s="1"/>
      <c r="BW261" s="61">
        <f t="shared" si="189"/>
        <v>239</v>
      </c>
    </row>
    <row r="262" spans="2:85" x14ac:dyDescent="0.3">
      <c r="B262" s="171">
        <f t="shared" si="163"/>
        <v>44162</v>
      </c>
      <c r="D262" s="18"/>
      <c r="E262" s="19"/>
      <c r="F262" s="19"/>
      <c r="G262" s="19"/>
      <c r="H262" s="19"/>
      <c r="I262" s="19"/>
      <c r="J262" s="39"/>
      <c r="K262" s="19"/>
      <c r="L262" s="19"/>
      <c r="M262" s="19"/>
      <c r="N262" s="19"/>
      <c r="O262" s="19"/>
      <c r="P262" s="43"/>
      <c r="Q262" s="18"/>
      <c r="R262" s="19"/>
      <c r="S262" s="19"/>
      <c r="T262" s="19"/>
      <c r="U262" s="43"/>
      <c r="V262" s="1"/>
      <c r="W262" s="35"/>
      <c r="X262" s="36"/>
      <c r="Y262" s="36"/>
      <c r="Z262" s="36"/>
      <c r="AA262" s="36"/>
      <c r="AB262" s="36"/>
      <c r="AC262" s="47"/>
      <c r="AD262" s="36"/>
      <c r="AE262" s="36"/>
      <c r="AF262" s="51"/>
      <c r="AG262" s="36"/>
      <c r="AH262" s="36"/>
      <c r="AI262" s="36"/>
      <c r="AJ262" s="51"/>
      <c r="AK262" s="1"/>
      <c r="AL262" s="26"/>
      <c r="AM262" s="27"/>
      <c r="AN262" s="27"/>
      <c r="AO262" s="27"/>
      <c r="AP262" s="27"/>
      <c r="AQ262" s="27"/>
      <c r="AR262" s="27"/>
      <c r="AS262" s="27"/>
      <c r="AT262" s="27"/>
      <c r="AU262" s="27"/>
      <c r="AV262" s="343"/>
      <c r="AW262" s="343"/>
      <c r="AX262" s="27"/>
      <c r="AY262" s="350"/>
      <c r="AZ262" s="1"/>
      <c r="BA262" s="68"/>
      <c r="BB262" s="69"/>
      <c r="BC262" s="69"/>
      <c r="BD262" s="69"/>
      <c r="BE262" s="69"/>
      <c r="BF262" s="69"/>
      <c r="BG262" s="69"/>
      <c r="BH262" s="69"/>
      <c r="BI262" s="184"/>
      <c r="BJ262" s="69"/>
      <c r="BK262" s="69"/>
      <c r="BL262" s="69"/>
      <c r="BM262" s="69"/>
      <c r="BN262" s="68"/>
      <c r="BO262" s="69"/>
      <c r="BP262" s="69"/>
      <c r="BQ262" s="69"/>
      <c r="BR262" s="71"/>
      <c r="BS262" s="69"/>
      <c r="BT262" s="69"/>
      <c r="BU262" s="184"/>
      <c r="BV262" s="1"/>
      <c r="BW262" s="61">
        <f t="shared" si="189"/>
        <v>240</v>
      </c>
    </row>
    <row r="263" spans="2:85" x14ac:dyDescent="0.3">
      <c r="B263" s="56"/>
      <c r="D263" s="1"/>
      <c r="E263" s="1"/>
      <c r="F263" s="1"/>
      <c r="G263" s="1"/>
      <c r="H263" s="59"/>
      <c r="I263" s="1"/>
      <c r="J263" s="5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59"/>
      <c r="X263" s="1"/>
      <c r="Y263" s="1"/>
      <c r="Z263" s="1"/>
      <c r="AA263" s="1"/>
      <c r="AB263" s="1"/>
      <c r="AC263" s="59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59"/>
      <c r="BD263" s="1"/>
      <c r="BE263" s="59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2:85" x14ac:dyDescent="0.3">
      <c r="B264" s="179" t="s">
        <v>82</v>
      </c>
      <c r="D264" s="56">
        <f>+D257</f>
        <v>136627</v>
      </c>
      <c r="E264" s="56">
        <f t="shared" ref="E264:G264" si="865">+E238</f>
        <v>0</v>
      </c>
      <c r="F264" s="56">
        <f t="shared" si="865"/>
        <v>0</v>
      </c>
      <c r="G264" s="56">
        <f t="shared" si="865"/>
        <v>0</v>
      </c>
      <c r="H264" s="56">
        <f t="shared" ref="H264:BR264" si="866">+H257</f>
        <v>12455783</v>
      </c>
      <c r="I264" s="56">
        <f t="shared" si="866"/>
        <v>0</v>
      </c>
      <c r="J264" s="56">
        <f t="shared" si="866"/>
        <v>1.1090613675157616E-2</v>
      </c>
      <c r="K264" s="56">
        <f t="shared" si="866"/>
        <v>0</v>
      </c>
      <c r="L264" s="56">
        <f t="shared" si="866"/>
        <v>0</v>
      </c>
      <c r="M264" s="56">
        <f t="shared" si="866"/>
        <v>0</v>
      </c>
      <c r="N264" s="56">
        <f t="shared" si="866"/>
        <v>1199009</v>
      </c>
      <c r="O264" s="56">
        <f t="shared" si="866"/>
        <v>50224.931451612902</v>
      </c>
      <c r="P264" s="56">
        <f t="shared" si="866"/>
        <v>0</v>
      </c>
      <c r="Q264" s="56">
        <f t="shared" si="866"/>
        <v>1199009</v>
      </c>
      <c r="R264" s="56">
        <f t="shared" si="866"/>
        <v>0</v>
      </c>
      <c r="S264" s="56">
        <f t="shared" si="866"/>
        <v>0.14757689856032344</v>
      </c>
      <c r="T264" s="56">
        <f t="shared" si="866"/>
        <v>0</v>
      </c>
      <c r="U264" s="56">
        <f t="shared" si="866"/>
        <v>0</v>
      </c>
      <c r="V264" s="56">
        <f t="shared" si="866"/>
        <v>149</v>
      </c>
      <c r="W264" s="56">
        <f t="shared" si="866"/>
        <v>866</v>
      </c>
      <c r="X264" s="56">
        <f t="shared" si="866"/>
        <v>0</v>
      </c>
      <c r="Y264" s="56">
        <f t="shared" si="866"/>
        <v>0</v>
      </c>
      <c r="Z264" s="56">
        <f t="shared" si="866"/>
        <v>0</v>
      </c>
      <c r="AA264" s="56">
        <f t="shared" si="866"/>
        <v>261791</v>
      </c>
      <c r="AB264" s="56">
        <f t="shared" si="866"/>
        <v>0</v>
      </c>
      <c r="AC264" s="56">
        <f t="shared" si="866"/>
        <v>2.1017626912736037E-2</v>
      </c>
      <c r="AD264" s="56">
        <f t="shared" si="866"/>
        <v>0</v>
      </c>
      <c r="AE264" s="56">
        <f t="shared" si="866"/>
        <v>1055.608870967742</v>
      </c>
      <c r="AF264" s="56">
        <f t="shared" si="866"/>
        <v>0</v>
      </c>
      <c r="AG264" s="56">
        <f t="shared" si="866"/>
        <v>10707</v>
      </c>
      <c r="AH264" s="56">
        <f t="shared" si="866"/>
        <v>457258794.34662843</v>
      </c>
      <c r="AI264" s="56">
        <f t="shared" si="866"/>
        <v>0.35858393604872479</v>
      </c>
      <c r="AJ264" s="56">
        <f t="shared" si="866"/>
        <v>0</v>
      </c>
      <c r="AK264" s="56">
        <f t="shared" si="866"/>
        <v>0</v>
      </c>
      <c r="AL264" s="56">
        <f t="shared" si="866"/>
        <v>48693</v>
      </c>
      <c r="AM264" s="56">
        <f t="shared" si="866"/>
        <v>0</v>
      </c>
      <c r="AN264" s="56">
        <f t="shared" si="866"/>
        <v>0</v>
      </c>
      <c r="AO264" s="56">
        <f t="shared" si="866"/>
        <v>178263</v>
      </c>
      <c r="AP264" s="56">
        <f t="shared" si="866"/>
        <v>7452540</v>
      </c>
      <c r="AQ264" s="56">
        <f t="shared" si="866"/>
        <v>0</v>
      </c>
      <c r="AR264" s="56">
        <f t="shared" si="866"/>
        <v>6.5767161314921824E-3</v>
      </c>
      <c r="AS264" s="56">
        <f t="shared" si="866"/>
        <v>0</v>
      </c>
      <c r="AT264" s="56">
        <f t="shared" si="866"/>
        <v>0</v>
      </c>
      <c r="AU264" s="56">
        <f t="shared" si="866"/>
        <v>0</v>
      </c>
      <c r="AV264" s="56">
        <f t="shared" si="866"/>
        <v>0.59831967207521197</v>
      </c>
      <c r="AW264" s="56">
        <f t="shared" si="866"/>
        <v>0</v>
      </c>
      <c r="AX264" s="56">
        <f t="shared" si="866"/>
        <v>30050.564516129034</v>
      </c>
      <c r="AY264" s="56">
        <f t="shared" si="866"/>
        <v>0</v>
      </c>
      <c r="AZ264" s="56">
        <f t="shared" si="866"/>
        <v>0</v>
      </c>
      <c r="BA264" s="56">
        <f t="shared" si="866"/>
        <v>1632877</v>
      </c>
      <c r="BB264" s="56">
        <f t="shared" si="866"/>
        <v>0</v>
      </c>
      <c r="BC264" s="56">
        <f t="shared" si="866"/>
        <v>180672584</v>
      </c>
      <c r="BD264" s="56">
        <f t="shared" si="866"/>
        <v>0</v>
      </c>
      <c r="BE264" s="56">
        <f t="shared" si="866"/>
        <v>136627</v>
      </c>
      <c r="BF264" s="56">
        <f t="shared" si="866"/>
        <v>0</v>
      </c>
      <c r="BG264" s="56">
        <f t="shared" si="866"/>
        <v>8.3672560762384426E-2</v>
      </c>
      <c r="BH264" s="56">
        <f t="shared" si="866"/>
        <v>0</v>
      </c>
      <c r="BI264" s="56">
        <f t="shared" si="866"/>
        <v>0</v>
      </c>
      <c r="BJ264" s="56">
        <f t="shared" si="866"/>
        <v>0</v>
      </c>
      <c r="BK264" s="56">
        <f t="shared" si="866"/>
        <v>12516740</v>
      </c>
      <c r="BL264" s="56">
        <f t="shared" si="866"/>
        <v>0</v>
      </c>
      <c r="BM264" s="56">
        <f t="shared" si="866"/>
        <v>9.5792434771354198E-2</v>
      </c>
      <c r="BN264" s="56">
        <f t="shared" si="866"/>
        <v>728518.48387096776</v>
      </c>
      <c r="BO264" s="56">
        <f t="shared" si="866"/>
        <v>0</v>
      </c>
      <c r="BP264" s="56">
        <f t="shared" si="866"/>
        <v>12113136</v>
      </c>
      <c r="BQ264" s="56">
        <f t="shared" si="866"/>
        <v>0</v>
      </c>
      <c r="BR264" s="56">
        <f t="shared" si="866"/>
        <v>6.7044682329887972E-2</v>
      </c>
      <c r="BS264" s="56">
        <f t="shared" ref="BS264" si="867">+BS248</f>
        <v>0</v>
      </c>
      <c r="BT264" s="10"/>
      <c r="BU264" s="10"/>
      <c r="BV264" s="10"/>
      <c r="BW264" s="160"/>
      <c r="BX264" s="10"/>
      <c r="BY264" s="62"/>
      <c r="BZ264" s="10"/>
      <c r="CA264" s="160"/>
      <c r="CB264" s="61"/>
      <c r="CC264" s="61"/>
      <c r="CD264" s="61"/>
      <c r="CE264" s="61"/>
      <c r="CF264" s="61"/>
      <c r="CG264" s="157"/>
    </row>
    <row r="265" spans="2:85" x14ac:dyDescent="0.3">
      <c r="B265" t="s">
        <v>118</v>
      </c>
      <c r="D265" s="56">
        <f>+D256-D264</f>
        <v>36212</v>
      </c>
      <c r="E265" s="56">
        <f t="shared" ref="E265:G265" si="868">+E237-E264</f>
        <v>0</v>
      </c>
      <c r="F265" s="56">
        <f t="shared" si="868"/>
        <v>0</v>
      </c>
      <c r="G265" s="56">
        <f t="shared" si="868"/>
        <v>0</v>
      </c>
      <c r="H265" s="56">
        <f t="shared" ref="H265:BR265" si="869">+H256-H264</f>
        <v>-136627</v>
      </c>
      <c r="I265" s="56">
        <f t="shared" si="869"/>
        <v>0</v>
      </c>
      <c r="J265" s="56">
        <f t="shared" si="869"/>
        <v>3.1391318518198211E-3</v>
      </c>
      <c r="K265" s="56">
        <f t="shared" si="869"/>
        <v>0</v>
      </c>
      <c r="L265" s="56">
        <f t="shared" si="869"/>
        <v>0</v>
      </c>
      <c r="M265" s="56">
        <f t="shared" si="869"/>
        <v>0</v>
      </c>
      <c r="N265" s="56">
        <f t="shared" si="869"/>
        <v>1622</v>
      </c>
      <c r="O265" s="56">
        <f t="shared" si="869"/>
        <v>-349.80594554002892</v>
      </c>
      <c r="P265" s="56">
        <f t="shared" si="869"/>
        <v>0</v>
      </c>
      <c r="Q265" s="56">
        <f t="shared" si="869"/>
        <v>1622</v>
      </c>
      <c r="R265" s="56">
        <f t="shared" si="869"/>
        <v>0</v>
      </c>
      <c r="S265" s="56">
        <f t="shared" si="869"/>
        <v>4.1997011941561552E-2</v>
      </c>
      <c r="T265" s="56">
        <f t="shared" si="869"/>
        <v>0</v>
      </c>
      <c r="U265" s="56">
        <f t="shared" si="869"/>
        <v>0</v>
      </c>
      <c r="V265" s="56">
        <f t="shared" si="869"/>
        <v>-1</v>
      </c>
      <c r="W265" s="56">
        <f t="shared" si="869"/>
        <v>594</v>
      </c>
      <c r="X265" s="56">
        <f t="shared" si="869"/>
        <v>0</v>
      </c>
      <c r="Y265" s="56">
        <f t="shared" si="869"/>
        <v>0</v>
      </c>
      <c r="Z265" s="56">
        <f t="shared" si="869"/>
        <v>0</v>
      </c>
      <c r="AA265" s="56">
        <f t="shared" si="869"/>
        <v>-866</v>
      </c>
      <c r="AB265" s="56">
        <f t="shared" si="869"/>
        <v>0</v>
      </c>
      <c r="AC265" s="56">
        <f t="shared" si="869"/>
        <v>1.62801356862953E-4</v>
      </c>
      <c r="AD265" s="56">
        <f t="shared" si="869"/>
        <v>0</v>
      </c>
      <c r="AE265" s="56">
        <f t="shared" si="869"/>
        <v>0.76764725088150954</v>
      </c>
      <c r="AF265" s="56">
        <f t="shared" si="869"/>
        <v>0</v>
      </c>
      <c r="AG265" s="56">
        <f t="shared" si="869"/>
        <v>-287</v>
      </c>
      <c r="AH265" s="56">
        <f t="shared" si="869"/>
        <v>81414</v>
      </c>
      <c r="AI265" s="56">
        <f t="shared" si="869"/>
        <v>-2.5079968810434561E-2</v>
      </c>
      <c r="AJ265" s="56">
        <f t="shared" si="869"/>
        <v>0</v>
      </c>
      <c r="AK265" s="56">
        <f t="shared" si="869"/>
        <v>0</v>
      </c>
      <c r="AL265" s="56">
        <f t="shared" si="869"/>
        <v>38094</v>
      </c>
      <c r="AM265" s="56">
        <f t="shared" si="869"/>
        <v>0</v>
      </c>
      <c r="AN265" s="56">
        <f t="shared" si="869"/>
        <v>0</v>
      </c>
      <c r="AO265" s="56">
        <f t="shared" si="869"/>
        <v>0</v>
      </c>
      <c r="AP265" s="56">
        <f t="shared" si="869"/>
        <v>-48693</v>
      </c>
      <c r="AQ265" s="56">
        <f t="shared" si="869"/>
        <v>0</v>
      </c>
      <c r="AR265" s="56">
        <f t="shared" si="869"/>
        <v>5.2841952181482471E-3</v>
      </c>
      <c r="AS265" s="56">
        <f t="shared" si="869"/>
        <v>0</v>
      </c>
      <c r="AT265" s="56">
        <f t="shared" si="869"/>
        <v>0</v>
      </c>
      <c r="AU265" s="56">
        <f t="shared" si="869"/>
        <v>0</v>
      </c>
      <c r="AV265" s="56">
        <f t="shared" si="869"/>
        <v>2.6831076606724791E-3</v>
      </c>
      <c r="AW265" s="56">
        <f t="shared" si="869"/>
        <v>0</v>
      </c>
      <c r="AX265" s="56">
        <f t="shared" si="869"/>
        <v>-75.475447303124383</v>
      </c>
      <c r="AY265" s="56">
        <f t="shared" si="869"/>
        <v>0</v>
      </c>
      <c r="AZ265" s="56">
        <f t="shared" si="869"/>
        <v>0</v>
      </c>
      <c r="BA265" s="56">
        <f t="shared" si="869"/>
        <v>249989</v>
      </c>
      <c r="BB265" s="56">
        <f t="shared" si="869"/>
        <v>0</v>
      </c>
      <c r="BC265" s="56">
        <f t="shared" si="869"/>
        <v>-1632877</v>
      </c>
      <c r="BD265" s="56">
        <f t="shared" si="869"/>
        <v>0</v>
      </c>
      <c r="BE265" s="56">
        <f t="shared" si="869"/>
        <v>36212</v>
      </c>
      <c r="BF265" s="56">
        <f t="shared" si="869"/>
        <v>0</v>
      </c>
      <c r="BG265" s="56">
        <f t="shared" si="869"/>
        <v>8.1231379224927791E-3</v>
      </c>
      <c r="BH265" s="56">
        <f t="shared" si="869"/>
        <v>0</v>
      </c>
      <c r="BI265" s="56">
        <f t="shared" si="869"/>
        <v>0</v>
      </c>
      <c r="BJ265" s="56">
        <f t="shared" si="869"/>
        <v>0</v>
      </c>
      <c r="BK265" s="56">
        <f t="shared" si="869"/>
        <v>-228517</v>
      </c>
      <c r="BL265" s="56">
        <f t="shared" si="869"/>
        <v>0</v>
      </c>
      <c r="BM265" s="56">
        <f t="shared" si="869"/>
        <v>1.9133929956060836E-3</v>
      </c>
      <c r="BN265" s="56">
        <f t="shared" si="869"/>
        <v>-3661.3705106438138</v>
      </c>
      <c r="BO265" s="56">
        <f t="shared" si="869"/>
        <v>0</v>
      </c>
      <c r="BP265" s="56">
        <f t="shared" si="869"/>
        <v>-136627</v>
      </c>
      <c r="BQ265" s="56">
        <f t="shared" si="869"/>
        <v>0</v>
      </c>
      <c r="BR265" s="56">
        <f t="shared" si="869"/>
        <v>-1.5164948997162253E-4</v>
      </c>
      <c r="BS265" s="56">
        <f t="shared" ref="BS265" si="870">+BS247-BS264</f>
        <v>0</v>
      </c>
      <c r="BT265" s="10"/>
      <c r="BU265" s="10"/>
      <c r="BV265" s="10"/>
      <c r="BW265" s="62"/>
      <c r="BX265" s="10"/>
      <c r="BY265" s="10"/>
      <c r="BZ265" s="10"/>
      <c r="CA265" s="62"/>
      <c r="CB265" s="61"/>
      <c r="CC265" s="61"/>
      <c r="CD265" s="61"/>
      <c r="CE265" s="61"/>
      <c r="CF265" s="61"/>
      <c r="CG265" s="117"/>
    </row>
    <row r="266" spans="2:85" x14ac:dyDescent="0.3">
      <c r="B266" s="56"/>
      <c r="D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10"/>
      <c r="BT266" s="10"/>
      <c r="BU266" s="10"/>
      <c r="BV266" s="10"/>
      <c r="BW266" s="10"/>
      <c r="BX266" s="10"/>
      <c r="BY266" s="10"/>
      <c r="BZ266" s="10"/>
      <c r="CA266" s="10"/>
      <c r="CB266" s="61"/>
      <c r="CC266" s="117"/>
      <c r="CD266" s="117"/>
      <c r="CE266" s="117"/>
      <c r="CF266" s="117"/>
    </row>
    <row r="267" spans="2:85" x14ac:dyDescent="0.3">
      <c r="B267" s="56"/>
      <c r="D267" s="56"/>
      <c r="H267" s="1"/>
      <c r="O267" s="1"/>
      <c r="W267" s="56">
        <f>SUM(W213:W243)</f>
        <v>25465</v>
      </c>
      <c r="AA267" s="59">
        <f>+AA268/W268</f>
        <v>0.16106608684193188</v>
      </c>
      <c r="BA267" s="59"/>
      <c r="BC267" s="56"/>
      <c r="BE267" s="59"/>
      <c r="BJ267" s="61"/>
      <c r="BK267" s="10">
        <f>+BK187</f>
        <v>4928581</v>
      </c>
      <c r="BL267" s="61"/>
      <c r="BM267" s="61"/>
      <c r="BN267" s="61"/>
      <c r="BO267" s="61"/>
      <c r="BP267" s="61"/>
      <c r="BQ267" s="61"/>
      <c r="BR267" s="61"/>
      <c r="BS267" s="10"/>
      <c r="BT267" s="10"/>
    </row>
    <row r="268" spans="2:85" x14ac:dyDescent="0.3">
      <c r="B268" s="56"/>
      <c r="D268" s="56"/>
      <c r="H268" s="56"/>
      <c r="W268" s="56">
        <f>SUM(W144:W174)</f>
        <v>30354</v>
      </c>
      <c r="AA268" s="1">
        <f>+W268-W267</f>
        <v>4889</v>
      </c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56"/>
      <c r="BC268" s="1"/>
      <c r="BE268" s="59"/>
      <c r="BH268" s="108"/>
      <c r="BI268" s="108"/>
      <c r="BJ268" s="108"/>
      <c r="BK268" s="536"/>
      <c r="BL268" s="108"/>
      <c r="BM268" s="108"/>
      <c r="BN268" s="108"/>
      <c r="BO268" s="108"/>
      <c r="BP268" s="108"/>
      <c r="BQ268" s="108"/>
      <c r="BR268" s="90"/>
      <c r="BS268" s="1"/>
      <c r="BT268" s="1"/>
    </row>
    <row r="269" spans="2:85" x14ac:dyDescent="0.3">
      <c r="D269" s="1"/>
      <c r="E269" s="123" t="s">
        <v>28</v>
      </c>
      <c r="F269" s="124"/>
      <c r="H269" s="124" t="s">
        <v>67</v>
      </c>
      <c r="I269" s="116"/>
      <c r="J269" s="116"/>
      <c r="K269" s="61"/>
      <c r="L269" s="10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BC269" s="56"/>
      <c r="BE269" s="59"/>
      <c r="BH269" s="108"/>
      <c r="BI269" s="108"/>
      <c r="BJ269" s="108"/>
      <c r="BK269" s="536">
        <f>+BK194-BK264</f>
        <v>-6753631</v>
      </c>
      <c r="BL269" s="108"/>
      <c r="BM269" s="108"/>
      <c r="BN269" s="108"/>
      <c r="BO269" s="108"/>
      <c r="BP269" s="108"/>
      <c r="BQ269" s="108"/>
      <c r="BR269" s="90"/>
      <c r="BS269" s="1"/>
      <c r="BT269" s="1"/>
    </row>
    <row r="270" spans="2:85" x14ac:dyDescent="0.3">
      <c r="B270" s="56"/>
      <c r="D270" s="1"/>
      <c r="E270" s="123" t="s">
        <v>40</v>
      </c>
      <c r="F270" s="124"/>
      <c r="H270" s="124" t="s">
        <v>42</v>
      </c>
      <c r="I270" s="10"/>
      <c r="J270" s="10"/>
      <c r="K270" s="61"/>
      <c r="L270" s="10"/>
      <c r="AD270" s="1"/>
      <c r="AE270" s="1"/>
      <c r="AF270" s="1"/>
      <c r="AG270" s="1"/>
      <c r="AH270" s="1"/>
      <c r="AI270" s="1">
        <f>SUM(W213:W243)</f>
        <v>25465</v>
      </c>
      <c r="AJ270" s="1"/>
      <c r="AK270" s="1"/>
      <c r="AL270" s="1" t="s">
        <v>17</v>
      </c>
      <c r="AM270" s="1"/>
      <c r="AN270" s="1"/>
      <c r="AO270" s="1"/>
      <c r="BC270" s="56"/>
      <c r="BE270" s="59"/>
      <c r="BH270" s="109"/>
      <c r="BI270" s="109"/>
      <c r="BJ270" s="109"/>
      <c r="BK270" s="536">
        <f>+BK187-BK264</f>
        <v>-7588159</v>
      </c>
      <c r="BL270" s="109"/>
      <c r="BM270" s="109"/>
      <c r="BN270" s="109"/>
      <c r="BO270" s="109"/>
      <c r="BP270" s="109"/>
      <c r="BQ270" s="109"/>
      <c r="BR270" s="90"/>
      <c r="BS270" s="1"/>
      <c r="BT270" s="1"/>
    </row>
    <row r="271" spans="2:85" x14ac:dyDescent="0.3">
      <c r="B271" s="273"/>
      <c r="D271" s="1"/>
      <c r="E271" s="123" t="s">
        <v>47</v>
      </c>
      <c r="F271" s="124"/>
      <c r="H271" s="124" t="s">
        <v>57</v>
      </c>
      <c r="I271" s="10"/>
      <c r="J271" s="10"/>
      <c r="K271" s="61"/>
      <c r="L271" s="10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BC271" s="56"/>
      <c r="BE271" s="59"/>
      <c r="BH271" s="109"/>
      <c r="BI271" s="109"/>
      <c r="BJ271" s="109"/>
      <c r="BK271" s="536"/>
      <c r="BL271" s="109"/>
      <c r="BM271" s="109"/>
      <c r="BN271" s="109"/>
      <c r="BO271" s="109"/>
      <c r="BP271" s="109"/>
      <c r="BQ271" s="109"/>
      <c r="BR271" s="90"/>
      <c r="BS271" s="1"/>
      <c r="BT271" s="1"/>
    </row>
    <row r="272" spans="2:85" x14ac:dyDescent="0.3">
      <c r="D272" s="1"/>
      <c r="E272" s="123" t="s">
        <v>68</v>
      </c>
      <c r="F272" s="61"/>
      <c r="H272" s="93" t="s">
        <v>148</v>
      </c>
      <c r="I272" s="61"/>
      <c r="J272" s="61"/>
      <c r="K272" s="61"/>
      <c r="L272" s="6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BH272" s="109"/>
      <c r="BI272" s="109"/>
      <c r="BJ272" s="109"/>
      <c r="BK272" s="539"/>
      <c r="BL272" s="109"/>
      <c r="BM272" s="109"/>
      <c r="BN272" s="109"/>
      <c r="BO272" s="109"/>
      <c r="BP272" s="109"/>
      <c r="BQ272" s="109"/>
      <c r="BR272" s="90"/>
      <c r="BS272" s="1"/>
      <c r="BT272" s="1"/>
    </row>
    <row r="273" spans="2:72" x14ac:dyDescent="0.3">
      <c r="E273" s="123" t="s">
        <v>149</v>
      </c>
      <c r="H273" s="93" t="s">
        <v>150</v>
      </c>
      <c r="AD273" s="1"/>
      <c r="AE273" s="1"/>
      <c r="AF273" s="1"/>
      <c r="AG273" s="1"/>
      <c r="AH273" s="1"/>
      <c r="AI273" s="1"/>
      <c r="BD273" s="90"/>
      <c r="BE273" s="90"/>
      <c r="BF273" s="90"/>
      <c r="BG273" s="90"/>
      <c r="BH273" s="90"/>
      <c r="BI273" s="90"/>
      <c r="BJ273" s="90"/>
      <c r="BK273" s="537"/>
      <c r="BL273" s="90"/>
      <c r="BM273" s="90"/>
      <c r="BN273" s="90"/>
      <c r="BO273" s="90"/>
      <c r="BP273" s="90"/>
      <c r="BQ273" s="90"/>
      <c r="BR273" s="90"/>
      <c r="BS273" s="1"/>
      <c r="BT273" s="1"/>
    </row>
    <row r="274" spans="2:72" x14ac:dyDescent="0.3">
      <c r="B274" s="56"/>
      <c r="AD274" s="1"/>
      <c r="AE274" s="1"/>
      <c r="AF274" s="1"/>
      <c r="AG274" s="1"/>
      <c r="AH274" s="1"/>
      <c r="AI274" s="1"/>
      <c r="BA274" s="588">
        <v>157602857</v>
      </c>
      <c r="BK274" s="538"/>
    </row>
    <row r="275" spans="2:72" ht="15" thickBot="1" x14ac:dyDescent="0.35">
      <c r="D275" s="56"/>
      <c r="AD275" s="1"/>
      <c r="AE275" s="550"/>
      <c r="AF275" s="590"/>
      <c r="AG275" s="550"/>
      <c r="AH275" s="550"/>
      <c r="AI275" s="550"/>
      <c r="AJ275" s="543"/>
      <c r="AK275" s="543"/>
      <c r="AL275" s="543"/>
      <c r="AM275" s="543"/>
      <c r="AN275" s="543"/>
      <c r="AO275" s="543"/>
      <c r="AP275" s="543"/>
      <c r="AQ275" s="543"/>
      <c r="AR275" s="543"/>
      <c r="AS275" s="543"/>
      <c r="AT275" s="543"/>
      <c r="AU275" s="543"/>
      <c r="AV275" s="543"/>
      <c r="AW275" s="543"/>
      <c r="AX275" s="543"/>
      <c r="AZ275" s="118"/>
      <c r="BA275" s="118"/>
      <c r="BB275" s="118"/>
      <c r="BC275" s="118"/>
      <c r="BK275" s="1"/>
    </row>
    <row r="276" spans="2:72" x14ac:dyDescent="0.3">
      <c r="D276" s="574"/>
      <c r="J276" s="529"/>
      <c r="V276" s="118"/>
      <c r="AA276" s="56"/>
      <c r="AD276" s="1"/>
      <c r="AE276" s="550"/>
      <c r="AF276" s="589"/>
      <c r="AG276" s="1"/>
      <c r="AH276" s="1"/>
      <c r="AI276" s="528"/>
      <c r="AJ276" s="507"/>
      <c r="AK276" s="508"/>
      <c r="AL276" s="508"/>
      <c r="AM276" s="508"/>
      <c r="AN276" s="508"/>
      <c r="AO276" s="508"/>
      <c r="AP276" s="508"/>
      <c r="AQ276" s="508"/>
      <c r="AR276" s="508"/>
      <c r="AS276" s="508"/>
      <c r="AT276" s="508"/>
      <c r="AU276" s="508"/>
      <c r="AV276" s="508"/>
      <c r="AW276" s="509"/>
      <c r="AX276" s="543"/>
      <c r="AZ276" s="118"/>
      <c r="BA276" s="89"/>
      <c r="BB276" s="118"/>
      <c r="BC276" s="118"/>
      <c r="BK276" s="56"/>
    </row>
    <row r="277" spans="2:72" x14ac:dyDescent="0.3">
      <c r="D277" s="1"/>
      <c r="J277" s="232"/>
      <c r="AD277" s="1"/>
      <c r="AE277" s="550"/>
      <c r="AF277" s="589"/>
      <c r="AG277" s="1"/>
      <c r="AH277" s="1"/>
      <c r="AI277" s="528"/>
      <c r="AJ277" s="510"/>
      <c r="AK277" s="612" t="s">
        <v>155</v>
      </c>
      <c r="AL277" s="612"/>
      <c r="AM277" s="612"/>
      <c r="AN277" s="612"/>
      <c r="AO277" s="612"/>
      <c r="AP277" s="612"/>
      <c r="AQ277" s="612"/>
      <c r="AR277" s="612"/>
      <c r="AS277" s="612"/>
      <c r="AT277" s="612"/>
      <c r="AU277" s="612"/>
      <c r="AV277" s="612"/>
      <c r="AW277" s="511"/>
      <c r="AX277" s="543"/>
      <c r="AZ277" s="118"/>
      <c r="BA277" s="118"/>
      <c r="BB277" s="118"/>
      <c r="BC277" s="118"/>
    </row>
    <row r="278" spans="2:72" ht="15.6" x14ac:dyDescent="0.3">
      <c r="J278" s="57"/>
      <c r="AD278" s="1"/>
      <c r="AE278" s="550"/>
      <c r="AF278" s="589"/>
      <c r="AG278" s="1"/>
      <c r="AH278" s="1"/>
      <c r="AI278" s="528"/>
      <c r="AJ278" s="510"/>
      <c r="AK278" s="612" t="s">
        <v>154</v>
      </c>
      <c r="AL278" s="612"/>
      <c r="AM278" s="612"/>
      <c r="AN278" s="612"/>
      <c r="AO278" s="516"/>
      <c r="AP278" s="517" t="s">
        <v>20</v>
      </c>
      <c r="AQ278" s="516"/>
      <c r="AR278" s="517" t="s">
        <v>4</v>
      </c>
      <c r="AS278" s="518"/>
      <c r="AT278" s="518"/>
      <c r="AU278" s="518"/>
      <c r="AV278" s="522" t="s">
        <v>10</v>
      </c>
      <c r="AW278" s="511"/>
      <c r="AX278" s="543"/>
      <c r="AZ278" s="118"/>
      <c r="BA278" s="118"/>
      <c r="BB278" s="118"/>
      <c r="BC278" s="118"/>
    </row>
    <row r="279" spans="2:72" ht="15.6" x14ac:dyDescent="0.3">
      <c r="AD279" s="1"/>
      <c r="AE279" s="550"/>
      <c r="AF279" s="589"/>
      <c r="AG279" s="1"/>
      <c r="AH279" s="1"/>
      <c r="AI279" s="528"/>
      <c r="AJ279" s="510"/>
      <c r="AK279" s="611" t="s">
        <v>151</v>
      </c>
      <c r="AL279" s="611"/>
      <c r="AM279" s="611"/>
      <c r="AN279" s="611"/>
      <c r="AO279" s="516"/>
      <c r="AP279" s="519">
        <f>+AH50</f>
        <v>898992</v>
      </c>
      <c r="AQ279" s="520"/>
      <c r="AR279" s="519">
        <f>+AH51</f>
        <v>55687</v>
      </c>
      <c r="AS279" s="521"/>
      <c r="AT279" s="521"/>
      <c r="AU279" s="521"/>
      <c r="AV279" s="534">
        <f t="shared" ref="AV279:AV285" si="871">+AR279/AP279</f>
        <v>6.194382152455194E-2</v>
      </c>
      <c r="AW279" s="511"/>
      <c r="AX279" s="543"/>
      <c r="AZ279" s="118"/>
      <c r="BA279" s="89"/>
      <c r="BB279" s="118"/>
      <c r="BC279" s="118"/>
    </row>
    <row r="280" spans="2:72" ht="15.6" x14ac:dyDescent="0.3">
      <c r="D280" s="277"/>
      <c r="AD280" s="1"/>
      <c r="AE280" s="550"/>
      <c r="AF280" s="589"/>
      <c r="AG280" s="1"/>
      <c r="AH280" s="1"/>
      <c r="AI280" s="528"/>
      <c r="AJ280" s="510"/>
      <c r="AK280" s="594" t="s">
        <v>152</v>
      </c>
      <c r="AL280" s="595"/>
      <c r="AM280" s="595"/>
      <c r="AN280" s="595"/>
      <c r="AO280" s="65"/>
      <c r="AP280" s="512">
        <f>+AG83</f>
        <v>742147</v>
      </c>
      <c r="AQ280" s="65"/>
      <c r="AR280" s="512">
        <f>+AG84</f>
        <v>42339</v>
      </c>
      <c r="AS280" s="65"/>
      <c r="AT280" s="65"/>
      <c r="AU280" s="65"/>
      <c r="AV280" s="532">
        <f t="shared" si="871"/>
        <v>5.7049344671608188E-2</v>
      </c>
      <c r="AW280" s="511"/>
      <c r="AX280" s="543"/>
      <c r="AZ280" s="118"/>
      <c r="BA280" s="89"/>
      <c r="BB280" s="118"/>
      <c r="BC280" s="118"/>
    </row>
    <row r="281" spans="2:72" ht="15.6" x14ac:dyDescent="0.3">
      <c r="AD281" s="1"/>
      <c r="AE281" s="550"/>
      <c r="AF281" s="589"/>
      <c r="AG281" s="1"/>
      <c r="AH281" s="1"/>
      <c r="AI281" s="528"/>
      <c r="AJ281" s="510"/>
      <c r="AK281" s="595" t="s">
        <v>153</v>
      </c>
      <c r="AL281" s="595"/>
      <c r="AM281" s="595"/>
      <c r="AN281" s="595"/>
      <c r="AO281" s="65"/>
      <c r="AP281" s="512">
        <f>+AH113</f>
        <v>869627</v>
      </c>
      <c r="AQ281" s="65"/>
      <c r="AR281" s="512">
        <f>+AH114</f>
        <v>21252</v>
      </c>
      <c r="AS281" s="65"/>
      <c r="AT281" s="65"/>
      <c r="AU281" s="65"/>
      <c r="AV281" s="532">
        <f t="shared" si="871"/>
        <v>2.4438063675575852E-2</v>
      </c>
      <c r="AW281" s="511"/>
      <c r="AX281" s="543"/>
      <c r="AZ281" s="118"/>
      <c r="BA281" s="118"/>
      <c r="BB281" s="118"/>
      <c r="BC281" s="118"/>
    </row>
    <row r="282" spans="2:72" ht="15.6" x14ac:dyDescent="0.3">
      <c r="D282" s="471"/>
      <c r="AD282" s="1"/>
      <c r="AE282" s="550"/>
      <c r="AF282" s="589"/>
      <c r="AG282" s="1"/>
      <c r="AH282" s="1"/>
      <c r="AI282" s="528"/>
      <c r="AJ282" s="510"/>
      <c r="AK282" s="595" t="s">
        <v>156</v>
      </c>
      <c r="AL282" s="595"/>
      <c r="AM282" s="595"/>
      <c r="AN282" s="595"/>
      <c r="AO282" s="65"/>
      <c r="AP282" s="512">
        <f>+AG288</f>
        <v>1970617</v>
      </c>
      <c r="AQ282" s="65"/>
      <c r="AR282" s="512">
        <f>+AG290</f>
        <v>25901</v>
      </c>
      <c r="AS282" s="65"/>
      <c r="AT282" s="65"/>
      <c r="AU282" s="65"/>
      <c r="AV282" s="532">
        <f t="shared" si="871"/>
        <v>1.3143599187462607E-2</v>
      </c>
      <c r="AW282" s="511"/>
      <c r="AX282" s="543"/>
    </row>
    <row r="283" spans="2:72" ht="15.6" x14ac:dyDescent="0.3">
      <c r="D283" s="471"/>
      <c r="AD283" s="1"/>
      <c r="AE283" s="550"/>
      <c r="AF283" s="589"/>
      <c r="AG283" s="1"/>
      <c r="AH283" s="1"/>
      <c r="AI283" s="528"/>
      <c r="AJ283" s="510"/>
      <c r="AK283" s="586"/>
      <c r="AL283" s="586" t="s">
        <v>164</v>
      </c>
      <c r="AM283" s="586"/>
      <c r="AN283" s="586"/>
      <c r="AO283" s="65"/>
      <c r="AP283" s="512">
        <f>SUM(D144:D174)</f>
        <v>1493931</v>
      </c>
      <c r="AQ283" s="65"/>
      <c r="AR283" s="512">
        <f>SUM(W144:W174)</f>
        <v>30354</v>
      </c>
      <c r="AS283" s="65"/>
      <c r="AT283" s="65"/>
      <c r="AU283" s="65"/>
      <c r="AV283" s="532">
        <f t="shared" si="871"/>
        <v>2.0318207467413155E-2</v>
      </c>
      <c r="AW283" s="511"/>
      <c r="AX283" s="543"/>
    </row>
    <row r="284" spans="2:72" ht="15.6" x14ac:dyDescent="0.3">
      <c r="D284" s="471"/>
      <c r="AD284" s="1"/>
      <c r="AE284" s="550"/>
      <c r="AF284" s="589"/>
      <c r="AG284" s="1"/>
      <c r="AH284" s="1"/>
      <c r="AI284" s="528"/>
      <c r="AJ284" s="510"/>
      <c r="AK284" s="586"/>
      <c r="AL284" s="586" t="s">
        <v>165</v>
      </c>
      <c r="AM284" s="586"/>
      <c r="AN284" s="586"/>
      <c r="AO284" s="65"/>
      <c r="AP284" s="512">
        <f>SUM(D175:D204)</f>
        <v>1202331</v>
      </c>
      <c r="AQ284" s="65"/>
      <c r="AR284" s="587">
        <f>SUM(W175:W204)</f>
        <v>24042</v>
      </c>
      <c r="AS284" s="65"/>
      <c r="AT284" s="65"/>
      <c r="AU284" s="65"/>
      <c r="AV284" s="532">
        <f t="shared" si="871"/>
        <v>1.9996157464125936E-2</v>
      </c>
      <c r="AW284" s="511"/>
      <c r="AX284" s="543"/>
    </row>
    <row r="285" spans="2:72" ht="15.6" x14ac:dyDescent="0.3">
      <c r="D285" s="471"/>
      <c r="AD285" s="1"/>
      <c r="AE285" s="550"/>
      <c r="AF285" s="589"/>
      <c r="AG285" s="1"/>
      <c r="AH285" s="1"/>
      <c r="AI285" s="528"/>
      <c r="AJ285" s="510"/>
      <c r="AK285" s="586"/>
      <c r="AL285" s="586" t="s">
        <v>166</v>
      </c>
      <c r="AM285" s="586"/>
      <c r="AN285" s="586"/>
      <c r="AO285" s="65"/>
      <c r="AP285" s="512">
        <f>SUM(D205:D230)</f>
        <v>1470960</v>
      </c>
      <c r="AQ285" s="65"/>
      <c r="AR285" s="512">
        <f>SUM(W205:W235)</f>
        <v>24156</v>
      </c>
      <c r="AS285" s="65"/>
      <c r="AT285" s="65"/>
      <c r="AU285" s="65"/>
      <c r="AV285" s="532">
        <f t="shared" si="871"/>
        <v>1.6421928536465982E-2</v>
      </c>
      <c r="AW285" s="511"/>
      <c r="AX285" s="543"/>
      <c r="BA285" s="529">
        <f>+AV279-AV285</f>
        <v>4.5521892988085955E-2</v>
      </c>
    </row>
    <row r="286" spans="2:72" ht="15" thickBot="1" x14ac:dyDescent="0.35">
      <c r="B286" s="470"/>
      <c r="D286" s="277"/>
      <c r="AD286" s="1"/>
      <c r="AE286" s="550"/>
      <c r="AF286" s="589"/>
      <c r="AG286" s="1"/>
      <c r="AH286" s="1"/>
      <c r="AI286" s="528"/>
      <c r="AJ286" s="510"/>
      <c r="AK286" s="523"/>
      <c r="AL286" s="523"/>
      <c r="AM286" s="523"/>
      <c r="AN286" s="523"/>
      <c r="AO286" s="524"/>
      <c r="AP286" s="525"/>
      <c r="AQ286" s="524"/>
      <c r="AR286" s="525"/>
      <c r="AS286" s="524"/>
      <c r="AT286" s="524"/>
      <c r="AU286" s="524"/>
      <c r="AV286" s="526"/>
      <c r="AW286" s="511"/>
      <c r="AX286" s="543"/>
      <c r="BA286">
        <f>+BA285/AV279</f>
        <v>0.73488996751747038</v>
      </c>
    </row>
    <row r="287" spans="2:72" ht="15.6" x14ac:dyDescent="0.3">
      <c r="B287" s="470"/>
      <c r="D287" s="277"/>
      <c r="AD287" s="1"/>
      <c r="AE287" s="550"/>
      <c r="AF287" s="589"/>
      <c r="AG287" s="1"/>
      <c r="AH287" s="1"/>
      <c r="AI287" s="528"/>
      <c r="AJ287" s="510"/>
      <c r="AK287" s="611" t="s">
        <v>151</v>
      </c>
      <c r="AL287" s="611"/>
      <c r="AM287" s="611"/>
      <c r="AN287" s="611"/>
      <c r="AO287" s="65"/>
      <c r="AP287" s="512"/>
      <c r="AQ287" s="65"/>
      <c r="AR287" s="512">
        <f>+AR279</f>
        <v>55687</v>
      </c>
      <c r="AS287" s="65"/>
      <c r="AT287" s="65"/>
      <c r="AU287" s="65"/>
      <c r="AV287" s="156"/>
      <c r="AW287" s="511"/>
      <c r="AX287" s="543"/>
    </row>
    <row r="288" spans="2:72" ht="15.6" x14ac:dyDescent="0.3">
      <c r="B288" s="470"/>
      <c r="D288" s="277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10"/>
      <c r="AE288" s="550"/>
      <c r="AF288" s="589"/>
      <c r="AG288" s="33">
        <f>SUM(D113:D143)</f>
        <v>1970617</v>
      </c>
      <c r="AH288" s="1"/>
      <c r="AI288" s="528"/>
      <c r="AJ288" s="510"/>
      <c r="AK288" s="613" t="s">
        <v>166</v>
      </c>
      <c r="AL288" s="613"/>
      <c r="AM288" s="613"/>
      <c r="AN288" s="613"/>
      <c r="AO288" s="65"/>
      <c r="AP288" s="512"/>
      <c r="AQ288" s="65"/>
      <c r="AR288" s="512">
        <f>+AR285</f>
        <v>24156</v>
      </c>
      <c r="AS288" s="65"/>
      <c r="AT288" s="65"/>
      <c r="AU288" s="65"/>
      <c r="AV288" s="156"/>
      <c r="AW288" s="511"/>
      <c r="AX288" s="543"/>
    </row>
    <row r="289" spans="2:87" ht="15.6" x14ac:dyDescent="0.3">
      <c r="B289" s="470"/>
      <c r="D289" s="277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10"/>
      <c r="AE289" s="550"/>
      <c r="AF289" s="589"/>
      <c r="AG289" s="33">
        <f>SUM(W125:W138)</f>
        <v>12117</v>
      </c>
      <c r="AH289" s="1"/>
      <c r="AI289" s="528"/>
      <c r="AJ289" s="510"/>
      <c r="AK289" s="64"/>
      <c r="AL289" s="540" t="s">
        <v>3</v>
      </c>
      <c r="AM289" s="64"/>
      <c r="AN289" s="64"/>
      <c r="AO289" s="65"/>
      <c r="AP289" s="512"/>
      <c r="AQ289" s="65"/>
      <c r="AR289" s="512">
        <f>+AR287-AR288</f>
        <v>31531</v>
      </c>
      <c r="AS289" s="65"/>
      <c r="AT289" s="65"/>
      <c r="AU289" s="65"/>
      <c r="AV289" s="527">
        <f>+AR289/AR287</f>
        <v>0.5662183274372834</v>
      </c>
      <c r="AW289" s="511"/>
      <c r="AX289" s="543"/>
    </row>
    <row r="290" spans="2:87" ht="15" thickBot="1" x14ac:dyDescent="0.35">
      <c r="D290" s="470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10"/>
      <c r="AE290" s="550"/>
      <c r="AF290" s="591"/>
      <c r="AG290" s="33">
        <f>SUM(W113:W143)</f>
        <v>25901</v>
      </c>
      <c r="AH290" s="1"/>
      <c r="AI290" s="528"/>
      <c r="AJ290" s="513"/>
      <c r="AK290" s="514"/>
      <c r="AL290" s="514"/>
      <c r="AM290" s="514"/>
      <c r="AN290" s="514"/>
      <c r="AO290" s="514"/>
      <c r="AP290" s="514"/>
      <c r="AQ290" s="514"/>
      <c r="AR290" s="514"/>
      <c r="AS290" s="514"/>
      <c r="AT290" s="514"/>
      <c r="AU290" s="514"/>
      <c r="AV290" s="514"/>
      <c r="AW290" s="515"/>
      <c r="AX290" s="543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1"/>
      <c r="BT290" s="1"/>
      <c r="BU290" s="1"/>
      <c r="BV290" s="1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</row>
    <row r="291" spans="2:87" x14ac:dyDescent="0.3"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10"/>
      <c r="AE291" s="550"/>
      <c r="AF291" s="550"/>
      <c r="AG291" s="550"/>
      <c r="AH291" s="550"/>
      <c r="AI291" s="550"/>
      <c r="AJ291" s="543"/>
      <c r="AK291" s="543"/>
      <c r="AL291" s="543"/>
      <c r="AM291" s="543"/>
      <c r="AN291" s="543"/>
      <c r="AO291" s="543"/>
      <c r="AP291" s="543"/>
      <c r="AQ291" s="543"/>
      <c r="AR291" s="543"/>
      <c r="AS291" s="543"/>
      <c r="AT291" s="543"/>
      <c r="AU291" s="543"/>
      <c r="AV291" s="543"/>
      <c r="AW291" s="543"/>
      <c r="AX291" s="543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89"/>
      <c r="BX291" s="89"/>
      <c r="BY291" s="89"/>
      <c r="BZ291" s="89"/>
      <c r="CA291" s="121"/>
      <c r="CB291" s="1"/>
      <c r="CC291" s="1"/>
      <c r="CD291" s="1"/>
      <c r="CE291" s="1"/>
      <c r="CF291" s="1"/>
      <c r="CG291" s="1"/>
      <c r="CH291" s="1"/>
      <c r="CI291" s="1"/>
    </row>
    <row r="292" spans="2:87" x14ac:dyDescent="0.3">
      <c r="D292">
        <v>10</v>
      </c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10"/>
      <c r="AE292" s="10"/>
      <c r="AF292" s="10"/>
      <c r="AG292" s="10"/>
      <c r="AH292" s="10"/>
      <c r="AI292" s="10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89"/>
      <c r="BX292" s="89"/>
      <c r="BY292" s="89"/>
      <c r="BZ292" s="89"/>
      <c r="CA292" s="89"/>
      <c r="CB292" s="1"/>
      <c r="CC292" s="1"/>
      <c r="CD292" s="1"/>
      <c r="CE292" s="1"/>
      <c r="CF292" s="1"/>
      <c r="CG292" s="1"/>
      <c r="CH292" s="1"/>
      <c r="CI292" s="1"/>
    </row>
    <row r="293" spans="2:87" x14ac:dyDescent="0.3">
      <c r="D293" s="1">
        <v>77000000</v>
      </c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10"/>
      <c r="AE293" s="10"/>
      <c r="AF293" s="10"/>
      <c r="AG293" s="10"/>
      <c r="AH293" s="10"/>
      <c r="AI293" s="10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89"/>
      <c r="BX293" s="89"/>
      <c r="BY293" s="89"/>
      <c r="BZ293" s="89"/>
      <c r="CA293" s="89"/>
      <c r="CB293" s="1"/>
      <c r="CC293" s="1"/>
      <c r="CD293" s="1"/>
      <c r="CE293" s="1"/>
      <c r="CF293" s="1"/>
      <c r="CG293" s="1"/>
    </row>
    <row r="294" spans="2:87" x14ac:dyDescent="0.3">
      <c r="D294" s="57">
        <f>+D293/D296</f>
        <v>0.23262839879154079</v>
      </c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10"/>
      <c r="AE294" s="10"/>
      <c r="AF294" s="10"/>
      <c r="AG294" s="544"/>
      <c r="AH294" s="10"/>
      <c r="AI294" s="10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89"/>
      <c r="BX294" s="89"/>
      <c r="BY294" s="89"/>
      <c r="BZ294" s="89"/>
      <c r="CA294" s="89"/>
      <c r="CB294" s="1"/>
      <c r="CC294" s="1"/>
      <c r="CD294" s="1"/>
      <c r="CE294" s="1"/>
      <c r="CF294" s="1"/>
      <c r="CG294" s="1"/>
    </row>
    <row r="295" spans="2:87" x14ac:dyDescent="0.3"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10"/>
      <c r="AE295" s="10"/>
      <c r="AF295" s="550"/>
      <c r="AG295" s="569"/>
      <c r="AH295" s="550"/>
      <c r="AI295" s="550"/>
      <c r="AJ295" s="543"/>
      <c r="AK295" s="543"/>
      <c r="AL295" s="543"/>
      <c r="AM295" s="543"/>
      <c r="AN295" s="543"/>
      <c r="AO295" s="543"/>
      <c r="AP295" s="543"/>
      <c r="AQ295" s="543"/>
      <c r="AR295" s="543"/>
      <c r="AS295" s="543"/>
      <c r="AT295" s="543"/>
      <c r="AU295" s="543"/>
      <c r="AV295" s="543"/>
      <c r="AW295" s="543"/>
      <c r="AX295" s="543"/>
      <c r="AY295" s="543"/>
      <c r="AZ295" s="543"/>
      <c r="BA295" s="543"/>
      <c r="BB295" s="543"/>
      <c r="BC295" s="543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89"/>
      <c r="BX295" s="89"/>
      <c r="BY295" s="122"/>
      <c r="BZ295" s="89"/>
      <c r="CA295" s="89"/>
    </row>
    <row r="296" spans="2:87" x14ac:dyDescent="0.3">
      <c r="D296" s="1">
        <v>331000000</v>
      </c>
      <c r="H296">
        <v>0.13400000000000001</v>
      </c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10"/>
      <c r="AE296" s="10"/>
      <c r="AF296" s="550"/>
      <c r="AG296" s="570"/>
      <c r="AH296" s="550"/>
      <c r="AI296" s="550"/>
      <c r="AJ296" s="567"/>
      <c r="AK296" s="567"/>
      <c r="AL296" s="568"/>
      <c r="AM296" s="568"/>
      <c r="AN296" s="568"/>
      <c r="AO296" s="568"/>
      <c r="AP296" s="568"/>
      <c r="AQ296" s="568"/>
      <c r="AR296" s="568"/>
      <c r="AS296" s="568"/>
      <c r="AT296" s="568"/>
      <c r="AU296" s="568"/>
      <c r="AV296" s="568"/>
      <c r="AW296" s="568"/>
      <c r="AX296" s="568"/>
      <c r="AY296" s="568"/>
      <c r="AZ296" s="568"/>
      <c r="BA296" s="568"/>
      <c r="BB296" s="567"/>
      <c r="BC296" s="567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89"/>
      <c r="BX296" s="89"/>
      <c r="BY296" s="89"/>
      <c r="BZ296" s="89"/>
      <c r="CA296" s="89"/>
    </row>
    <row r="297" spans="2:87" x14ac:dyDescent="0.3">
      <c r="D297" s="1">
        <f>+D296*H296</f>
        <v>44354000</v>
      </c>
      <c r="H297" s="1">
        <f>+D297*0.001</f>
        <v>44354</v>
      </c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10"/>
      <c r="AE297" s="10"/>
      <c r="AF297" s="550"/>
      <c r="AG297" s="569"/>
      <c r="AH297" s="550"/>
      <c r="AI297" s="550"/>
      <c r="AJ297" s="567"/>
      <c r="AK297" s="567"/>
      <c r="AL297" s="150"/>
      <c r="AM297" s="150"/>
      <c r="AN297" s="150"/>
      <c r="AO297" s="150"/>
      <c r="AP297" s="150"/>
      <c r="AQ297" s="150"/>
      <c r="AR297" s="150"/>
      <c r="AS297" s="90"/>
      <c r="AT297" s="90"/>
      <c r="AU297" s="90"/>
      <c r="AV297" s="110"/>
      <c r="AW297" s="110"/>
      <c r="AX297" s="110"/>
      <c r="AY297" s="110"/>
      <c r="AZ297" s="567"/>
      <c r="BA297" s="567"/>
      <c r="BB297" s="573"/>
      <c r="BC297" s="567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89"/>
      <c r="BX297" s="89"/>
      <c r="BY297" s="89"/>
      <c r="BZ297" s="89"/>
      <c r="CA297" s="89"/>
    </row>
    <row r="298" spans="2:87" x14ac:dyDescent="0.3">
      <c r="D298" s="468">
        <v>7.1999999999999995E-2</v>
      </c>
      <c r="H298" s="1">
        <f>+AA204*H296</f>
        <v>28384.416000000001</v>
      </c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10"/>
      <c r="AE298" s="10"/>
      <c r="AF298" s="550"/>
      <c r="AG298" s="569">
        <v>44031</v>
      </c>
      <c r="AH298" s="550"/>
      <c r="AI298" s="550"/>
      <c r="AJ298" s="567"/>
      <c r="AK298" s="567"/>
      <c r="AL298" s="150"/>
      <c r="AM298" s="150"/>
      <c r="AN298" s="150"/>
      <c r="AO298" s="150"/>
      <c r="AP298" s="150"/>
      <c r="AQ298" s="150"/>
      <c r="AR298" s="150"/>
      <c r="AS298" s="150"/>
      <c r="AT298" s="110"/>
      <c r="AU298" s="90"/>
      <c r="AV298" s="110"/>
      <c r="AW298" s="110"/>
      <c r="AX298" s="110"/>
      <c r="AY298" s="110"/>
      <c r="AZ298" s="567"/>
      <c r="BA298" s="567"/>
      <c r="BB298" s="573"/>
      <c r="BC298" s="567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89"/>
      <c r="BX298" s="89"/>
      <c r="BY298" s="89"/>
      <c r="BZ298" s="89"/>
      <c r="CA298" s="89"/>
    </row>
    <row r="299" spans="2:87" x14ac:dyDescent="0.3"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10"/>
      <c r="AE299" s="10"/>
      <c r="AF299" s="550"/>
      <c r="AG299" s="569">
        <v>44038</v>
      </c>
      <c r="AH299" s="550"/>
      <c r="AI299" s="550"/>
      <c r="AJ299" s="567"/>
      <c r="AK299" s="567"/>
      <c r="AL299" s="90"/>
      <c r="AM299" s="90"/>
      <c r="AN299" s="151"/>
      <c r="AO299" s="151"/>
      <c r="AP299" s="151"/>
      <c r="AQ299" s="151"/>
      <c r="AR299" s="151"/>
      <c r="AS299" s="90"/>
      <c r="AT299" s="90"/>
      <c r="AU299" s="90"/>
      <c r="AV299" s="110"/>
      <c r="AW299" s="110"/>
      <c r="AX299" s="110"/>
      <c r="AY299" s="110"/>
      <c r="AZ299" s="567"/>
      <c r="BA299" s="567"/>
      <c r="BB299" s="573"/>
      <c r="BC299" s="567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89"/>
      <c r="BX299" s="89"/>
      <c r="BY299" s="89"/>
      <c r="BZ299" s="89"/>
      <c r="CA299" s="89"/>
    </row>
    <row r="300" spans="2:87" x14ac:dyDescent="0.3">
      <c r="D300" s="277">
        <v>4.2000000000000003E-2</v>
      </c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10"/>
      <c r="AE300" s="10"/>
      <c r="AF300" s="550"/>
      <c r="AG300" s="569">
        <v>44045</v>
      </c>
      <c r="AH300" s="550"/>
      <c r="AI300" s="550"/>
      <c r="AJ300" s="567"/>
      <c r="AK300" s="567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10"/>
      <c r="AW300" s="110"/>
      <c r="AX300" s="110"/>
      <c r="AY300" s="110"/>
      <c r="AZ300" s="567"/>
      <c r="BA300" s="567"/>
      <c r="BB300" s="573"/>
      <c r="BC300" s="567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2:87" x14ac:dyDescent="0.3">
      <c r="D301" s="574">
        <f>+D296*D298*D300</f>
        <v>1000944.0000000001</v>
      </c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10"/>
      <c r="AE301" s="10"/>
      <c r="AF301" s="550"/>
      <c r="AG301" s="569">
        <v>44052</v>
      </c>
      <c r="AH301" s="550"/>
      <c r="AI301" s="550"/>
      <c r="AJ301" s="567"/>
      <c r="AK301" s="567"/>
      <c r="AL301" s="90"/>
      <c r="AM301" s="90"/>
      <c r="AN301" s="151"/>
      <c r="AO301" s="151"/>
      <c r="AP301" s="151"/>
      <c r="AQ301" s="151"/>
      <c r="AR301" s="151"/>
      <c r="AS301" s="151"/>
      <c r="AT301" s="151"/>
      <c r="AU301" s="90"/>
      <c r="AV301" s="110"/>
      <c r="AW301" s="110"/>
      <c r="AX301" s="110"/>
      <c r="AY301" s="110"/>
      <c r="AZ301" s="567"/>
      <c r="BA301" s="567"/>
      <c r="BB301" s="573"/>
      <c r="BC301" s="567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2:87" x14ac:dyDescent="0.3"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10"/>
      <c r="AE302" s="10"/>
      <c r="AF302" s="550"/>
      <c r="AG302" s="569"/>
      <c r="AH302" s="550"/>
      <c r="AI302" s="550"/>
      <c r="AJ302" s="567"/>
      <c r="AK302" s="567"/>
      <c r="AL302" s="90"/>
      <c r="AM302" s="90"/>
      <c r="AN302" s="151"/>
      <c r="AO302" s="151"/>
      <c r="AP302" s="151"/>
      <c r="AQ302" s="151"/>
      <c r="AR302" s="151"/>
      <c r="AS302" s="151"/>
      <c r="AT302" s="151"/>
      <c r="AU302" s="90"/>
      <c r="AV302" s="110"/>
      <c r="AW302" s="110"/>
      <c r="AX302" s="110"/>
      <c r="AY302" s="110"/>
      <c r="AZ302" s="567"/>
      <c r="BA302" s="567"/>
      <c r="BB302" s="573"/>
      <c r="BC302" s="567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2:87" x14ac:dyDescent="0.3"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10"/>
      <c r="AE303" s="10"/>
      <c r="AF303" s="550"/>
      <c r="AG303" s="569"/>
      <c r="AH303" s="550"/>
      <c r="AI303" s="550"/>
      <c r="AJ303" s="567"/>
      <c r="AK303" s="567"/>
      <c r="AL303" s="90"/>
      <c r="AM303" s="90"/>
      <c r="AN303" s="151"/>
      <c r="AO303" s="151"/>
      <c r="AP303" s="151"/>
      <c r="AQ303" s="151"/>
      <c r="AR303" s="151"/>
      <c r="AS303" s="151"/>
      <c r="AT303" s="151"/>
      <c r="AU303" s="90"/>
      <c r="AV303" s="110"/>
      <c r="AW303" s="110"/>
      <c r="AX303" s="110"/>
      <c r="AY303" s="110"/>
      <c r="AZ303" s="567"/>
      <c r="BA303" s="567"/>
      <c r="BB303" s="573"/>
      <c r="BC303" s="567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2:87" x14ac:dyDescent="0.3"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10"/>
      <c r="AE304" s="10"/>
      <c r="AF304" s="550"/>
      <c r="AG304" s="571"/>
      <c r="AH304" s="550"/>
      <c r="AI304" s="550"/>
      <c r="AJ304" s="567"/>
      <c r="AK304" s="567"/>
      <c r="AL304" s="90"/>
      <c r="AM304" s="90"/>
      <c r="AN304" s="151"/>
      <c r="AO304" s="151"/>
      <c r="AP304" s="151"/>
      <c r="AQ304" s="151"/>
      <c r="AR304" s="151"/>
      <c r="AS304" s="151"/>
      <c r="AT304" s="151"/>
      <c r="AU304" s="90"/>
      <c r="AV304" s="110"/>
      <c r="AW304" s="110"/>
      <c r="AX304" s="110"/>
      <c r="AY304" s="110"/>
      <c r="AZ304" s="567"/>
      <c r="BA304" s="567"/>
      <c r="BB304" s="573"/>
      <c r="BC304" s="567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2:79" x14ac:dyDescent="0.3"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10"/>
      <c r="AE305" s="10"/>
      <c r="AF305" s="550"/>
      <c r="AG305" s="550"/>
      <c r="AH305" s="550"/>
      <c r="AI305" s="550"/>
      <c r="AJ305" s="567"/>
      <c r="AK305" s="567"/>
      <c r="AL305" s="90"/>
      <c r="AM305" s="90"/>
      <c r="AN305" s="151"/>
      <c r="AO305" s="151"/>
      <c r="AP305" s="151"/>
      <c r="AQ305" s="151"/>
      <c r="AR305" s="151"/>
      <c r="AS305" s="151"/>
      <c r="AT305" s="151"/>
      <c r="AU305" s="90"/>
      <c r="AV305" s="110"/>
      <c r="AW305" s="110"/>
      <c r="AX305" s="110"/>
      <c r="AY305" s="110"/>
      <c r="AZ305" s="567"/>
      <c r="BA305" s="567"/>
      <c r="BB305" s="573"/>
      <c r="BC305" s="567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2:79" x14ac:dyDescent="0.3"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10"/>
      <c r="AE306" s="10"/>
      <c r="AF306" s="550"/>
      <c r="AG306" s="550"/>
      <c r="AH306" s="550"/>
      <c r="AI306" s="550"/>
      <c r="AJ306" s="567"/>
      <c r="AK306" s="567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90"/>
      <c r="AW306" s="90"/>
      <c r="AX306" s="90"/>
      <c r="AY306" s="90"/>
      <c r="AZ306" s="567"/>
      <c r="BA306" s="573"/>
      <c r="BB306" s="573"/>
      <c r="BC306" s="567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2:79" x14ac:dyDescent="0.3">
      <c r="AD307" s="10"/>
      <c r="AE307" s="10"/>
      <c r="AF307" s="550"/>
      <c r="AG307" s="550"/>
      <c r="AH307" s="550"/>
      <c r="AI307" s="550"/>
      <c r="AJ307" s="567"/>
      <c r="AK307" s="567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90"/>
      <c r="AW307" s="90"/>
      <c r="AX307" s="90"/>
      <c r="AY307" s="90"/>
      <c r="AZ307" s="567"/>
      <c r="BA307" s="573"/>
      <c r="BB307" s="573"/>
      <c r="BC307" s="567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2:79" ht="15" thickBot="1" x14ac:dyDescent="0.35">
      <c r="B308" s="543"/>
      <c r="C308" s="543"/>
      <c r="D308" s="543"/>
      <c r="E308" s="543"/>
      <c r="F308" s="543"/>
      <c r="G308" s="543"/>
      <c r="H308" s="543"/>
      <c r="I308" s="543"/>
      <c r="J308" s="543"/>
      <c r="K308" s="543"/>
      <c r="L308" s="543"/>
      <c r="M308" s="543"/>
      <c r="N308" s="543"/>
      <c r="O308" s="543"/>
      <c r="P308" s="543"/>
      <c r="Q308" s="543"/>
      <c r="R308" s="543"/>
      <c r="S308" s="543"/>
      <c r="T308" s="543"/>
      <c r="U308" s="543"/>
      <c r="V308" s="543"/>
      <c r="AD308" s="10"/>
      <c r="AE308" s="10"/>
      <c r="AF308" s="550"/>
      <c r="AG308" s="550"/>
      <c r="AH308" s="550"/>
      <c r="AI308" s="550"/>
      <c r="AJ308" s="567"/>
      <c r="AK308" s="567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90"/>
      <c r="AW308" s="90"/>
      <c r="AX308" s="90"/>
      <c r="AY308" s="90"/>
      <c r="AZ308" s="567"/>
      <c r="BA308" s="573"/>
      <c r="BB308" s="573"/>
      <c r="BC308" s="567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2:79" x14ac:dyDescent="0.3">
      <c r="B309" s="543"/>
      <c r="C309" s="553"/>
      <c r="D309" s="400"/>
      <c r="E309" s="400"/>
      <c r="F309" s="400"/>
      <c r="G309" s="400"/>
      <c r="H309" s="400"/>
      <c r="I309" s="400"/>
      <c r="J309" s="400"/>
      <c r="K309" s="400"/>
      <c r="L309" s="400"/>
      <c r="M309" s="400"/>
      <c r="N309" s="400"/>
      <c r="O309" s="400"/>
      <c r="P309" s="554"/>
      <c r="V309" s="543"/>
      <c r="AD309" s="10"/>
      <c r="AE309" s="10"/>
      <c r="AF309" s="550"/>
      <c r="AG309" s="550"/>
      <c r="AH309" s="550"/>
      <c r="AI309" s="550"/>
      <c r="AJ309" s="567"/>
      <c r="AK309" s="567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90"/>
      <c r="AW309" s="90"/>
      <c r="AX309" s="90"/>
      <c r="AY309" s="90"/>
      <c r="AZ309" s="567"/>
      <c r="BA309" s="573"/>
      <c r="BB309" s="573"/>
      <c r="BC309" s="567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2:79" x14ac:dyDescent="0.3">
      <c r="B310" s="543"/>
      <c r="C310" s="555"/>
      <c r="D310" s="545" t="s">
        <v>162</v>
      </c>
      <c r="E310" s="430"/>
      <c r="F310" s="430"/>
      <c r="G310" s="430"/>
      <c r="H310" s="610" t="s">
        <v>20</v>
      </c>
      <c r="I310" s="610"/>
      <c r="J310" s="610"/>
      <c r="K310" s="430"/>
      <c r="L310" s="430"/>
      <c r="M310" s="430"/>
      <c r="N310" s="430"/>
      <c r="O310" s="430"/>
      <c r="P310" s="556"/>
      <c r="V310" s="543"/>
      <c r="AD310" s="10"/>
      <c r="AE310" s="10"/>
      <c r="AF310" s="550"/>
      <c r="AG310" s="550"/>
      <c r="AH310" s="550"/>
      <c r="AI310" s="550"/>
      <c r="AJ310" s="567"/>
      <c r="AK310" s="567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90"/>
      <c r="AW310" s="90"/>
      <c r="AX310" s="90"/>
      <c r="AY310" s="90"/>
      <c r="AZ310" s="567"/>
      <c r="BA310" s="573"/>
      <c r="BB310" s="573"/>
      <c r="BC310" s="567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2:79" x14ac:dyDescent="0.3">
      <c r="B311" s="543"/>
      <c r="C311" s="555"/>
      <c r="D311" s="557" t="s">
        <v>163</v>
      </c>
      <c r="E311" s="430"/>
      <c r="F311" s="430"/>
      <c r="G311" s="430"/>
      <c r="H311" s="558" t="s">
        <v>160</v>
      </c>
      <c r="I311" s="545"/>
      <c r="J311" s="559" t="s">
        <v>161</v>
      </c>
      <c r="K311" s="545"/>
      <c r="L311" s="545"/>
      <c r="M311" s="545"/>
      <c r="N311" s="545"/>
      <c r="O311" s="560" t="s">
        <v>3</v>
      </c>
      <c r="P311" s="556"/>
      <c r="V311" s="543"/>
      <c r="AD311" s="10"/>
      <c r="AE311" s="10"/>
      <c r="AF311" s="550"/>
      <c r="AG311" s="550"/>
      <c r="AH311" s="550"/>
      <c r="AI311" s="550"/>
      <c r="AJ311" s="567"/>
      <c r="AK311" s="567"/>
      <c r="AL311" s="572"/>
      <c r="AM311" s="572"/>
      <c r="AN311" s="572"/>
      <c r="AO311" s="572"/>
      <c r="AP311" s="572"/>
      <c r="AQ311" s="572"/>
      <c r="AR311" s="572"/>
      <c r="AS311" s="572"/>
      <c r="AT311" s="572"/>
      <c r="AU311" s="572"/>
      <c r="AV311" s="567"/>
      <c r="AW311" s="567"/>
      <c r="AX311" s="567"/>
      <c r="AY311" s="567"/>
      <c r="AZ311" s="567"/>
      <c r="BA311" s="573"/>
      <c r="BB311" s="573"/>
      <c r="BC311" s="567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2:79" x14ac:dyDescent="0.3">
      <c r="B312" s="543"/>
      <c r="C312" s="555"/>
      <c r="D312" s="546" t="s">
        <v>159</v>
      </c>
      <c r="E312" s="15"/>
      <c r="F312" s="15"/>
      <c r="G312" s="15"/>
      <c r="H312" s="561">
        <f>SUM(D133:D139)</f>
        <v>471981</v>
      </c>
      <c r="I312" s="15"/>
      <c r="J312" s="16">
        <f>+H312/7</f>
        <v>67425.857142857145</v>
      </c>
      <c r="K312" s="15"/>
      <c r="L312" s="15"/>
      <c r="M312" s="15"/>
      <c r="N312" s="15"/>
      <c r="O312" s="15"/>
      <c r="P312" s="556"/>
      <c r="V312" s="543"/>
      <c r="AD312" s="10"/>
      <c r="AE312" s="10"/>
      <c r="AF312" s="550"/>
      <c r="AG312" s="550"/>
      <c r="AH312" s="550"/>
      <c r="AI312" s="550"/>
      <c r="AJ312" s="567"/>
      <c r="AK312" s="567"/>
      <c r="AL312" s="572"/>
      <c r="AM312" s="572"/>
      <c r="AN312" s="572"/>
      <c r="AO312" s="572"/>
      <c r="AP312" s="572"/>
      <c r="AQ312" s="572"/>
      <c r="AR312" s="572"/>
      <c r="AS312" s="572"/>
      <c r="AT312" s="572"/>
      <c r="AU312" s="572"/>
      <c r="AV312" s="572"/>
      <c r="AW312" s="572"/>
      <c r="AX312" s="572"/>
      <c r="AY312" s="572"/>
      <c r="AZ312" s="567"/>
      <c r="BA312" s="567"/>
      <c r="BB312" s="573"/>
      <c r="BC312" s="567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2:79" x14ac:dyDescent="0.3">
      <c r="B313" s="543"/>
      <c r="C313" s="555"/>
      <c r="D313" s="546" t="s">
        <v>158</v>
      </c>
      <c r="E313" s="15"/>
      <c r="F313" s="15"/>
      <c r="G313" s="15"/>
      <c r="H313" s="16">
        <f>SUM(D140:D146)</f>
        <v>427527</v>
      </c>
      <c r="I313" s="15"/>
      <c r="J313" s="16">
        <f>+H313/7</f>
        <v>61075.285714285717</v>
      </c>
      <c r="K313" s="15"/>
      <c r="L313" s="15"/>
      <c r="M313" s="15"/>
      <c r="N313" s="15"/>
      <c r="O313" s="15"/>
      <c r="P313" s="556"/>
      <c r="V313" s="543"/>
      <c r="AJ313" s="110"/>
      <c r="AK313" s="110"/>
      <c r="AL313" s="110"/>
      <c r="AM313" s="110"/>
      <c r="AN313" s="110"/>
      <c r="AO313" s="110"/>
      <c r="AP313" s="110"/>
      <c r="AQ313" s="110"/>
      <c r="AR313" s="110"/>
      <c r="AS313" s="110"/>
      <c r="AT313" s="90"/>
      <c r="AU313" s="110"/>
      <c r="AV313" s="152"/>
      <c r="AW313" s="152"/>
      <c r="AX313" s="152"/>
      <c r="AY313" s="152"/>
      <c r="AZ313" s="110"/>
      <c r="BA313" s="110"/>
      <c r="BB313" s="110"/>
      <c r="BC313" s="110"/>
    </row>
    <row r="314" spans="2:79" x14ac:dyDescent="0.3">
      <c r="B314" s="549"/>
      <c r="C314" s="555"/>
      <c r="D314" s="546" t="s">
        <v>157</v>
      </c>
      <c r="E314" s="15"/>
      <c r="F314" s="15"/>
      <c r="G314" s="15"/>
      <c r="H314" s="16">
        <f>SUM(D147:D153)</f>
        <v>383516</v>
      </c>
      <c r="I314" s="15"/>
      <c r="J314" s="16">
        <f>+H314/7</f>
        <v>54788</v>
      </c>
      <c r="K314" s="15"/>
      <c r="L314" s="15"/>
      <c r="M314" s="15"/>
      <c r="N314" s="15"/>
      <c r="O314" s="561">
        <f>+H312-H314</f>
        <v>88465</v>
      </c>
      <c r="P314" s="556"/>
      <c r="V314" s="543"/>
      <c r="AA314">
        <f>+O314/7</f>
        <v>12637.857142857143</v>
      </c>
      <c r="AJ314" s="110"/>
      <c r="AK314" s="110"/>
      <c r="AL314" s="110"/>
      <c r="AM314" s="110"/>
      <c r="AN314" s="110"/>
      <c r="AO314" s="110"/>
      <c r="AP314" s="110"/>
      <c r="AQ314" s="110"/>
      <c r="AR314" s="110"/>
      <c r="AS314" s="110"/>
      <c r="AT314" s="110"/>
      <c r="AU314" s="110"/>
      <c r="AV314" s="90"/>
      <c r="AW314" s="90"/>
      <c r="AX314" s="90"/>
      <c r="AY314" s="90"/>
      <c r="AZ314" s="110"/>
      <c r="BA314" s="153"/>
      <c r="BB314" s="110"/>
      <c r="BC314" s="110"/>
    </row>
    <row r="315" spans="2:79" x14ac:dyDescent="0.3">
      <c r="B315" s="550"/>
      <c r="C315" s="555"/>
      <c r="D315" s="562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60">
        <f>+O314/H312</f>
        <v>0.18743339244588236</v>
      </c>
      <c r="P315" s="556"/>
      <c r="V315" s="543"/>
      <c r="X315" s="61"/>
      <c r="Y315" s="61"/>
      <c r="Z315" s="110"/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  <c r="AN315" s="110"/>
      <c r="AO315" s="110"/>
      <c r="AP315" s="90">
        <v>480454</v>
      </c>
      <c r="AQ315" s="110"/>
      <c r="AR315" s="110"/>
      <c r="AS315" s="110"/>
      <c r="AT315" s="110"/>
      <c r="AU315" s="110"/>
      <c r="AV315" s="110"/>
      <c r="AW315" s="110"/>
      <c r="AX315" s="110"/>
      <c r="AY315" s="110"/>
      <c r="AZ315" s="110"/>
      <c r="BA315" s="110"/>
      <c r="BB315" s="110"/>
      <c r="BC315" s="110"/>
    </row>
    <row r="316" spans="2:79" ht="15" thickBot="1" x14ac:dyDescent="0.35">
      <c r="B316" s="550"/>
      <c r="C316" s="563"/>
      <c r="D316" s="564"/>
      <c r="E316" s="564"/>
      <c r="F316" s="564"/>
      <c r="G316" s="564"/>
      <c r="H316" s="564"/>
      <c r="I316" s="564"/>
      <c r="J316" s="565"/>
      <c r="K316" s="564"/>
      <c r="L316" s="564"/>
      <c r="M316" s="564"/>
      <c r="N316" s="564"/>
      <c r="O316" s="564"/>
      <c r="P316" s="566"/>
      <c r="V316" s="543"/>
      <c r="X316" s="61"/>
      <c r="Y316" s="61"/>
      <c r="Z316" s="110"/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  <c r="AO316" s="110"/>
      <c r="AP316" s="152">
        <f>+N201</f>
        <v>290088</v>
      </c>
      <c r="AQ316" s="110"/>
      <c r="AR316" s="110"/>
      <c r="AS316" s="110"/>
      <c r="AT316" s="110"/>
      <c r="AU316" s="110"/>
      <c r="AV316" s="110"/>
      <c r="AW316" s="110"/>
      <c r="AX316" s="110"/>
      <c r="AY316" s="110"/>
      <c r="AZ316" s="110"/>
      <c r="BA316" s="110"/>
      <c r="BB316" s="110"/>
      <c r="BC316" s="110"/>
    </row>
    <row r="317" spans="2:79" x14ac:dyDescent="0.3">
      <c r="B317" s="550"/>
      <c r="C317" s="543"/>
      <c r="D317" s="551"/>
      <c r="E317" s="543"/>
      <c r="F317" s="543"/>
      <c r="G317" s="543"/>
      <c r="H317" s="552"/>
      <c r="I317" s="543"/>
      <c r="J317" s="543"/>
      <c r="K317" s="543"/>
      <c r="L317" s="543"/>
      <c r="M317" s="543"/>
      <c r="N317" s="543"/>
      <c r="O317" s="543"/>
      <c r="P317" s="543"/>
      <c r="Q317" s="543"/>
      <c r="R317" s="543"/>
      <c r="S317" s="543"/>
      <c r="T317" s="543"/>
      <c r="U317" s="543"/>
      <c r="V317" s="543"/>
      <c r="X317" s="61"/>
      <c r="Y317" s="61"/>
      <c r="Z317" s="110"/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  <c r="AN317" s="110"/>
      <c r="AO317" s="110"/>
      <c r="AP317" s="152">
        <f>+AP315-AP316</f>
        <v>190366</v>
      </c>
      <c r="AQ317" s="110"/>
      <c r="AR317" s="110"/>
    </row>
    <row r="318" spans="2:79" x14ac:dyDescent="0.3">
      <c r="B318" s="1"/>
      <c r="D318" s="55"/>
      <c r="X318" s="61"/>
      <c r="Y318" s="61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  <c r="AO318" s="110"/>
      <c r="AP318" s="96">
        <f>+AP317/AP315</f>
        <v>0.3962210742339537</v>
      </c>
      <c r="AQ318" s="110"/>
      <c r="AR318" s="110"/>
    </row>
    <row r="319" spans="2:79" x14ac:dyDescent="0.3">
      <c r="B319" s="55"/>
      <c r="D319" s="55"/>
      <c r="J319" s="56">
        <f>+J312-J314</f>
        <v>12637.857142857145</v>
      </c>
      <c r="X319" s="61"/>
      <c r="Y319" s="61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0"/>
      <c r="AM319" s="110"/>
      <c r="AN319" s="110"/>
      <c r="AO319" s="110"/>
      <c r="AP319" s="110"/>
      <c r="AQ319" s="110"/>
      <c r="AR319" s="110"/>
    </row>
    <row r="320" spans="2:79" x14ac:dyDescent="0.3">
      <c r="B320" s="57"/>
      <c r="D320" s="55"/>
      <c r="X320" s="61"/>
      <c r="Y320" s="61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0"/>
      <c r="AP320" s="110"/>
      <c r="AQ320" s="110"/>
      <c r="AR320" s="110"/>
    </row>
    <row r="321" spans="2:61" x14ac:dyDescent="0.3">
      <c r="B321" s="1"/>
      <c r="D321" s="55"/>
      <c r="X321" s="61"/>
      <c r="Y321" s="61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10"/>
    </row>
    <row r="322" spans="2:61" x14ac:dyDescent="0.3">
      <c r="B322" s="1"/>
      <c r="D322" s="55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</row>
    <row r="323" spans="2:61" x14ac:dyDescent="0.3">
      <c r="B323" s="1"/>
      <c r="D323" s="55"/>
      <c r="AT323" s="543"/>
      <c r="AU323" s="543"/>
      <c r="AV323" s="543"/>
      <c r="AW323" s="543"/>
      <c r="AX323" s="543"/>
      <c r="AY323" s="543"/>
      <c r="AZ323" s="543"/>
      <c r="BA323" s="543"/>
      <c r="BB323" s="543"/>
      <c r="BC323" s="543"/>
      <c r="BD323" s="543"/>
      <c r="BE323" s="543"/>
      <c r="BF323" s="543"/>
      <c r="BG323" s="543"/>
      <c r="BH323" s="543"/>
      <c r="BI323" s="543"/>
    </row>
    <row r="324" spans="2:61" ht="15.6" x14ac:dyDescent="0.3">
      <c r="B324" s="1"/>
      <c r="D324" s="55"/>
      <c r="AT324" s="543"/>
      <c r="AU324" s="576"/>
      <c r="AV324" s="577"/>
      <c r="AW324" s="577"/>
      <c r="AX324" s="577"/>
      <c r="AY324" s="577"/>
      <c r="AZ324" s="577"/>
      <c r="BA324" s="577"/>
      <c r="BB324" s="577"/>
      <c r="BC324" s="577"/>
      <c r="BD324" s="577"/>
      <c r="BE324" s="577" t="s">
        <v>169</v>
      </c>
      <c r="BF324" s="577"/>
      <c r="BG324" s="577" t="s">
        <v>2</v>
      </c>
      <c r="BH324" s="576"/>
      <c r="BI324" s="543"/>
    </row>
    <row r="325" spans="2:61" ht="16.2" thickBot="1" x14ac:dyDescent="0.35">
      <c r="B325" s="57" t="e">
        <f>+B324/B323</f>
        <v>#DIV/0!</v>
      </c>
      <c r="D325" s="55"/>
      <c r="AT325" s="543"/>
      <c r="AU325" s="576"/>
      <c r="AV325" s="593" t="s">
        <v>168</v>
      </c>
      <c r="AW325" s="593"/>
      <c r="AX325" s="593"/>
      <c r="AY325" s="577"/>
      <c r="AZ325" s="577"/>
      <c r="BA325" s="578" t="s">
        <v>20</v>
      </c>
      <c r="BB325" s="577"/>
      <c r="BC325" s="578" t="s">
        <v>3</v>
      </c>
      <c r="BD325" s="577"/>
      <c r="BE325" s="578" t="s">
        <v>73</v>
      </c>
      <c r="BF325" s="577"/>
      <c r="BG325" s="578" t="s">
        <v>73</v>
      </c>
      <c r="BH325" s="576"/>
      <c r="BI325" s="543"/>
    </row>
    <row r="326" spans="2:61" ht="21" x14ac:dyDescent="0.4">
      <c r="B326" s="1"/>
      <c r="D326" s="55"/>
      <c r="AT326" s="543"/>
      <c r="AU326" s="576"/>
      <c r="AV326" s="579" t="s">
        <v>156</v>
      </c>
      <c r="AW326" s="576"/>
      <c r="AX326" s="580"/>
      <c r="AY326" s="576"/>
      <c r="AZ326" s="576"/>
      <c r="BA326" s="581">
        <f>+N143</f>
        <v>1970617</v>
      </c>
      <c r="BB326" s="580"/>
      <c r="BC326" s="580"/>
      <c r="BD326" s="580"/>
      <c r="BE326" s="580"/>
      <c r="BF326" s="580"/>
      <c r="BG326" s="580"/>
      <c r="BH326" s="576"/>
      <c r="BI326" s="543"/>
    </row>
    <row r="327" spans="2:61" ht="21" x14ac:dyDescent="0.4">
      <c r="B327" s="1"/>
      <c r="D327" s="55"/>
      <c r="AT327" s="543"/>
      <c r="AU327" s="576"/>
      <c r="AV327" s="579" t="s">
        <v>164</v>
      </c>
      <c r="AW327" s="576"/>
      <c r="AX327" s="580"/>
      <c r="AY327" s="576"/>
      <c r="AZ327" s="576"/>
      <c r="BA327" s="581">
        <f>+N174</f>
        <v>1493931</v>
      </c>
      <c r="BB327" s="580"/>
      <c r="BC327" s="581">
        <f>+BA327-BA326</f>
        <v>-476686</v>
      </c>
      <c r="BD327" s="580"/>
      <c r="BE327" s="582">
        <f>+BC327/BA326</f>
        <v>-0.24189682723735764</v>
      </c>
      <c r="BF327" s="580"/>
      <c r="BG327" s="580"/>
      <c r="BH327" s="576"/>
      <c r="BI327" s="543"/>
    </row>
    <row r="328" spans="2:61" ht="21" x14ac:dyDescent="0.4">
      <c r="B328" s="1">
        <f>+B324*50</f>
        <v>0</v>
      </c>
      <c r="D328" s="55"/>
      <c r="AT328" s="543"/>
      <c r="AU328" s="576"/>
      <c r="AV328" s="579" t="s">
        <v>165</v>
      </c>
      <c r="AW328" s="576"/>
      <c r="AX328" s="580"/>
      <c r="AY328" s="576"/>
      <c r="AZ328" s="576"/>
      <c r="BA328" s="581">
        <f>+N204</f>
        <v>1202331</v>
      </c>
      <c r="BB328" s="580"/>
      <c r="BC328" s="581">
        <f>+BA328-BA327</f>
        <v>-291600</v>
      </c>
      <c r="BD328" s="580"/>
      <c r="BE328" s="582">
        <f>+BC328/BA327</f>
        <v>-0.19518973767864781</v>
      </c>
      <c r="BF328" s="580"/>
      <c r="BG328" s="580"/>
      <c r="BH328" s="576"/>
      <c r="BI328" s="543"/>
    </row>
    <row r="329" spans="2:61" ht="21" x14ac:dyDescent="0.4">
      <c r="B329" s="1"/>
      <c r="D329" s="55"/>
      <c r="AT329" s="543"/>
      <c r="AU329" s="576"/>
      <c r="AV329" s="579" t="s">
        <v>166</v>
      </c>
      <c r="AW329" s="576"/>
      <c r="AX329" s="580"/>
      <c r="AY329" s="576"/>
      <c r="AZ329" s="583" t="s">
        <v>28</v>
      </c>
      <c r="BA329" s="581">
        <f>+N218</f>
        <v>371489</v>
      </c>
      <c r="BB329" s="580"/>
      <c r="BC329" s="581">
        <f>+BA329-BA328</f>
        <v>-830842</v>
      </c>
      <c r="BD329" s="580"/>
      <c r="BE329" s="582">
        <f>+BC329/BA328</f>
        <v>-0.69102601529861574</v>
      </c>
      <c r="BF329" s="580"/>
      <c r="BG329" s="582">
        <f>+(BA329-BA326)/BA326</f>
        <v>-0.81148594577231392</v>
      </c>
      <c r="BH329" s="576"/>
      <c r="BI329" s="543"/>
    </row>
    <row r="330" spans="2:61" x14ac:dyDescent="0.3">
      <c r="B330" s="1"/>
      <c r="D330" s="55"/>
      <c r="AT330" s="543"/>
      <c r="AU330" s="576"/>
      <c r="AV330" s="576"/>
      <c r="AW330" s="576"/>
      <c r="AX330" s="576"/>
      <c r="AY330" s="576"/>
      <c r="AZ330" s="576"/>
      <c r="BA330" s="576"/>
      <c r="BB330" s="576"/>
      <c r="BC330" s="576"/>
      <c r="BD330" s="576"/>
      <c r="BE330" s="576"/>
      <c r="BF330" s="576"/>
      <c r="BG330" s="576"/>
      <c r="BH330" s="576"/>
      <c r="BI330" s="543"/>
    </row>
    <row r="331" spans="2:61" ht="16.2" x14ac:dyDescent="0.3">
      <c r="B331" s="1"/>
      <c r="D331" s="55"/>
      <c r="AT331" s="543"/>
      <c r="AU331" s="576"/>
      <c r="AV331" s="576"/>
      <c r="AW331" s="576"/>
      <c r="AX331" s="584" t="s">
        <v>28</v>
      </c>
      <c r="AY331" s="576"/>
      <c r="AZ331" s="585" t="s">
        <v>167</v>
      </c>
      <c r="BA331" s="576"/>
      <c r="BB331" s="576"/>
      <c r="BC331" s="576"/>
      <c r="BD331" s="576"/>
      <c r="BE331" s="576"/>
      <c r="BF331" s="576"/>
      <c r="BG331" s="576"/>
      <c r="BH331" s="576"/>
      <c r="BI331" s="543"/>
    </row>
    <row r="332" spans="2:61" x14ac:dyDescent="0.3">
      <c r="B332" s="1"/>
      <c r="D332" s="55"/>
      <c r="AT332" s="543"/>
      <c r="AU332" s="576"/>
      <c r="AV332" s="576"/>
      <c r="AW332" s="576"/>
      <c r="AX332" s="576"/>
      <c r="AY332" s="576"/>
      <c r="AZ332" s="576"/>
      <c r="BA332" s="576"/>
      <c r="BB332" s="576"/>
      <c r="BC332" s="576"/>
      <c r="BD332" s="576"/>
      <c r="BE332" s="576"/>
      <c r="BF332" s="576"/>
      <c r="BG332" s="576"/>
      <c r="BH332" s="576"/>
      <c r="BI332" s="543"/>
    </row>
    <row r="333" spans="2:61" x14ac:dyDescent="0.3">
      <c r="B333" s="1"/>
      <c r="D333" s="55"/>
      <c r="AT333" s="575"/>
      <c r="AU333" s="575"/>
      <c r="AV333" s="575"/>
      <c r="AW333" s="575"/>
      <c r="AX333" s="575"/>
      <c r="AY333" s="575"/>
      <c r="AZ333" s="575"/>
      <c r="BA333" s="575"/>
      <c r="BB333" s="575"/>
      <c r="BC333" s="575"/>
      <c r="BD333" s="575"/>
      <c r="BE333" s="575"/>
      <c r="BF333" s="575"/>
      <c r="BG333" s="575"/>
      <c r="BH333" s="575"/>
      <c r="BI333" s="575"/>
    </row>
    <row r="334" spans="2:61" x14ac:dyDescent="0.3">
      <c r="B334" s="1"/>
      <c r="D334" s="55"/>
    </row>
    <row r="335" spans="2:61" x14ac:dyDescent="0.3">
      <c r="B335" s="1"/>
      <c r="D335" s="55"/>
    </row>
    <row r="336" spans="2:61" x14ac:dyDescent="0.3">
      <c r="B336" s="1"/>
      <c r="D336" s="55"/>
    </row>
    <row r="337" spans="2:4" x14ac:dyDescent="0.3">
      <c r="B337" s="1"/>
      <c r="D337" s="55"/>
    </row>
    <row r="338" spans="2:4" x14ac:dyDescent="0.3">
      <c r="B338" s="1"/>
    </row>
    <row r="339" spans="2:4" x14ac:dyDescent="0.3">
      <c r="B339" s="1"/>
    </row>
    <row r="340" spans="2:4" x14ac:dyDescent="0.3">
      <c r="B340" s="1"/>
    </row>
    <row r="341" spans="2:4" x14ac:dyDescent="0.3">
      <c r="B341" s="1"/>
    </row>
    <row r="342" spans="2:4" x14ac:dyDescent="0.3">
      <c r="B342" s="1"/>
    </row>
    <row r="343" spans="2:4" x14ac:dyDescent="0.3">
      <c r="B343" s="1"/>
    </row>
    <row r="344" spans="2:4" x14ac:dyDescent="0.3">
      <c r="B344" s="1"/>
    </row>
    <row r="345" spans="2:4" x14ac:dyDescent="0.3">
      <c r="B345" s="1"/>
    </row>
  </sheetData>
  <mergeCells count="29">
    <mergeCell ref="AK288:AN288"/>
    <mergeCell ref="AK277:AV277"/>
    <mergeCell ref="AK279:AN279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V325:AX325"/>
    <mergeCell ref="AK280:AN280"/>
    <mergeCell ref="AK281:AN281"/>
    <mergeCell ref="AK282:AN282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310:J310"/>
    <mergeCell ref="AK287:AN287"/>
    <mergeCell ref="AK278:AN278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283:AP285 AR283:AR28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76"/>
  <sheetViews>
    <sheetView topLeftCell="A230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123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37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116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50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43" t="s">
        <v>48</v>
      </c>
      <c r="AE14" s="644"/>
      <c r="AF14" s="645"/>
      <c r="AG14" s="206"/>
      <c r="AH14" s="641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42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+K264</f>
        <v>1011041</v>
      </c>
      <c r="AG16" s="200"/>
      <c r="AH16" s="214">
        <f>+AJ31</f>
        <v>3133.6563321348135</v>
      </c>
      <c r="AI16" s="214"/>
      <c r="AJ16" s="215">
        <f>+S264</f>
        <v>55908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206850</v>
      </c>
      <c r="AG17" s="201"/>
      <c r="AH17" s="162">
        <v>3001</v>
      </c>
      <c r="AI17" s="214"/>
      <c r="AJ17" s="161">
        <v>10512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313358</v>
      </c>
      <c r="AG18" s="201"/>
      <c r="AH18" s="162">
        <v>2448</v>
      </c>
      <c r="AI18" s="214"/>
      <c r="AJ18" s="161">
        <v>9816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1531249</v>
      </c>
      <c r="AG19" s="201"/>
      <c r="AH19" s="201"/>
      <c r="AI19" s="201"/>
      <c r="AJ19" s="219">
        <f>SUM(AJ16:AJ18)</f>
        <v>76236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Table'!H264</f>
        <v>0.12293478458961592</v>
      </c>
      <c r="AG21" s="201"/>
      <c r="AH21" s="201"/>
      <c r="AI21" s="201"/>
      <c r="AJ21" s="221">
        <f>+AJ19/'Main Table'!AA264</f>
        <v>0.29120939986477762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43" t="s">
        <v>133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+E264</f>
        <v>596214</v>
      </c>
      <c r="AE27" s="168"/>
      <c r="AF27" s="199">
        <v>3065</v>
      </c>
      <c r="AG27" s="168"/>
      <c r="AH27" s="190">
        <f>+AD27/AD$31</f>
        <v>0.48954627302443321</v>
      </c>
      <c r="AI27" s="190"/>
      <c r="AJ27" s="168">
        <f>+AF27*AH27</f>
        <v>1500.4593268198878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+G264</f>
        <v>313358</v>
      </c>
      <c r="AE28" s="168"/>
      <c r="AF28" s="199">
        <v>3445</v>
      </c>
      <c r="AG28" s="168"/>
      <c r="AH28" s="190">
        <f>+AD28/AD$31</f>
        <v>0.25729560362955306</v>
      </c>
      <c r="AI28" s="190"/>
      <c r="AJ28" s="168">
        <f>+AF28*AH28</f>
        <v>886.38335450381032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+I264</f>
        <v>101469</v>
      </c>
      <c r="AE29" s="168"/>
      <c r="AF29" s="199">
        <v>2846</v>
      </c>
      <c r="AG29" s="168"/>
      <c r="AH29" s="190">
        <f>+AD29/AD$31</f>
        <v>8.331533774368971E-2</v>
      </c>
      <c r="AI29" s="190"/>
      <c r="AJ29" s="168">
        <f>+AF29*AH29</f>
        <v>237.11545121854093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206850</v>
      </c>
      <c r="AE30" s="280"/>
      <c r="AF30" s="168">
        <f>+AH17</f>
        <v>3001</v>
      </c>
      <c r="AG30" s="280"/>
      <c r="AH30" s="190">
        <f>+AD30/AD$31</f>
        <v>0.16984278560232402</v>
      </c>
      <c r="AI30" s="280"/>
      <c r="AJ30" s="168">
        <f>+AF30*AH30</f>
        <v>509.69819959257438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1217891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3133.6563321348135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38" t="s">
        <v>31</v>
      </c>
      <c r="AB36" s="639"/>
      <c r="AC36" s="639"/>
      <c r="AD36" s="639"/>
      <c r="AE36" s="639"/>
      <c r="AF36" s="639"/>
      <c r="AG36" s="639"/>
      <c r="AH36" s="639"/>
      <c r="AI36" s="640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Table'!AA264</f>
        <v>261791</v>
      </c>
      <c r="AJ49" s="56">
        <f>+AJ19</f>
        <v>76236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76236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185555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77933.099999999991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107621.90000000001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0.41109854807842899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hidden="1" outlineLevel="1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hidden="1" outlineLevel="1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hidden="1" outlineLevel="1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hidden="1" outlineLevel="1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hidden="1" outlineLevel="1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hidden="1" outlineLevel="1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hidden="1" outlineLevel="1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hidden="1" outlineLevel="1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hidden="1" outlineLevel="1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hidden="1" outlineLevel="1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hidden="1" outlineLevel="1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hidden="1" outlineLevel="1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hidden="1" outlineLevel="1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hidden="1" outlineLevel="1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hidden="1" outlineLevel="1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hidden="1" outlineLevel="1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hidden="1" outlineLevel="1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hidden="1" outlineLevel="1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hidden="1" outlineLevel="1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hidden="1" outlineLevel="1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hidden="1" outlineLevel="1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hidden="1" outlineLevel="1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hidden="1" outlineLevel="1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hidden="1" outlineLevel="1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hidden="1" outlineLevel="1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hidden="1" outlineLevel="1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hidden="1" outlineLevel="1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hidden="1" outlineLevel="1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hidden="1" outlineLevel="1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hidden="1" outlineLevel="1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hidden="1" outlineLevel="1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hidden="1" outlineLevel="1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hidden="1" outlineLevel="1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hidden="1" outlineLevel="1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hidden="1" outlineLevel="1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70">
        <f t="shared" ref="C98:C262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62" si="20">+W97+1</f>
        <v>88</v>
      </c>
      <c r="Y98" s="56"/>
    </row>
    <row r="99" spans="3:25" hidden="1" outlineLevel="1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hidden="1" outlineLevel="1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 t="shared" ref="K224:K230" si="45">SUM(E224:I224)</f>
        <v>770505</v>
      </c>
      <c r="L224" s="6"/>
      <c r="M224" s="481">
        <f t="shared" ref="M224:M230" si="46">+(K224-K223)/K223</f>
        <v>4.8868091366506775E-3</v>
      </c>
      <c r="N224" s="29"/>
      <c r="O224" s="29"/>
      <c r="P224" s="29"/>
      <c r="Q224" s="375">
        <f t="shared" ref="Q224:Q230" si="47">+K224-K223</f>
        <v>3747</v>
      </c>
      <c r="R224" s="6"/>
      <c r="S224" s="7">
        <f>33357+16211+4542</f>
        <v>54110</v>
      </c>
      <c r="T224" s="6"/>
      <c r="U224" s="286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70">
        <f t="shared" si="15"/>
        <v>44124</v>
      </c>
      <c r="E225" s="284">
        <v>486480</v>
      </c>
      <c r="F225" s="7"/>
      <c r="G225" s="7">
        <v>222193</v>
      </c>
      <c r="H225" s="7"/>
      <c r="I225" s="7">
        <v>64455</v>
      </c>
      <c r="J225" s="287"/>
      <c r="K225" s="7">
        <f t="shared" si="45"/>
        <v>773128</v>
      </c>
      <c r="L225" s="6"/>
      <c r="M225" s="481">
        <f t="shared" si="46"/>
        <v>3.4042608419153674E-3</v>
      </c>
      <c r="N225" s="29"/>
      <c r="O225" s="29"/>
      <c r="P225" s="29"/>
      <c r="Q225" s="375">
        <f t="shared" si="47"/>
        <v>2623</v>
      </c>
      <c r="R225" s="6"/>
      <c r="S225" s="7">
        <f>33366+16227+4559</f>
        <v>54152</v>
      </c>
      <c r="T225" s="6"/>
      <c r="U225" s="286">
        <f t="shared" si="48"/>
        <v>7.0042735484939098E-2</v>
      </c>
      <c r="W225">
        <f t="shared" si="20"/>
        <v>215</v>
      </c>
      <c r="Y225" s="56"/>
    </row>
    <row r="226" spans="3:25" x14ac:dyDescent="0.3">
      <c r="C226" s="170">
        <f t="shared" si="15"/>
        <v>44125</v>
      </c>
      <c r="E226" s="284">
        <v>488506</v>
      </c>
      <c r="F226" s="7"/>
      <c r="G226" s="7">
        <v>223223</v>
      </c>
      <c r="H226" s="7"/>
      <c r="I226" s="7">
        <v>64871</v>
      </c>
      <c r="J226" s="287"/>
      <c r="K226" s="7">
        <f t="shared" si="45"/>
        <v>776600</v>
      </c>
      <c r="L226" s="6"/>
      <c r="M226" s="481">
        <f t="shared" si="46"/>
        <v>4.4908475698720004E-3</v>
      </c>
      <c r="N226" s="29"/>
      <c r="O226" s="29"/>
      <c r="P226" s="29"/>
      <c r="Q226" s="375">
        <f t="shared" si="47"/>
        <v>3472</v>
      </c>
      <c r="R226" s="6"/>
      <c r="S226" s="7">
        <f>33371+16245+4567</f>
        <v>54183</v>
      </c>
      <c r="T226" s="6"/>
      <c r="U226" s="286">
        <f t="shared" si="48"/>
        <v>6.9769508112284315E-2</v>
      </c>
      <c r="W226">
        <f t="shared" si="20"/>
        <v>216</v>
      </c>
      <c r="Y226" s="56"/>
    </row>
    <row r="227" spans="3:25" x14ac:dyDescent="0.3">
      <c r="C227" s="170">
        <f t="shared" si="15"/>
        <v>44126</v>
      </c>
      <c r="E227" s="284">
        <v>490134</v>
      </c>
      <c r="F227" s="7"/>
      <c r="G227" s="7">
        <v>224385</v>
      </c>
      <c r="H227" s="7"/>
      <c r="I227" s="7">
        <v>65373</v>
      </c>
      <c r="J227" s="287"/>
      <c r="K227" s="7">
        <f t="shared" si="45"/>
        <v>779892</v>
      </c>
      <c r="L227" s="6"/>
      <c r="M227" s="481">
        <f t="shared" si="46"/>
        <v>4.2389904712850889E-3</v>
      </c>
      <c r="N227" s="29"/>
      <c r="O227" s="29"/>
      <c r="P227" s="29"/>
      <c r="Q227" s="375">
        <f t="shared" si="47"/>
        <v>3292</v>
      </c>
      <c r="R227" s="6"/>
      <c r="S227" s="7">
        <f>33371+16245+4567</f>
        <v>54183</v>
      </c>
      <c r="T227" s="6"/>
      <c r="U227" s="286">
        <f t="shared" si="48"/>
        <v>6.9475004231355109E-2</v>
      </c>
      <c r="W227">
        <f t="shared" si="20"/>
        <v>217</v>
      </c>
      <c r="Y227" s="56"/>
    </row>
    <row r="228" spans="3:25" x14ac:dyDescent="0.3">
      <c r="C228" s="170">
        <f t="shared" si="15"/>
        <v>44127</v>
      </c>
      <c r="E228" s="284">
        <v>491771</v>
      </c>
      <c r="F228" s="7"/>
      <c r="G228" s="7">
        <v>225430</v>
      </c>
      <c r="H228" s="7"/>
      <c r="I228" s="7">
        <v>66052</v>
      </c>
      <c r="J228" s="287"/>
      <c r="K228" s="7">
        <f t="shared" si="45"/>
        <v>783253</v>
      </c>
      <c r="L228" s="6"/>
      <c r="M228" s="481">
        <f t="shared" si="46"/>
        <v>4.3095710688146561E-3</v>
      </c>
      <c r="N228" s="29"/>
      <c r="O228" s="29"/>
      <c r="P228" s="29"/>
      <c r="Q228" s="375">
        <f t="shared" si="47"/>
        <v>3361</v>
      </c>
      <c r="R228" s="6"/>
      <c r="S228" s="7">
        <f>33371+16245+4567</f>
        <v>54183</v>
      </c>
      <c r="T228" s="6"/>
      <c r="U228" s="286">
        <f t="shared" si="48"/>
        <v>6.917688154402217E-2</v>
      </c>
      <c r="W228">
        <f t="shared" si="20"/>
        <v>218</v>
      </c>
      <c r="Y228" s="56"/>
    </row>
    <row r="229" spans="3:25" x14ac:dyDescent="0.3">
      <c r="C229" s="170">
        <f t="shared" si="15"/>
        <v>44128</v>
      </c>
      <c r="E229" s="284">
        <v>493832</v>
      </c>
      <c r="F229" s="7"/>
      <c r="G229" s="7">
        <v>227339</v>
      </c>
      <c r="H229" s="7"/>
      <c r="I229" s="7">
        <v>66052</v>
      </c>
      <c r="J229" s="287"/>
      <c r="K229" s="7">
        <f t="shared" si="45"/>
        <v>787223</v>
      </c>
      <c r="L229" s="6"/>
      <c r="M229" s="481">
        <f t="shared" si="46"/>
        <v>5.0686049079926923E-3</v>
      </c>
      <c r="N229" s="29"/>
      <c r="O229" s="29"/>
      <c r="P229" s="29"/>
      <c r="Q229" s="375">
        <f t="shared" si="47"/>
        <v>3970</v>
      </c>
      <c r="R229" s="6"/>
      <c r="S229" s="7">
        <f>33418+16281+4577</f>
        <v>54276</v>
      </c>
      <c r="T229" s="6"/>
      <c r="U229" s="286">
        <f t="shared" si="48"/>
        <v>6.8946156298787004E-2</v>
      </c>
      <c r="W229">
        <f t="shared" si="20"/>
        <v>219</v>
      </c>
      <c r="Y229" s="56"/>
    </row>
    <row r="230" spans="3:25" x14ac:dyDescent="0.3">
      <c r="C230" s="170">
        <f t="shared" si="15"/>
        <v>44129</v>
      </c>
      <c r="E230" s="284">
        <v>495464</v>
      </c>
      <c r="F230" s="7"/>
      <c r="G230" s="7">
        <v>228468</v>
      </c>
      <c r="H230" s="7"/>
      <c r="I230" s="7">
        <v>66052</v>
      </c>
      <c r="J230" s="287"/>
      <c r="K230" s="7">
        <f t="shared" si="45"/>
        <v>789984</v>
      </c>
      <c r="L230" s="6"/>
      <c r="M230" s="481">
        <f t="shared" si="46"/>
        <v>3.5072654127229516E-3</v>
      </c>
      <c r="N230" s="29"/>
      <c r="O230" s="29"/>
      <c r="P230" s="29"/>
      <c r="Q230" s="375">
        <f t="shared" si="47"/>
        <v>2761</v>
      </c>
      <c r="R230" s="6"/>
      <c r="S230" s="7">
        <f>33422+16285+4577</f>
        <v>54284</v>
      </c>
      <c r="T230" s="6"/>
      <c r="U230" s="286">
        <f t="shared" si="48"/>
        <v>6.8715315753230449E-2</v>
      </c>
      <c r="W230">
        <f t="shared" si="20"/>
        <v>220</v>
      </c>
      <c r="Y230" s="56"/>
    </row>
    <row r="231" spans="3:25" x14ac:dyDescent="0.3">
      <c r="C231" s="170">
        <f t="shared" si="15"/>
        <v>44130</v>
      </c>
      <c r="E231" s="284">
        <v>496655</v>
      </c>
      <c r="F231" s="7"/>
      <c r="G231" s="7">
        <v>229684</v>
      </c>
      <c r="H231" s="7"/>
      <c r="I231" s="7">
        <v>68099</v>
      </c>
      <c r="J231" s="287"/>
      <c r="K231" s="7">
        <f t="shared" ref="K231" si="49">SUM(E231:I231)</f>
        <v>794438</v>
      </c>
      <c r="L231" s="6"/>
      <c r="M231" s="481">
        <f t="shared" ref="M231" si="50">+(K231-K230)/K230</f>
        <v>5.6380888726860288E-3</v>
      </c>
      <c r="N231" s="29"/>
      <c r="O231" s="29"/>
      <c r="P231" s="29"/>
      <c r="Q231" s="375">
        <f t="shared" ref="Q231" si="51">+K231-K230</f>
        <v>4454</v>
      </c>
      <c r="R231" s="6"/>
      <c r="S231" s="7">
        <f>33424+16292+4589</f>
        <v>54305</v>
      </c>
      <c r="T231" s="6"/>
      <c r="U231" s="286">
        <f t="shared" ref="U231" si="52">+S231/K231</f>
        <v>6.8356498556212064E-2</v>
      </c>
      <c r="W231">
        <f t="shared" si="20"/>
        <v>221</v>
      </c>
      <c r="Y231" s="56"/>
    </row>
    <row r="232" spans="3:25" x14ac:dyDescent="0.3">
      <c r="C232" s="170">
        <f t="shared" si="15"/>
        <v>44131</v>
      </c>
      <c r="E232" s="284">
        <v>498646</v>
      </c>
      <c r="F232" s="7"/>
      <c r="G232" s="7">
        <v>231331</v>
      </c>
      <c r="H232" s="7"/>
      <c r="I232" s="7">
        <v>68637</v>
      </c>
      <c r="J232" s="287"/>
      <c r="K232" s="7">
        <f t="shared" ref="K232" si="53">SUM(E232:I232)</f>
        <v>798614</v>
      </c>
      <c r="L232" s="6"/>
      <c r="M232" s="481">
        <f t="shared" ref="M232" si="54">+(K232-K231)/K231</f>
        <v>5.2565461370176151E-3</v>
      </c>
      <c r="N232" s="29"/>
      <c r="O232" s="29"/>
      <c r="P232" s="29"/>
      <c r="Q232" s="375">
        <f t="shared" ref="Q232" si="55">+K232-K231</f>
        <v>4176</v>
      </c>
      <c r="R232" s="6"/>
      <c r="S232" s="7">
        <f>33433+16306+4595</f>
        <v>54334</v>
      </c>
      <c r="T232" s="6"/>
      <c r="U232" s="286">
        <f t="shared" ref="U232" si="56">+S232/K232</f>
        <v>6.8035371280743884E-2</v>
      </c>
      <c r="W232">
        <f t="shared" si="20"/>
        <v>222</v>
      </c>
      <c r="Y232" s="56"/>
    </row>
    <row r="233" spans="3:25" x14ac:dyDescent="0.3">
      <c r="C233" s="170">
        <f t="shared" si="15"/>
        <v>44132</v>
      </c>
      <c r="E233" s="284">
        <v>500677</v>
      </c>
      <c r="F233" s="7"/>
      <c r="G233" s="7">
        <v>232997</v>
      </c>
      <c r="H233" s="7"/>
      <c r="I233" s="7">
        <v>69127</v>
      </c>
      <c r="J233" s="287"/>
      <c r="K233" s="7">
        <f t="shared" ref="K233" si="57">SUM(E233:I233)</f>
        <v>802801</v>
      </c>
      <c r="L233" s="6"/>
      <c r="M233" s="481">
        <f t="shared" ref="M233" si="58">+(K233-K232)/K232</f>
        <v>5.2428332085337846E-3</v>
      </c>
      <c r="N233" s="29"/>
      <c r="O233" s="29"/>
      <c r="P233" s="29"/>
      <c r="Q233" s="375">
        <f t="shared" ref="Q233" si="59">+K233-K232</f>
        <v>4187</v>
      </c>
      <c r="R233" s="6"/>
      <c r="S233" s="7">
        <f>33433+16306+4595</f>
        <v>54334</v>
      </c>
      <c r="T233" s="6"/>
      <c r="U233" s="286">
        <f t="shared" ref="U233" si="60">+S233/K233</f>
        <v>6.768053353197119E-2</v>
      </c>
      <c r="W233">
        <f t="shared" si="20"/>
        <v>223</v>
      </c>
      <c r="Y233" s="56"/>
    </row>
    <row r="234" spans="3:25" x14ac:dyDescent="0.3">
      <c r="C234" s="170">
        <f t="shared" si="15"/>
        <v>44133</v>
      </c>
      <c r="E234" s="284">
        <v>503176</v>
      </c>
      <c r="F234" s="7"/>
      <c r="G234" s="7">
        <v>234547</v>
      </c>
      <c r="H234" s="7"/>
      <c r="I234" s="7">
        <v>70446</v>
      </c>
      <c r="J234" s="287"/>
      <c r="K234" s="7">
        <f t="shared" ref="K234" si="61">SUM(E234:I234)</f>
        <v>808169</v>
      </c>
      <c r="L234" s="6"/>
      <c r="M234" s="481">
        <f t="shared" ref="M234" si="62">+(K234-K233)/K233</f>
        <v>6.686588581728224E-3</v>
      </c>
      <c r="N234" s="29"/>
      <c r="O234" s="29"/>
      <c r="P234" s="29"/>
      <c r="Q234" s="375">
        <f t="shared" ref="Q234" si="63">+K234-K233</f>
        <v>5368</v>
      </c>
      <c r="R234" s="6"/>
      <c r="S234" s="7">
        <f>33433+16306+4595</f>
        <v>54334</v>
      </c>
      <c r="T234" s="6"/>
      <c r="U234" s="286">
        <f t="shared" ref="U234" si="64">+S234/K234</f>
        <v>6.723098757809319E-2</v>
      </c>
      <c r="W234">
        <f t="shared" si="20"/>
        <v>224</v>
      </c>
      <c r="Y234" s="56"/>
    </row>
    <row r="235" spans="3:25" x14ac:dyDescent="0.3">
      <c r="C235" s="170">
        <f t="shared" si="15"/>
        <v>44134</v>
      </c>
      <c r="E235" s="284">
        <v>505431</v>
      </c>
      <c r="F235" s="7"/>
      <c r="G235" s="7">
        <v>236523</v>
      </c>
      <c r="H235" s="7"/>
      <c r="I235" s="7">
        <v>71207</v>
      </c>
      <c r="J235" s="287"/>
      <c r="K235" s="7">
        <f t="shared" ref="K235" si="65">SUM(E235:I235)</f>
        <v>813161</v>
      </c>
      <c r="L235" s="6"/>
      <c r="M235" s="481">
        <f t="shared" ref="M235" si="66">+(K235-K234)/K234</f>
        <v>6.1769258657533264E-3</v>
      </c>
      <c r="N235" s="29"/>
      <c r="O235" s="29"/>
      <c r="P235" s="29"/>
      <c r="Q235" s="375">
        <f t="shared" ref="Q235" si="67">+K235-K234</f>
        <v>4992</v>
      </c>
      <c r="R235" s="6"/>
      <c r="S235" s="7">
        <f>33506+16339+4616</f>
        <v>54461</v>
      </c>
      <c r="T235" s="6"/>
      <c r="U235" s="286">
        <f t="shared" ref="U235" si="68">+S235/K235</f>
        <v>6.697443679664912E-2</v>
      </c>
      <c r="W235">
        <f t="shared" si="20"/>
        <v>225</v>
      </c>
      <c r="Y235" s="56"/>
    </row>
    <row r="236" spans="3:25" x14ac:dyDescent="0.3">
      <c r="C236" s="170">
        <f t="shared" si="15"/>
        <v>44135</v>
      </c>
      <c r="E236" s="284">
        <v>507543</v>
      </c>
      <c r="F236" s="7"/>
      <c r="G236" s="7">
        <v>237886</v>
      </c>
      <c r="H236" s="7"/>
      <c r="I236" s="7">
        <v>71207</v>
      </c>
      <c r="J236" s="287"/>
      <c r="K236" s="7">
        <f t="shared" ref="K236" si="69">SUM(E236:I236)</f>
        <v>816636</v>
      </c>
      <c r="L236" s="6"/>
      <c r="M236" s="481">
        <f t="shared" ref="M236" si="70">+(K236-K235)/K235</f>
        <v>4.2734464638614E-3</v>
      </c>
      <c r="N236" s="29"/>
      <c r="O236" s="29"/>
      <c r="P236" s="29"/>
      <c r="Q236" s="375">
        <f t="shared" ref="Q236" si="71">+K236-K235</f>
        <v>3475</v>
      </c>
      <c r="R236" s="6"/>
      <c r="S236" s="7">
        <f>33511+16350+4616</f>
        <v>54477</v>
      </c>
      <c r="T236" s="6"/>
      <c r="U236" s="286">
        <f t="shared" ref="U236" si="72">+S236/K236</f>
        <v>6.6709035604602299E-2</v>
      </c>
      <c r="W236">
        <f t="shared" si="20"/>
        <v>226</v>
      </c>
      <c r="Y236" s="56"/>
    </row>
    <row r="237" spans="3:25" x14ac:dyDescent="0.3">
      <c r="C237" s="170">
        <f t="shared" si="15"/>
        <v>44136</v>
      </c>
      <c r="E237" s="284">
        <v>509735</v>
      </c>
      <c r="F237" s="7"/>
      <c r="G237" s="7">
        <v>239629</v>
      </c>
      <c r="H237" s="7"/>
      <c r="I237" s="7">
        <v>71207</v>
      </c>
      <c r="J237" s="287"/>
      <c r="K237" s="7">
        <f t="shared" ref="K237" si="73">SUM(E237:I237)</f>
        <v>820571</v>
      </c>
      <c r="L237" s="6"/>
      <c r="M237" s="481">
        <f t="shared" ref="M237" si="74">+(K237-K236)/K236</f>
        <v>4.8185482883438885E-3</v>
      </c>
      <c r="N237" s="29"/>
      <c r="O237" s="29"/>
      <c r="P237" s="29"/>
      <c r="Q237" s="375">
        <f t="shared" ref="Q237" si="75">+K237-K236</f>
        <v>3935</v>
      </c>
      <c r="R237" s="6"/>
      <c r="S237" s="7">
        <f>33535+16354+4616</f>
        <v>54505</v>
      </c>
      <c r="T237" s="6"/>
      <c r="U237" s="286">
        <f t="shared" ref="U237" si="76">+S237/K237</f>
        <v>6.6423258925796799E-2</v>
      </c>
      <c r="W237">
        <f t="shared" si="20"/>
        <v>227</v>
      </c>
      <c r="Y237" s="56"/>
    </row>
    <row r="238" spans="3:25" x14ac:dyDescent="0.3">
      <c r="C238" s="170">
        <f t="shared" si="15"/>
        <v>44137</v>
      </c>
      <c r="E238" s="284">
        <v>511368</v>
      </c>
      <c r="F238" s="7"/>
      <c r="G238" s="7">
        <v>240997</v>
      </c>
      <c r="H238" s="7"/>
      <c r="I238" s="7">
        <v>73858</v>
      </c>
      <c r="J238" s="287"/>
      <c r="K238" s="7">
        <f t="shared" ref="K238" si="77">SUM(E238:I238)</f>
        <v>826223</v>
      </c>
      <c r="L238" s="6"/>
      <c r="M238" s="481">
        <f t="shared" ref="M238" si="78">+(K238-K237)/K237</f>
        <v>6.8878866057903582E-3</v>
      </c>
      <c r="N238" s="29"/>
      <c r="O238" s="29"/>
      <c r="P238" s="29"/>
      <c r="Q238" s="375">
        <f t="shared" ref="Q238" si="79">+K238-K237</f>
        <v>5652</v>
      </c>
      <c r="R238" s="6"/>
      <c r="S238" s="7">
        <f>33535+16354+4616</f>
        <v>54505</v>
      </c>
      <c r="T238" s="6"/>
      <c r="U238" s="286">
        <f t="shared" ref="U238" si="80">+S238/K238</f>
        <v>6.5968872810367174E-2</v>
      </c>
      <c r="W238">
        <f t="shared" si="20"/>
        <v>228</v>
      </c>
      <c r="Y238" s="56"/>
    </row>
    <row r="239" spans="3:25" x14ac:dyDescent="0.3">
      <c r="C239" s="170">
        <f t="shared" si="15"/>
        <v>44138</v>
      </c>
      <c r="E239" s="284">
        <v>513689</v>
      </c>
      <c r="F239" s="7"/>
      <c r="G239" s="7">
        <v>242825</v>
      </c>
      <c r="H239" s="7"/>
      <c r="I239" s="7">
        <v>74843</v>
      </c>
      <c r="J239" s="287"/>
      <c r="K239" s="7">
        <f t="shared" ref="K239" si="81">SUM(E239:I239)</f>
        <v>831357</v>
      </c>
      <c r="L239" s="6"/>
      <c r="M239" s="481">
        <f t="shared" ref="M239" si="82">+(K239-K238)/K238</f>
        <v>6.2138187874217973E-3</v>
      </c>
      <c r="N239" s="29"/>
      <c r="O239" s="29"/>
      <c r="P239" s="29"/>
      <c r="Q239" s="375">
        <f t="shared" ref="Q239" si="83">+K239-K238</f>
        <v>5134</v>
      </c>
      <c r="R239" s="6"/>
      <c r="S239" s="7">
        <f>33543+16371+4635</f>
        <v>54549</v>
      </c>
      <c r="T239" s="6"/>
      <c r="U239" s="286">
        <f t="shared" ref="U239" si="84">+S239/K239</f>
        <v>6.5614411137453588E-2</v>
      </c>
      <c r="W239">
        <f t="shared" si="20"/>
        <v>229</v>
      </c>
      <c r="Y239" s="56"/>
    </row>
    <row r="240" spans="3:25" x14ac:dyDescent="0.3">
      <c r="C240" s="170">
        <f t="shared" si="15"/>
        <v>44139</v>
      </c>
      <c r="E240" s="284">
        <v>513689</v>
      </c>
      <c r="F240" s="7"/>
      <c r="G240" s="7">
        <v>245257</v>
      </c>
      <c r="H240" s="7"/>
      <c r="I240" s="7">
        <v>75373</v>
      </c>
      <c r="J240" s="287"/>
      <c r="K240" s="7">
        <f t="shared" ref="K240" si="85">SUM(E240:I240)</f>
        <v>834319</v>
      </c>
      <c r="L240" s="6"/>
      <c r="M240" s="481">
        <f t="shared" ref="M240" si="86">+(K240-K239)/K239</f>
        <v>3.5628496542399954E-3</v>
      </c>
      <c r="N240" s="29"/>
      <c r="O240" s="29"/>
      <c r="P240" s="29"/>
      <c r="Q240" s="375">
        <f t="shared" ref="Q240" si="87">+K240-K239</f>
        <v>2962</v>
      </c>
      <c r="R240" s="6"/>
      <c r="S240" s="7">
        <f>33556+16391+4645</f>
        <v>54592</v>
      </c>
      <c r="T240" s="6"/>
      <c r="U240" s="286">
        <f t="shared" ref="U240" si="88">+S240/K240</f>
        <v>6.543300584069163E-2</v>
      </c>
      <c r="W240">
        <f t="shared" si="20"/>
        <v>230</v>
      </c>
      <c r="Y240" s="56"/>
    </row>
    <row r="241" spans="3:25" x14ac:dyDescent="0.3">
      <c r="C241" s="170">
        <f t="shared" si="15"/>
        <v>44140</v>
      </c>
      <c r="E241" s="284">
        <v>518812</v>
      </c>
      <c r="F241" s="7"/>
      <c r="G241" s="7">
        <v>247219</v>
      </c>
      <c r="H241" s="7"/>
      <c r="I241" s="7">
        <v>77060</v>
      </c>
      <c r="J241" s="287"/>
      <c r="K241" s="7">
        <f t="shared" ref="K241" si="89">SUM(E241:I241)</f>
        <v>843091</v>
      </c>
      <c r="L241" s="6"/>
      <c r="M241" s="481">
        <f t="shared" ref="M241" si="90">+(K241-K240)/K240</f>
        <v>1.0513964083282293E-2</v>
      </c>
      <c r="N241" s="29"/>
      <c r="O241" s="29"/>
      <c r="P241" s="29"/>
      <c r="Q241" s="375">
        <f t="shared" ref="Q241" si="91">+K241-K240</f>
        <v>8772</v>
      </c>
      <c r="R241" s="6"/>
      <c r="S241" s="7">
        <f>33657+16403+4656</f>
        <v>54716</v>
      </c>
      <c r="T241" s="6"/>
      <c r="U241" s="286">
        <f t="shared" ref="U241" si="92">+S241/K241</f>
        <v>6.4899281334992315E-2</v>
      </c>
      <c r="W241">
        <f t="shared" si="20"/>
        <v>231</v>
      </c>
      <c r="Y241" s="56"/>
    </row>
    <row r="242" spans="3:25" x14ac:dyDescent="0.3">
      <c r="C242" s="170">
        <f t="shared" si="15"/>
        <v>44141</v>
      </c>
      <c r="E242" s="284">
        <v>522021</v>
      </c>
      <c r="F242" s="7"/>
      <c r="G242" s="7">
        <v>249380</v>
      </c>
      <c r="H242" s="7"/>
      <c r="I242" s="7">
        <v>78125</v>
      </c>
      <c r="J242" s="287"/>
      <c r="K242" s="7">
        <f t="shared" ref="K242" si="93">SUM(E242:I242)</f>
        <v>849526</v>
      </c>
      <c r="L242" s="6"/>
      <c r="M242" s="481">
        <f t="shared" ref="M242" si="94">+(K242-K241)/K241</f>
        <v>7.6326280318494682E-3</v>
      </c>
      <c r="N242" s="29"/>
      <c r="O242" s="29"/>
      <c r="P242" s="29"/>
      <c r="Q242" s="375">
        <f t="shared" ref="Q242" si="95">+K242-K241</f>
        <v>6435</v>
      </c>
      <c r="R242" s="6"/>
      <c r="S242" s="7">
        <f>33654+16416+4671</f>
        <v>54741</v>
      </c>
      <c r="T242" s="6"/>
      <c r="U242" s="286">
        <f t="shared" ref="U242" si="96">+S242/K242</f>
        <v>6.4437109635255424E-2</v>
      </c>
      <c r="W242">
        <f t="shared" si="20"/>
        <v>232</v>
      </c>
      <c r="Y242" s="56"/>
    </row>
    <row r="243" spans="3:25" x14ac:dyDescent="0.3">
      <c r="C243" s="170">
        <f t="shared" si="15"/>
        <v>44142</v>
      </c>
      <c r="E243" s="284">
        <v>525608</v>
      </c>
      <c r="F243" s="7"/>
      <c r="G243" s="7">
        <v>252582</v>
      </c>
      <c r="H243" s="7"/>
      <c r="I243" s="7">
        <v>78125</v>
      </c>
      <c r="J243" s="287"/>
      <c r="K243" s="7">
        <f t="shared" ref="K243" si="97">SUM(E243:I243)</f>
        <v>856315</v>
      </c>
      <c r="L243" s="6"/>
      <c r="M243" s="481">
        <f t="shared" ref="M243" si="98">+(K243-K242)/K242</f>
        <v>7.9915152685144427E-3</v>
      </c>
      <c r="N243" s="29"/>
      <c r="O243" s="29"/>
      <c r="P243" s="29"/>
      <c r="Q243" s="375">
        <f t="shared" ref="Q243" si="99">+K243-K242</f>
        <v>6789</v>
      </c>
      <c r="R243" s="6"/>
      <c r="S243" s="7">
        <f>33654+16416+4671</f>
        <v>54741</v>
      </c>
      <c r="T243" s="6"/>
      <c r="U243" s="286">
        <f t="shared" ref="U243" si="100">+S243/K243</f>
        <v>6.3926242095490568E-2</v>
      </c>
      <c r="W243">
        <f t="shared" si="20"/>
        <v>233</v>
      </c>
      <c r="Y243" s="56"/>
    </row>
    <row r="244" spans="3:25" x14ac:dyDescent="0.3">
      <c r="C244" s="170">
        <f t="shared" si="15"/>
        <v>44143</v>
      </c>
      <c r="E244" s="284">
        <v>529036</v>
      </c>
      <c r="F244" s="7"/>
      <c r="G244" s="7">
        <v>254595</v>
      </c>
      <c r="H244" s="7"/>
      <c r="I244" s="7">
        <v>78125</v>
      </c>
      <c r="J244" s="287"/>
      <c r="K244" s="7">
        <f t="shared" ref="K244" si="101">SUM(E244:I244)</f>
        <v>861756</v>
      </c>
      <c r="L244" s="6"/>
      <c r="M244" s="481">
        <f t="shared" ref="M244" si="102">+(K244-K243)/K243</f>
        <v>6.3539702095607338E-3</v>
      </c>
      <c r="N244" s="29"/>
      <c r="O244" s="29"/>
      <c r="P244" s="29"/>
      <c r="Q244" s="375">
        <f t="shared" ref="Q244" si="103">+K244-K243</f>
        <v>5441</v>
      </c>
      <c r="R244" s="6"/>
      <c r="S244" s="7">
        <f>33694+16429+4671</f>
        <v>54794</v>
      </c>
      <c r="T244" s="6"/>
      <c r="U244" s="286">
        <f t="shared" ref="U244" si="104">+S244/K244</f>
        <v>6.3584123580224569E-2</v>
      </c>
      <c r="W244">
        <f t="shared" si="20"/>
        <v>234</v>
      </c>
      <c r="Y244" s="56"/>
    </row>
    <row r="245" spans="3:25" x14ac:dyDescent="0.3">
      <c r="C245" s="170">
        <f t="shared" si="15"/>
        <v>44144</v>
      </c>
      <c r="E245" s="284">
        <v>532180</v>
      </c>
      <c r="F245" s="7"/>
      <c r="G245" s="7">
        <v>256653</v>
      </c>
      <c r="H245" s="7"/>
      <c r="I245" s="7">
        <v>81432</v>
      </c>
      <c r="J245" s="287"/>
      <c r="K245" s="7">
        <f t="shared" ref="K245" si="105">SUM(E245:I245)</f>
        <v>870265</v>
      </c>
      <c r="L245" s="6"/>
      <c r="M245" s="481">
        <f t="shared" ref="M245" si="106">+(K245-K244)/K244</f>
        <v>9.8740246659147143E-3</v>
      </c>
      <c r="N245" s="29"/>
      <c r="O245" s="29"/>
      <c r="P245" s="29"/>
      <c r="Q245" s="375">
        <f t="shared" ref="Q245" si="107">+K245-K244</f>
        <v>8509</v>
      </c>
      <c r="R245" s="6"/>
      <c r="S245" s="7">
        <f>33706+16440+4698</f>
        <v>54844</v>
      </c>
      <c r="T245" s="6"/>
      <c r="U245" s="286">
        <f t="shared" ref="U245" si="108">+S245/K245</f>
        <v>6.301988474774925E-2</v>
      </c>
      <c r="W245">
        <f t="shared" si="20"/>
        <v>235</v>
      </c>
      <c r="Y245" s="56"/>
    </row>
    <row r="246" spans="3:25" x14ac:dyDescent="0.3">
      <c r="C246" s="170">
        <f t="shared" si="15"/>
        <v>44145</v>
      </c>
      <c r="E246" s="284">
        <v>532180</v>
      </c>
      <c r="F246" s="7"/>
      <c r="G246" s="7">
        <v>260430</v>
      </c>
      <c r="H246" s="7"/>
      <c r="I246" s="7">
        <v>82953</v>
      </c>
      <c r="J246" s="287"/>
      <c r="K246" s="7">
        <f t="shared" ref="K246" si="109">SUM(E246:I246)</f>
        <v>875563</v>
      </c>
      <c r="L246" s="6"/>
      <c r="M246" s="481">
        <f t="shared" ref="M246" si="110">+(K246-K245)/K245</f>
        <v>6.0878008422721817E-3</v>
      </c>
      <c r="N246" s="29"/>
      <c r="O246" s="29"/>
      <c r="P246" s="29"/>
      <c r="Q246" s="375">
        <f t="shared" ref="Q246" si="111">+K246-K245</f>
        <v>5298</v>
      </c>
      <c r="R246" s="6"/>
      <c r="S246" s="7">
        <f>33706+16461+4707</f>
        <v>54874</v>
      </c>
      <c r="T246" s="6"/>
      <c r="U246" s="286">
        <f t="shared" ref="U246" si="112">+S246/K246</f>
        <v>6.2672817375791348E-2</v>
      </c>
      <c r="W246">
        <f t="shared" si="20"/>
        <v>236</v>
      </c>
      <c r="Y246" s="56"/>
    </row>
    <row r="247" spans="3:25" x14ac:dyDescent="0.3">
      <c r="C247" s="170">
        <f t="shared" si="15"/>
        <v>44146</v>
      </c>
      <c r="E247" s="284">
        <v>540965</v>
      </c>
      <c r="F247" s="7"/>
      <c r="G247" s="7">
        <v>263495</v>
      </c>
      <c r="H247" s="7"/>
      <c r="I247" s="7">
        <v>84707</v>
      </c>
      <c r="J247" s="287"/>
      <c r="K247" s="7">
        <f t="shared" ref="K247" si="113">SUM(E247:I247)</f>
        <v>889167</v>
      </c>
      <c r="L247" s="6"/>
      <c r="M247" s="481">
        <f t="shared" ref="M247" si="114">+(K247-K246)/K246</f>
        <v>1.553743134417512E-2</v>
      </c>
      <c r="N247" s="29"/>
      <c r="O247" s="29"/>
      <c r="P247" s="29"/>
      <c r="Q247" s="375">
        <f t="shared" ref="Q247" si="115">+K247-K246</f>
        <v>13604</v>
      </c>
      <c r="R247" s="6"/>
      <c r="S247" s="7">
        <f>33716+16476+4716</f>
        <v>54908</v>
      </c>
      <c r="T247" s="6"/>
      <c r="U247" s="286">
        <f t="shared" ref="U247" si="116">+S247/K247</f>
        <v>6.1752179286905608E-2</v>
      </c>
      <c r="W247">
        <f t="shared" si="20"/>
        <v>237</v>
      </c>
      <c r="Y247" s="56"/>
    </row>
    <row r="248" spans="3:25" x14ac:dyDescent="0.3">
      <c r="C248" s="170">
        <f t="shared" si="15"/>
        <v>44147</v>
      </c>
      <c r="E248" s="284">
        <v>545762</v>
      </c>
      <c r="F248" s="7"/>
      <c r="G248" s="7">
        <v>266986</v>
      </c>
      <c r="H248" s="7"/>
      <c r="I248" s="7">
        <v>85899</v>
      </c>
      <c r="J248" s="287"/>
      <c r="K248" s="7">
        <f t="shared" ref="K248" si="117">SUM(E248:I248)</f>
        <v>898647</v>
      </c>
      <c r="L248" s="6"/>
      <c r="M248" s="481">
        <f t="shared" ref="M248" si="118">+(K248-K247)/K247</f>
        <v>1.0661664231803475E-2</v>
      </c>
      <c r="N248" s="29"/>
      <c r="O248" s="29"/>
      <c r="P248" s="29"/>
      <c r="Q248" s="375">
        <f t="shared" ref="Q248" si="119">+K248-K247</f>
        <v>9480</v>
      </c>
      <c r="R248" s="6"/>
      <c r="S248" s="7">
        <f>33741+16495+4726</f>
        <v>54962</v>
      </c>
      <c r="T248" s="6"/>
      <c r="U248" s="286">
        <f t="shared" ref="U248" si="120">+S248/K248</f>
        <v>6.1160834009349609E-2</v>
      </c>
      <c r="W248">
        <f t="shared" si="20"/>
        <v>238</v>
      </c>
      <c r="Y248" s="56"/>
    </row>
    <row r="249" spans="3:25" x14ac:dyDescent="0.3">
      <c r="C249" s="170">
        <f t="shared" si="15"/>
        <v>44148</v>
      </c>
      <c r="E249" s="284">
        <v>545762</v>
      </c>
      <c r="F249" s="7"/>
      <c r="G249" s="7">
        <v>270383</v>
      </c>
      <c r="H249" s="7"/>
      <c r="I249" s="7">
        <v>88645</v>
      </c>
      <c r="J249" s="287"/>
      <c r="K249" s="7">
        <f t="shared" ref="K249" si="121">SUM(E249:I249)</f>
        <v>904790</v>
      </c>
      <c r="L249" s="6"/>
      <c r="M249" s="481">
        <f t="shared" ref="M249" si="122">+(K249-K248)/K248</f>
        <v>6.8358320897972174E-3</v>
      </c>
      <c r="N249" s="29"/>
      <c r="O249" s="29"/>
      <c r="P249" s="29"/>
      <c r="Q249" s="375">
        <f t="shared" ref="Q249" si="123">+K249-K248</f>
        <v>6143</v>
      </c>
      <c r="R249" s="6"/>
      <c r="S249" s="7">
        <f>33993+16522+4737</f>
        <v>55252</v>
      </c>
      <c r="T249" s="6"/>
      <c r="U249" s="286">
        <f t="shared" ref="U249" si="124">+S249/K249</f>
        <v>6.1066103736778697E-2</v>
      </c>
      <c r="W249">
        <f t="shared" si="20"/>
        <v>239</v>
      </c>
      <c r="Y249" s="56"/>
    </row>
    <row r="250" spans="3:25" x14ac:dyDescent="0.3">
      <c r="C250" s="170">
        <f t="shared" si="15"/>
        <v>44149</v>
      </c>
      <c r="E250" s="284">
        <v>556551</v>
      </c>
      <c r="F250" s="7"/>
      <c r="G250" s="7">
        <v>274736</v>
      </c>
      <c r="H250" s="7"/>
      <c r="I250" s="7">
        <v>88645</v>
      </c>
      <c r="J250" s="287"/>
      <c r="K250" s="7">
        <f t="shared" ref="K250" si="125">SUM(E250:I250)</f>
        <v>919932</v>
      </c>
      <c r="L250" s="6"/>
      <c r="M250" s="481">
        <f t="shared" ref="M250" si="126">+(K250-K249)/K249</f>
        <v>1.673537505940605E-2</v>
      </c>
      <c r="N250" s="29"/>
      <c r="O250" s="29"/>
      <c r="P250" s="29"/>
      <c r="Q250" s="375">
        <f t="shared" ref="Q250" si="127">+K250-K249</f>
        <v>15142</v>
      </c>
      <c r="R250" s="6"/>
      <c r="S250" s="7">
        <f>33993+16522+4737</f>
        <v>55252</v>
      </c>
      <c r="T250" s="6"/>
      <c r="U250" s="286">
        <f t="shared" ref="U250" si="128">+S250/K250</f>
        <v>6.0060961027554212E-2</v>
      </c>
      <c r="W250">
        <f t="shared" si="20"/>
        <v>240</v>
      </c>
      <c r="Y250" s="56"/>
    </row>
    <row r="251" spans="3:25" x14ac:dyDescent="0.3">
      <c r="C251" s="170">
        <f t="shared" si="15"/>
        <v>44150</v>
      </c>
      <c r="E251" s="284">
        <v>563690</v>
      </c>
      <c r="F251" s="7"/>
      <c r="G251" s="7">
        <v>281493</v>
      </c>
      <c r="H251" s="7"/>
      <c r="I251" s="7">
        <v>93284</v>
      </c>
      <c r="J251" s="287"/>
      <c r="K251" s="7">
        <f t="shared" ref="K251" si="129">SUM(E251:I251)</f>
        <v>938467</v>
      </c>
      <c r="L251" s="6"/>
      <c r="M251" s="481">
        <f t="shared" ref="M251" si="130">+(K251-K250)/K250</f>
        <v>2.0148228347312627E-2</v>
      </c>
      <c r="N251" s="29"/>
      <c r="O251" s="29"/>
      <c r="P251" s="29"/>
      <c r="Q251" s="375">
        <f t="shared" ref="Q251" si="131">+K251-K250</f>
        <v>18535</v>
      </c>
      <c r="R251" s="6"/>
      <c r="S251" s="7">
        <f>34054+16580+4759</f>
        <v>55393</v>
      </c>
      <c r="T251" s="6"/>
      <c r="U251" s="286">
        <f t="shared" ref="U251" si="132">+S251/K251</f>
        <v>5.9024984362795921E-2</v>
      </c>
      <c r="W251">
        <f t="shared" si="20"/>
        <v>241</v>
      </c>
      <c r="Y251" s="56"/>
    </row>
    <row r="252" spans="3:25" x14ac:dyDescent="0.3">
      <c r="C252" s="170">
        <f t="shared" si="15"/>
        <v>44151</v>
      </c>
      <c r="E252" s="284">
        <v>568778</v>
      </c>
      <c r="F252" s="7"/>
      <c r="G252" s="7">
        <v>285519</v>
      </c>
      <c r="H252" s="7"/>
      <c r="I252" s="7">
        <v>94986</v>
      </c>
      <c r="J252" s="287"/>
      <c r="K252" s="7">
        <f t="shared" ref="K252" si="133">SUM(E252:I252)</f>
        <v>949283</v>
      </c>
      <c r="L252" s="6"/>
      <c r="M252" s="481">
        <f t="shared" ref="M252" si="134">+(K252-K251)/K251</f>
        <v>1.1525178828877308E-2</v>
      </c>
      <c r="N252" s="29"/>
      <c r="O252" s="29"/>
      <c r="P252" s="29"/>
      <c r="Q252" s="375">
        <f t="shared" ref="Q252" si="135">+K252-K251</f>
        <v>10816</v>
      </c>
      <c r="R252" s="6"/>
      <c r="S252" s="7">
        <f>34076+16618+4771</f>
        <v>55465</v>
      </c>
      <c r="T252" s="6"/>
      <c r="U252" s="286">
        <f t="shared" ref="U252" si="136">+S252/K252</f>
        <v>5.8428308523380275E-2</v>
      </c>
      <c r="W252">
        <f t="shared" si="20"/>
        <v>242</v>
      </c>
      <c r="Y252" s="56"/>
    </row>
    <row r="253" spans="3:25" x14ac:dyDescent="0.3">
      <c r="C253" s="170">
        <f t="shared" si="15"/>
        <v>44152</v>
      </c>
      <c r="E253" s="284">
        <v>574072</v>
      </c>
      <c r="F253" s="7"/>
      <c r="G253" s="7">
        <v>289562</v>
      </c>
      <c r="H253" s="7"/>
      <c r="I253" s="7">
        <v>97028</v>
      </c>
      <c r="J253" s="287"/>
      <c r="K253" s="7">
        <f t="shared" ref="K253" si="137">SUM(E253:I253)</f>
        <v>960662</v>
      </c>
      <c r="L253" s="6"/>
      <c r="M253" s="481">
        <f t="shared" ref="M253" si="138">+(K253-K252)/K252</f>
        <v>1.1986941723384912E-2</v>
      </c>
      <c r="N253" s="29"/>
      <c r="O253" s="29"/>
      <c r="P253" s="29"/>
      <c r="Q253" s="375">
        <f t="shared" ref="Q253" si="139">+K253-K252</f>
        <v>11379</v>
      </c>
      <c r="R253" s="6"/>
      <c r="S253" s="7">
        <f>34076+16618+4771</f>
        <v>55465</v>
      </c>
      <c r="T253" s="6"/>
      <c r="U253" s="286">
        <f t="shared" ref="U253" si="140">+S253/K253</f>
        <v>5.7736227726297072E-2</v>
      </c>
      <c r="W253">
        <f t="shared" si="20"/>
        <v>243</v>
      </c>
      <c r="Y253" s="56"/>
    </row>
    <row r="254" spans="3:25" x14ac:dyDescent="0.3">
      <c r="C254" s="170">
        <f t="shared" si="15"/>
        <v>44153</v>
      </c>
      <c r="E254" s="284">
        <v>574072</v>
      </c>
      <c r="F254" s="7"/>
      <c r="G254" s="7">
        <v>289562</v>
      </c>
      <c r="H254" s="7"/>
      <c r="I254" s="7">
        <v>97028</v>
      </c>
      <c r="J254" s="287"/>
      <c r="K254" s="7">
        <f t="shared" ref="K254" si="141">SUM(E254:I254)</f>
        <v>960662</v>
      </c>
      <c r="L254" s="6"/>
      <c r="M254" s="481">
        <f t="shared" ref="M254" si="142">+(K254-K253)/K253</f>
        <v>0</v>
      </c>
      <c r="N254" s="29"/>
      <c r="O254" s="29"/>
      <c r="P254" s="29"/>
      <c r="Q254" s="375">
        <f t="shared" ref="Q254" si="143">+K254-K253</f>
        <v>0</v>
      </c>
      <c r="R254" s="6"/>
      <c r="S254" s="7">
        <f>34076+16618+4771</f>
        <v>55465</v>
      </c>
      <c r="T254" s="6"/>
      <c r="U254" s="286">
        <f t="shared" ref="U254" si="144">+S254/K254</f>
        <v>5.7736227726297072E-2</v>
      </c>
      <c r="W254">
        <f t="shared" si="20"/>
        <v>244</v>
      </c>
      <c r="Y254" s="56"/>
    </row>
    <row r="255" spans="3:25" x14ac:dyDescent="0.3">
      <c r="C255" s="170">
        <f t="shared" si="15"/>
        <v>44154</v>
      </c>
      <c r="E255" s="284">
        <v>579382</v>
      </c>
      <c r="F255" s="7"/>
      <c r="G255" s="7">
        <v>293744</v>
      </c>
      <c r="H255" s="7"/>
      <c r="I255" s="7">
        <v>99381</v>
      </c>
      <c r="J255" s="287"/>
      <c r="K255" s="7">
        <f t="shared" ref="K255" si="145">SUM(E255:I255)</f>
        <v>972507</v>
      </c>
      <c r="L255" s="6"/>
      <c r="M255" s="481">
        <f t="shared" ref="M255" si="146">+(K255-K254)/K254</f>
        <v>1.2330039077219667E-2</v>
      </c>
      <c r="N255" s="29"/>
      <c r="O255" s="29"/>
      <c r="P255" s="29"/>
      <c r="Q255" s="375">
        <f t="shared" ref="Q255" si="147">+K255-K254</f>
        <v>11845</v>
      </c>
      <c r="R255" s="6"/>
      <c r="S255" s="7">
        <f>34076+16618+4771</f>
        <v>55465</v>
      </c>
      <c r="T255" s="6"/>
      <c r="U255" s="286">
        <f t="shared" ref="U255" si="148">+S255/K255</f>
        <v>5.7033008502766561E-2</v>
      </c>
      <c r="W255">
        <f t="shared" si="20"/>
        <v>245</v>
      </c>
      <c r="Y255" s="56"/>
    </row>
    <row r="256" spans="3:25" x14ac:dyDescent="0.3">
      <c r="C256" s="170">
        <f t="shared" si="15"/>
        <v>44155</v>
      </c>
      <c r="E256" s="284">
        <v>584850</v>
      </c>
      <c r="F256" s="7"/>
      <c r="G256" s="7">
        <v>297370</v>
      </c>
      <c r="H256" s="7"/>
      <c r="I256" s="7">
        <v>101469</v>
      </c>
      <c r="J256" s="287"/>
      <c r="K256" s="7">
        <f t="shared" ref="K256" si="149">SUM(E256:I256)</f>
        <v>983689</v>
      </c>
      <c r="L256" s="6"/>
      <c r="M256" s="481">
        <f t="shared" ref="M256" si="150">+(K256-K255)/K255</f>
        <v>1.1498117751337522E-2</v>
      </c>
      <c r="N256" s="29"/>
      <c r="O256" s="29"/>
      <c r="P256" s="29"/>
      <c r="Q256" s="375">
        <f t="shared" ref="Q256" si="151">+K256-K255</f>
        <v>11182</v>
      </c>
      <c r="R256" s="6"/>
      <c r="S256" s="7">
        <f>34252+16712+4828</f>
        <v>55792</v>
      </c>
      <c r="T256" s="6"/>
      <c r="U256" s="286">
        <f t="shared" ref="U256" si="152">+S256/K256</f>
        <v>5.671711282732652E-2</v>
      </c>
      <c r="W256">
        <f t="shared" si="20"/>
        <v>246</v>
      </c>
      <c r="Y256" s="56"/>
    </row>
    <row r="257" spans="3:41" x14ac:dyDescent="0.3">
      <c r="C257" s="170">
        <f t="shared" si="15"/>
        <v>44156</v>
      </c>
      <c r="E257" s="284">
        <v>590823</v>
      </c>
      <c r="F257" s="7"/>
      <c r="G257" s="7">
        <v>302039</v>
      </c>
      <c r="H257" s="7"/>
      <c r="I257" s="7">
        <v>101469</v>
      </c>
      <c r="J257" s="287"/>
      <c r="K257" s="7">
        <f t="shared" ref="K257" si="153">SUM(E257:I257)</f>
        <v>994331</v>
      </c>
      <c r="L257" s="6"/>
      <c r="M257" s="481">
        <f t="shared" ref="M257" si="154">+(K257-K256)/K256</f>
        <v>1.081845989941943E-2</v>
      </c>
      <c r="N257" s="29"/>
      <c r="O257" s="29"/>
      <c r="P257" s="29"/>
      <c r="Q257" s="375">
        <f t="shared" ref="Q257" si="155">+K257-K256</f>
        <v>10642</v>
      </c>
      <c r="R257" s="6"/>
      <c r="S257" s="7">
        <f>34287+16746+4828</f>
        <v>55861</v>
      </c>
      <c r="T257" s="6"/>
      <c r="U257" s="286">
        <f t="shared" ref="U257" si="156">+S257/K257</f>
        <v>5.6179481480513029E-2</v>
      </c>
      <c r="W257">
        <f t="shared" si="20"/>
        <v>247</v>
      </c>
      <c r="Y257" s="56"/>
    </row>
    <row r="258" spans="3:41" x14ac:dyDescent="0.3">
      <c r="C258" s="170">
        <f t="shared" si="15"/>
        <v>44157</v>
      </c>
      <c r="E258" s="284">
        <v>596214</v>
      </c>
      <c r="F258" s="7"/>
      <c r="G258" s="7">
        <v>313358</v>
      </c>
      <c r="H258" s="7"/>
      <c r="I258" s="7">
        <v>101469</v>
      </c>
      <c r="J258" s="287"/>
      <c r="K258" s="7">
        <f t="shared" ref="K258" si="157">SUM(E258:I258)</f>
        <v>1011041</v>
      </c>
      <c r="L258" s="6"/>
      <c r="M258" s="481">
        <f t="shared" ref="M258" si="158">+(K258-K257)/K257</f>
        <v>1.6805269070359868E-2</v>
      </c>
      <c r="N258" s="29"/>
      <c r="O258" s="29"/>
      <c r="P258" s="29"/>
      <c r="Q258" s="375">
        <f t="shared" ref="Q258" si="159">+K258-K257</f>
        <v>16710</v>
      </c>
      <c r="R258" s="6"/>
      <c r="S258" s="7">
        <f>34319+16761+4828</f>
        <v>55908</v>
      </c>
      <c r="T258" s="6"/>
      <c r="U258" s="286">
        <f t="shared" ref="U258" si="160">+S258/K258</f>
        <v>5.5297460736013673E-2</v>
      </c>
      <c r="W258">
        <f t="shared" si="20"/>
        <v>248</v>
      </c>
      <c r="Y258" s="56"/>
    </row>
    <row r="259" spans="3:41" x14ac:dyDescent="0.3">
      <c r="C259" s="170">
        <f t="shared" si="15"/>
        <v>44158</v>
      </c>
      <c r="E259" s="284"/>
      <c r="F259" s="7"/>
      <c r="G259" s="7"/>
      <c r="H259" s="7"/>
      <c r="I259" s="7"/>
      <c r="J259" s="287"/>
      <c r="K259" s="7"/>
      <c r="L259" s="6"/>
      <c r="M259" s="481"/>
      <c r="N259" s="29"/>
      <c r="O259" s="29"/>
      <c r="P259" s="29"/>
      <c r="Q259" s="375"/>
      <c r="R259" s="6"/>
      <c r="S259" s="7"/>
      <c r="T259" s="6"/>
      <c r="U259" s="286"/>
      <c r="W259">
        <f t="shared" si="20"/>
        <v>249</v>
      </c>
      <c r="Y259" s="56"/>
    </row>
    <row r="260" spans="3:41" x14ac:dyDescent="0.3">
      <c r="C260" s="170">
        <f t="shared" si="15"/>
        <v>44159</v>
      </c>
      <c r="E260" s="284"/>
      <c r="F260" s="7"/>
      <c r="G260" s="7"/>
      <c r="H260" s="7"/>
      <c r="I260" s="7"/>
      <c r="J260" s="287"/>
      <c r="K260" s="7"/>
      <c r="L260" s="6"/>
      <c r="M260" s="481"/>
      <c r="N260" s="29"/>
      <c r="O260" s="29"/>
      <c r="P260" s="29"/>
      <c r="Q260" s="375"/>
      <c r="R260" s="6"/>
      <c r="S260" s="7"/>
      <c r="T260" s="6"/>
      <c r="U260" s="286"/>
      <c r="W260">
        <f t="shared" si="20"/>
        <v>250</v>
      </c>
      <c r="Y260" s="56"/>
    </row>
    <row r="261" spans="3:41" x14ac:dyDescent="0.3">
      <c r="C261" s="170">
        <f t="shared" si="15"/>
        <v>44160</v>
      </c>
      <c r="E261" s="284"/>
      <c r="F261" s="7"/>
      <c r="G261" s="7"/>
      <c r="H261" s="7"/>
      <c r="I261" s="7"/>
      <c r="J261" s="287"/>
      <c r="K261" s="7"/>
      <c r="L261" s="6"/>
      <c r="M261" s="474"/>
      <c r="N261" s="29"/>
      <c r="O261" s="29"/>
      <c r="P261" s="29"/>
      <c r="Q261" s="375"/>
      <c r="R261" s="6"/>
      <c r="S261" s="7"/>
      <c r="T261" s="6"/>
      <c r="U261" s="286"/>
      <c r="W261">
        <f t="shared" si="20"/>
        <v>251</v>
      </c>
      <c r="Y261" s="56"/>
    </row>
    <row r="262" spans="3:41" ht="15" thickBot="1" x14ac:dyDescent="0.35">
      <c r="C262" s="170">
        <f t="shared" si="15"/>
        <v>44161</v>
      </c>
      <c r="E262" s="288"/>
      <c r="F262" s="289"/>
      <c r="G262" s="289"/>
      <c r="H262" s="289"/>
      <c r="I262" s="289"/>
      <c r="J262" s="289"/>
      <c r="K262" s="289"/>
      <c r="L262" s="290"/>
      <c r="M262" s="291"/>
      <c r="N262" s="291"/>
      <c r="O262" s="291"/>
      <c r="P262" s="291"/>
      <c r="Q262" s="374"/>
      <c r="R262" s="290"/>
      <c r="S262" s="290"/>
      <c r="T262" s="290"/>
      <c r="U262" s="292"/>
      <c r="W262">
        <f t="shared" si="20"/>
        <v>252</v>
      </c>
      <c r="Y262" s="59"/>
    </row>
    <row r="263" spans="3:41" x14ac:dyDescent="0.3">
      <c r="E263" s="56"/>
      <c r="F263" s="1"/>
      <c r="G263" s="56"/>
      <c r="H263" s="56"/>
      <c r="I263" s="56"/>
      <c r="J263" s="1"/>
      <c r="K263" s="56"/>
      <c r="S263" s="56"/>
    </row>
    <row r="264" spans="3:41" x14ac:dyDescent="0.3">
      <c r="C264" s="179" t="s">
        <v>81</v>
      </c>
      <c r="E264" s="56">
        <f>+E258</f>
        <v>596214</v>
      </c>
      <c r="F264" s="56"/>
      <c r="G264" s="56">
        <f t="shared" ref="G264:U264" si="161">+G258</f>
        <v>313358</v>
      </c>
      <c r="H264" s="56">
        <f t="shared" si="161"/>
        <v>0</v>
      </c>
      <c r="I264" s="56">
        <f t="shared" si="161"/>
        <v>101469</v>
      </c>
      <c r="J264" s="56">
        <f t="shared" si="161"/>
        <v>0</v>
      </c>
      <c r="K264" s="56">
        <f t="shared" si="161"/>
        <v>1011041</v>
      </c>
      <c r="L264" s="56">
        <f t="shared" si="161"/>
        <v>0</v>
      </c>
      <c r="M264" s="56">
        <f t="shared" si="161"/>
        <v>1.6805269070359868E-2</v>
      </c>
      <c r="N264" s="56">
        <f t="shared" si="161"/>
        <v>0</v>
      </c>
      <c r="O264" s="56">
        <f t="shared" si="161"/>
        <v>0</v>
      </c>
      <c r="P264" s="56">
        <f t="shared" si="161"/>
        <v>0</v>
      </c>
      <c r="Q264" s="56">
        <f t="shared" si="161"/>
        <v>16710</v>
      </c>
      <c r="R264" s="56">
        <f t="shared" si="161"/>
        <v>0</v>
      </c>
      <c r="S264" s="56">
        <f t="shared" si="161"/>
        <v>55908</v>
      </c>
      <c r="T264" s="56">
        <f t="shared" si="161"/>
        <v>0</v>
      </c>
      <c r="U264" s="56">
        <f t="shared" si="161"/>
        <v>5.5297460736013673E-2</v>
      </c>
      <c r="V264" s="56">
        <f>+V199</f>
        <v>0</v>
      </c>
    </row>
    <row r="265" spans="3:41" x14ac:dyDescent="0.3">
      <c r="E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</row>
    <row r="266" spans="3:41" x14ac:dyDescent="0.3">
      <c r="E266" s="59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</row>
    <row r="267" spans="3:41" x14ac:dyDescent="0.3">
      <c r="C267" s="123"/>
      <c r="D267" s="124"/>
      <c r="E267" s="392"/>
      <c r="F267" s="10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</row>
    <row r="268" spans="3:41" x14ac:dyDescent="0.3">
      <c r="E268" s="56"/>
      <c r="K268" s="56"/>
      <c r="Q268" s="56"/>
    </row>
    <row r="269" spans="3:41" x14ac:dyDescent="0.3">
      <c r="Q269" s="56"/>
      <c r="S269" s="59"/>
    </row>
    <row r="272" spans="3:41" x14ac:dyDescent="0.3">
      <c r="AO272" s="1">
        <v>3797000</v>
      </c>
    </row>
    <row r="273" spans="3:41" x14ac:dyDescent="0.3">
      <c r="C273" s="1"/>
    </row>
    <row r="274" spans="3:41" x14ac:dyDescent="0.3">
      <c r="C274" s="1"/>
      <c r="AO274" s="1">
        <v>30000</v>
      </c>
    </row>
    <row r="275" spans="3:41" x14ac:dyDescent="0.3">
      <c r="C275" s="59"/>
    </row>
    <row r="276" spans="3:41" x14ac:dyDescent="0.3">
      <c r="AO276" s="277">
        <f>+AO274/AO272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50"/>
  <sheetViews>
    <sheetView topLeftCell="A175" workbookViewId="0">
      <selection activeCell="R198" sqref="R198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59" t="s">
        <v>114</v>
      </c>
      <c r="U3" s="660"/>
      <c r="V3" s="660"/>
      <c r="W3" s="660"/>
      <c r="X3" s="660"/>
      <c r="Y3" s="660"/>
      <c r="Z3" s="660"/>
      <c r="AA3" s="660"/>
      <c r="AB3" s="660"/>
      <c r="AC3" s="660"/>
      <c r="AD3" s="661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0.12184091517972014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62" t="s">
        <v>104</v>
      </c>
      <c r="F15" s="662"/>
      <c r="G15" s="662"/>
      <c r="H15" s="662"/>
      <c r="I15" s="662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68" t="s">
        <v>46</v>
      </c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70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71" t="s">
        <v>75</v>
      </c>
      <c r="F19" s="671"/>
      <c r="G19" s="671"/>
      <c r="H19" s="671"/>
      <c r="I19" s="146" t="s">
        <v>74</v>
      </c>
      <c r="J19" s="147"/>
      <c r="K19" s="676" t="s">
        <v>72</v>
      </c>
      <c r="L19" s="676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170</v>
      </c>
      <c r="F20" s="127"/>
      <c r="G20" s="126"/>
      <c r="H20" s="126"/>
      <c r="I20" s="93">
        <f>+'Main Table'!$H$248</f>
        <v>10961272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Table'!AA264</f>
        <v>261791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23113</v>
      </c>
      <c r="J22" s="128"/>
      <c r="K22" s="139"/>
      <c r="L22" s="281">
        <v>22927</v>
      </c>
      <c r="M22" s="139"/>
      <c r="N22" s="159">
        <f>+(I22-L22)/I22</f>
        <v>8.047419201315277E-3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10676368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Table'!AP264</f>
        <v>7452540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72" t="s">
        <v>49</v>
      </c>
      <c r="E25" s="673"/>
      <c r="F25" s="673"/>
      <c r="G25" s="673"/>
      <c r="H25" s="673"/>
      <c r="I25" s="131">
        <f>+I23-I24</f>
        <v>3223828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7452540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72" t="s">
        <v>46</v>
      </c>
      <c r="E27" s="673"/>
      <c r="F27" s="673"/>
      <c r="G27" s="673"/>
      <c r="H27" s="673"/>
      <c r="I27" s="148">
        <f>+I25+I26</f>
        <v>10676368</v>
      </c>
      <c r="J27" s="128"/>
      <c r="K27" s="677">
        <v>10493893</v>
      </c>
      <c r="L27" s="677"/>
      <c r="M27" s="139"/>
      <c r="N27" s="149">
        <f>+I27-K27</f>
        <v>182475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74" t="s">
        <v>69</v>
      </c>
      <c r="F28" s="674"/>
      <c r="G28" s="674"/>
      <c r="H28" s="136"/>
      <c r="I28" s="274">
        <f>+I27/I32</f>
        <v>0.85714145790754381</v>
      </c>
      <c r="J28" s="139"/>
      <c r="K28" s="139"/>
      <c r="L28" s="139"/>
      <c r="M28" s="110"/>
      <c r="N28" s="506">
        <f>+N27/K27</f>
        <v>1.7388685018991521E-2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3" t="s">
        <v>114</v>
      </c>
      <c r="F31" s="684"/>
      <c r="G31" s="684"/>
      <c r="H31" s="684"/>
      <c r="I31" s="684"/>
      <c r="J31" s="685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8">
        <f>+'Main Table'!H264</f>
        <v>12455783</v>
      </c>
      <c r="J32" s="678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9">
        <f>+I27</f>
        <v>10676368</v>
      </c>
      <c r="J34" s="680"/>
      <c r="K34" s="22"/>
      <c r="L34" s="25">
        <f>+I34/$I$32</f>
        <v>0.85714145790754381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6">
        <f>+I21</f>
        <v>261791</v>
      </c>
      <c r="J35" s="687"/>
      <c r="K35" s="22"/>
      <c r="L35" s="25">
        <f>+I35/$I$32</f>
        <v>2.1017626912736037E-2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75" t="s">
        <v>114</v>
      </c>
      <c r="F36" s="675"/>
      <c r="G36" s="675"/>
      <c r="H36" s="275"/>
      <c r="I36" s="681">
        <f>+I32-I34-I35</f>
        <v>1517624</v>
      </c>
      <c r="J36" s="682"/>
      <c r="K36" s="302"/>
      <c r="L36" s="276">
        <f>+I36/$I$32</f>
        <v>0.12184091517972014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63" t="s">
        <v>127</v>
      </c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66" t="s">
        <v>75</v>
      </c>
      <c r="F42" s="666"/>
      <c r="G42" s="666"/>
      <c r="H42" s="666"/>
      <c r="I42" s="303" t="s">
        <v>74</v>
      </c>
      <c r="J42" s="304"/>
      <c r="K42" s="667" t="s">
        <v>37</v>
      </c>
      <c r="L42" s="667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Table'!AP282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89" t="s">
        <v>49</v>
      </c>
      <c r="E48" s="690"/>
      <c r="F48" s="690"/>
      <c r="G48" s="690"/>
      <c r="H48" s="690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89" t="s">
        <v>46</v>
      </c>
      <c r="E50" s="690"/>
      <c r="F50" s="690"/>
      <c r="G50" s="690"/>
      <c r="H50" s="690"/>
      <c r="I50" s="383">
        <f>+I48+I49</f>
        <v>22172</v>
      </c>
      <c r="J50" s="379"/>
      <c r="K50" s="691">
        <v>30167</v>
      </c>
      <c r="L50" s="691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92" t="s">
        <v>69</v>
      </c>
      <c r="F51" s="692"/>
      <c r="G51" s="692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214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55" t="s">
        <v>128</v>
      </c>
      <c r="F54" s="656"/>
      <c r="G54" s="656"/>
      <c r="H54" s="656"/>
      <c r="I54" s="656"/>
      <c r="J54" s="657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93">
        <f>+K50</f>
        <v>30167</v>
      </c>
      <c r="J55" s="693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94">
        <f>+I50</f>
        <v>22172</v>
      </c>
      <c r="J57" s="695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96">
        <f>+I44</f>
        <v>1836</v>
      </c>
      <c r="J58" s="697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98" t="s">
        <v>114</v>
      </c>
      <c r="F59" s="698"/>
      <c r="G59" s="698"/>
      <c r="H59" s="310"/>
      <c r="I59" s="658">
        <f>+I55-I57-I58</f>
        <v>6159</v>
      </c>
      <c r="J59" s="699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700">
        <f>+I45</f>
        <v>1397</v>
      </c>
      <c r="J60" s="700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58">
        <f>+I59-I60</f>
        <v>4762</v>
      </c>
      <c r="J61" s="658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55" t="s">
        <v>117</v>
      </c>
      <c r="F64" s="656"/>
      <c r="G64" s="656"/>
      <c r="H64" s="656"/>
      <c r="I64" s="656"/>
      <c r="J64" s="656"/>
      <c r="K64" s="656"/>
      <c r="L64" s="656"/>
      <c r="M64" s="657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88">
        <v>11690000</v>
      </c>
      <c r="J65" s="688"/>
      <c r="K65" s="688"/>
      <c r="L65" s="688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54" t="s">
        <v>108</v>
      </c>
      <c r="G67" s="654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17" t="s">
        <v>131</v>
      </c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9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20" t="s">
        <v>75</v>
      </c>
      <c r="F73" s="720"/>
      <c r="G73" s="720"/>
      <c r="H73" s="720"/>
      <c r="I73" s="398" t="s">
        <v>74</v>
      </c>
      <c r="J73" s="399"/>
      <c r="K73" s="721" t="s">
        <v>37</v>
      </c>
      <c r="L73" s="721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Table'!AP323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22" t="s">
        <v>49</v>
      </c>
      <c r="E79" s="723"/>
      <c r="F79" s="723"/>
      <c r="G79" s="723"/>
      <c r="H79" s="723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22" t="s">
        <v>46</v>
      </c>
      <c r="E81" s="723"/>
      <c r="F81" s="723"/>
      <c r="G81" s="723"/>
      <c r="H81" s="723"/>
      <c r="I81" s="413">
        <f>+I79+I80</f>
        <v>36684</v>
      </c>
      <c r="J81" s="406"/>
      <c r="K81" s="725">
        <v>48675</v>
      </c>
      <c r="L81" s="725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24" t="s">
        <v>69</v>
      </c>
      <c r="F82" s="724"/>
      <c r="G82" s="724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0"/>
      <c r="K84" s="531"/>
      <c r="L84" s="531"/>
      <c r="M84" s="531"/>
      <c r="N84" s="531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0"/>
      <c r="K85" s="531"/>
      <c r="L85" s="531"/>
      <c r="M85" s="531"/>
      <c r="N85" s="531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0"/>
      <c r="K86" s="531"/>
      <c r="L86" s="531"/>
      <c r="M86" s="531"/>
      <c r="N86" s="531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hidden="1" outlineLevel="1" x14ac:dyDescent="0.3">
      <c r="C87" s="61"/>
      <c r="D87" s="90"/>
      <c r="E87" s="151"/>
      <c r="F87" s="151"/>
      <c r="G87" s="151"/>
      <c r="H87" s="151"/>
      <c r="I87" s="161"/>
      <c r="J87" s="530"/>
      <c r="K87" s="531"/>
      <c r="L87" s="531"/>
      <c r="M87" s="531"/>
      <c r="N87" s="531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hidden="1" outlineLevel="1" x14ac:dyDescent="0.3">
      <c r="C88" s="61"/>
      <c r="D88" s="90"/>
      <c r="E88" s="151"/>
      <c r="F88" s="151"/>
      <c r="G88" s="151"/>
      <c r="H88" s="151"/>
      <c r="I88" s="161"/>
      <c r="J88" s="530"/>
      <c r="K88" s="531"/>
      <c r="L88" s="531"/>
      <c r="M88" s="531"/>
      <c r="N88" s="531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hidden="1" outlineLevel="1" x14ac:dyDescent="0.3">
      <c r="C89" s="61"/>
      <c r="D89" s="90"/>
      <c r="E89" s="151"/>
      <c r="F89" s="151"/>
      <c r="G89" s="151"/>
      <c r="H89" s="151"/>
      <c r="I89" s="161"/>
      <c r="J89" s="530"/>
      <c r="K89" s="531"/>
      <c r="L89" s="531"/>
      <c r="M89" s="531"/>
      <c r="N89" s="531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hidden="1" outlineLevel="1" x14ac:dyDescent="0.3">
      <c r="C90" s="61"/>
      <c r="D90" s="90"/>
      <c r="E90" s="151"/>
      <c r="F90" s="151"/>
      <c r="G90" s="151"/>
      <c r="H90" s="151"/>
      <c r="I90" s="161"/>
      <c r="J90" s="530"/>
      <c r="K90" s="531"/>
      <c r="L90" s="531"/>
      <c r="M90" s="531"/>
      <c r="N90" s="531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hidden="1" outlineLevel="1" x14ac:dyDescent="0.3">
      <c r="C91" s="61"/>
      <c r="D91" s="90"/>
      <c r="E91" s="151"/>
      <c r="F91" s="151"/>
      <c r="G91" s="151"/>
      <c r="H91" s="151"/>
      <c r="I91" s="161"/>
      <c r="J91" s="530"/>
      <c r="K91" s="531"/>
      <c r="L91" s="531"/>
      <c r="M91" s="531"/>
      <c r="N91" s="531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hidden="1" outlineLevel="1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hidden="1" outlineLevel="1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hidden="1" outlineLevel="1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hidden="1" outlineLevel="1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hidden="1" outlineLevel="1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hidden="1" outlineLevel="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hidden="1" outlineLevel="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hidden="1" outlineLevel="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hidden="1" outlineLevel="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hidden="1" outlineLevel="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hidden="1" outlineLevel="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hidden="1" outlineLevel="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hidden="1" outlineLevel="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hidden="1" outlineLevel="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hidden="1" outlineLevel="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hidden="1" outlineLevel="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hidden="1" outlineLevel="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hidden="1" outlineLevel="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hidden="1" outlineLevel="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hidden="1" outlineLevel="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hidden="1" outlineLevel="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hidden="1" outlineLevel="1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hidden="1" outlineLevel="1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hidden="1" outlineLevel="1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hidden="1" outlineLevel="1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hidden="1" outlineLevel="1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hidden="1" outlineLevel="1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hidden="1" outlineLevel="1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hidden="1" outlineLevel="1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hidden="1" outlineLevel="1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0.12184091517972014</v>
      </c>
      <c r="Z121" s="6"/>
      <c r="AA121" s="297">
        <f t="shared" si="7"/>
        <v>22668</v>
      </c>
      <c r="AB121" s="6"/>
      <c r="AC121" s="301"/>
      <c r="AD121" s="294"/>
    </row>
    <row r="122" spans="15:30" hidden="1" outlineLevel="1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hidden="1" outlineLevel="1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hidden="1" outlineLevel="1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hidden="1" outlineLevel="1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hidden="1" outlineLevel="1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hidden="1" outlineLevel="1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hidden="1" outlineLevel="1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hidden="1" outlineLevel="1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hidden="1" outlineLevel="1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hidden="1" outlineLevel="1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hidden="1" outlineLevel="1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hidden="1" outlineLevel="1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hidden="1" outlineLevel="1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hidden="1" outlineLevel="1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hidden="1" outlineLevel="1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hidden="1" outlineLevel="1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hidden="1" outlineLevel="1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hidden="1" outlineLevel="1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hidden="1" outlineLevel="1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hidden="1" outlineLevel="1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hidden="1" outlineLevel="1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hidden="1" outlineLevel="1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hidden="1" outlineLevel="1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hidden="1" outlineLevel="1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hidden="1" outlineLevel="1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hidden="1" outlineLevel="1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hidden="1" outlineLevel="1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hidden="1" outlineLevel="1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hidden="1" outlineLevel="1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hidden="1" outlineLevel="1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hidden="1" outlineLevel="1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hidden="1" outlineLevel="1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hidden="1" outlineLevel="1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hidden="1" outlineLevel="1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hidden="1" outlineLevel="1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hidden="1" outlineLevel="1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hidden="1" outlineLevel="1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hidden="1" outlineLevel="1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hidden="1" outlineLevel="1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hidden="1" outlineLevel="1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hidden="1" outlineLevel="1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hidden="1" outlineLevel="1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hidden="1" outlineLevel="1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hidden="1" outlineLevel="1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hidden="1" outlineLevel="1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hidden="1" outlineLevel="1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hidden="1" outlineLevel="1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hidden="1" outlineLevel="1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hidden="1" outlineLevel="1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hidden="1" outlineLevel="1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hidden="1" outlineLevel="1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hidden="1" outlineLevel="1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hidden="1" outlineLevel="1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collapsed="1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15:30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15:30" x14ac:dyDescent="0.3">
      <c r="O178" s="110"/>
      <c r="T178" s="293"/>
      <c r="U178" s="295">
        <f t="shared" si="3"/>
        <v>44123</v>
      </c>
      <c r="V178" s="6"/>
      <c r="W178" s="296">
        <v>563005</v>
      </c>
      <c r="X178" s="6"/>
      <c r="Y178" s="44">
        <v>6.7000000000000004E-2</v>
      </c>
      <c r="Z178" s="6"/>
      <c r="AA178" s="297">
        <f t="shared" ref="AA178:AA184" si="10">+W177-W178</f>
        <v>3570</v>
      </c>
      <c r="AB178" s="6"/>
      <c r="AC178" s="301"/>
      <c r="AD178" s="294"/>
    </row>
    <row r="179" spans="15:30" x14ac:dyDescent="0.3">
      <c r="O179" s="110"/>
      <c r="T179" s="293"/>
      <c r="U179" s="295">
        <f t="shared" si="3"/>
        <v>44124</v>
      </c>
      <c r="V179" s="6"/>
      <c r="W179" s="296">
        <v>571055</v>
      </c>
      <c r="X179" s="6"/>
      <c r="Y179" s="44">
        <v>6.7000000000000004E-2</v>
      </c>
      <c r="Z179" s="6"/>
      <c r="AA179" s="297">
        <f t="shared" si="10"/>
        <v>-8050</v>
      </c>
      <c r="AB179" s="6"/>
      <c r="AC179" s="301"/>
      <c r="AD179" s="294"/>
    </row>
    <row r="180" spans="15:30" x14ac:dyDescent="0.3">
      <c r="O180" s="110"/>
      <c r="T180" s="293"/>
      <c r="U180" s="295">
        <f t="shared" si="3"/>
        <v>44125</v>
      </c>
      <c r="V180" s="6"/>
      <c r="W180" s="296">
        <v>592755</v>
      </c>
      <c r="X180" s="6"/>
      <c r="Y180" s="44">
        <v>6.9000000000000006E-2</v>
      </c>
      <c r="Z180" s="6"/>
      <c r="AA180" s="297">
        <f t="shared" si="10"/>
        <v>-21700</v>
      </c>
      <c r="AB180" s="6"/>
      <c r="AC180" s="301"/>
      <c r="AD180" s="294"/>
    </row>
    <row r="181" spans="15:30" x14ac:dyDescent="0.3">
      <c r="O181" s="110"/>
      <c r="T181" s="293"/>
      <c r="U181" s="295">
        <f t="shared" si="3"/>
        <v>44126</v>
      </c>
      <c r="V181" s="6"/>
      <c r="W181" s="296">
        <v>621488</v>
      </c>
      <c r="X181" s="6"/>
      <c r="Y181" s="44">
        <v>7.1999999999999995E-2</v>
      </c>
      <c r="Z181" s="6"/>
      <c r="AA181" s="297">
        <f t="shared" si="10"/>
        <v>-28733</v>
      </c>
      <c r="AB181" s="6"/>
      <c r="AC181" s="301"/>
      <c r="AD181" s="294"/>
    </row>
    <row r="182" spans="15:30" x14ac:dyDescent="0.3">
      <c r="O182" s="110"/>
      <c r="T182" s="293"/>
      <c r="U182" s="295">
        <f t="shared" si="3"/>
        <v>44127</v>
      </c>
      <c r="V182" s="6"/>
      <c r="W182" s="296">
        <v>651368</v>
      </c>
      <c r="X182" s="6"/>
      <c r="Y182" s="44">
        <v>7.4999999999999997E-2</v>
      </c>
      <c r="Z182" s="6"/>
      <c r="AA182" s="297">
        <f t="shared" si="10"/>
        <v>-29880</v>
      </c>
      <c r="AB182" s="6"/>
      <c r="AC182" s="301"/>
      <c r="AD182" s="294"/>
    </row>
    <row r="183" spans="15:30" x14ac:dyDescent="0.3">
      <c r="O183" s="110"/>
      <c r="T183" s="293"/>
      <c r="U183" s="295">
        <f t="shared" si="3"/>
        <v>44128</v>
      </c>
      <c r="V183" s="6"/>
      <c r="W183" s="296">
        <v>671584</v>
      </c>
      <c r="X183" s="6"/>
      <c r="Y183" s="44">
        <v>7.5999999999999998E-2</v>
      </c>
      <c r="Z183" s="6"/>
      <c r="AA183" s="297">
        <f t="shared" si="10"/>
        <v>-20216</v>
      </c>
      <c r="AB183" s="6"/>
      <c r="AC183" s="301"/>
      <c r="AD183" s="294"/>
    </row>
    <row r="184" spans="15:30" x14ac:dyDescent="0.3">
      <c r="O184" s="110"/>
      <c r="T184" s="293"/>
      <c r="U184" s="295">
        <f t="shared" si="3"/>
        <v>44129</v>
      </c>
      <c r="V184" s="6"/>
      <c r="W184" s="296">
        <v>666352</v>
      </c>
      <c r="X184" s="6"/>
      <c r="Y184" s="44">
        <v>7.4999999999999997E-2</v>
      </c>
      <c r="Z184" s="6"/>
      <c r="AA184" s="297">
        <f t="shared" si="10"/>
        <v>5232</v>
      </c>
      <c r="AB184" s="6"/>
      <c r="AC184" s="301"/>
      <c r="AD184" s="294"/>
    </row>
    <row r="185" spans="15:30" x14ac:dyDescent="0.3">
      <c r="O185" s="110"/>
      <c r="T185" s="293"/>
      <c r="U185" s="295">
        <f t="shared" si="3"/>
        <v>44130</v>
      </c>
      <c r="V185" s="6"/>
      <c r="W185" s="296">
        <v>644740</v>
      </c>
      <c r="X185" s="6"/>
      <c r="Y185" s="44">
        <v>7.3999999999999996E-2</v>
      </c>
      <c r="Z185" s="6"/>
      <c r="AA185" s="297">
        <f t="shared" ref="AA185" si="11">+W184-W185</f>
        <v>21612</v>
      </c>
      <c r="AB185" s="6"/>
      <c r="AC185" s="301"/>
      <c r="AD185" s="294"/>
    </row>
    <row r="186" spans="15:30" x14ac:dyDescent="0.3">
      <c r="O186" s="110"/>
      <c r="T186" s="293"/>
      <c r="U186" s="295">
        <f t="shared" si="3"/>
        <v>44131</v>
      </c>
      <c r="V186" s="6"/>
      <c r="W186" s="296">
        <v>685730</v>
      </c>
      <c r="X186" s="6"/>
      <c r="Y186" s="44">
        <v>7.5999999999999998E-2</v>
      </c>
      <c r="Z186" s="6"/>
      <c r="AA186" s="297">
        <f t="shared" ref="AA186" si="12">+W185-W186</f>
        <v>-40990</v>
      </c>
      <c r="AB186" s="6"/>
      <c r="AC186" s="301"/>
      <c r="AD186" s="294"/>
    </row>
    <row r="187" spans="15:30" x14ac:dyDescent="0.3">
      <c r="O187" s="110"/>
      <c r="T187" s="293"/>
      <c r="U187" s="295">
        <f t="shared" si="3"/>
        <v>44132</v>
      </c>
      <c r="V187" s="6"/>
      <c r="W187" s="296">
        <v>722475</v>
      </c>
      <c r="X187" s="6"/>
      <c r="Y187" s="44">
        <v>7.9000000000000001E-2</v>
      </c>
      <c r="Z187" s="6"/>
      <c r="AA187" s="297">
        <f t="shared" ref="AA187" si="13">+W186-W187</f>
        <v>-36745</v>
      </c>
      <c r="AB187" s="6"/>
      <c r="AC187" s="301"/>
      <c r="AD187" s="294"/>
    </row>
    <row r="188" spans="15:30" x14ac:dyDescent="0.3">
      <c r="O188" s="110"/>
      <c r="T188" s="293"/>
      <c r="U188" s="295">
        <f t="shared" si="3"/>
        <v>44133</v>
      </c>
      <c r="V188" s="6"/>
      <c r="W188" s="296">
        <v>756762</v>
      </c>
      <c r="X188" s="6"/>
      <c r="Y188" s="44">
        <v>8.2000000000000003E-2</v>
      </c>
      <c r="Z188" s="6"/>
      <c r="AA188" s="297">
        <f t="shared" ref="AA188" si="14">+W187-W188</f>
        <v>-34287</v>
      </c>
      <c r="AB188" s="6"/>
      <c r="AC188" s="301"/>
      <c r="AD188" s="294"/>
    </row>
    <row r="189" spans="15:30" x14ac:dyDescent="0.3">
      <c r="O189" s="110"/>
      <c r="T189" s="293"/>
      <c r="U189" s="295">
        <f t="shared" si="3"/>
        <v>44134</v>
      </c>
      <c r="V189" s="6"/>
      <c r="W189" s="296">
        <v>796351</v>
      </c>
      <c r="X189" s="6"/>
      <c r="Y189" s="44">
        <v>8.5999999999999993E-2</v>
      </c>
      <c r="Z189" s="6"/>
      <c r="AA189" s="297">
        <f t="shared" ref="AA189" si="15">+W188-W189</f>
        <v>-39589</v>
      </c>
      <c r="AB189" s="6"/>
      <c r="AC189" s="301"/>
      <c r="AD189" s="294"/>
    </row>
    <row r="190" spans="15:30" x14ac:dyDescent="0.3">
      <c r="O190" s="110"/>
      <c r="T190" s="293"/>
      <c r="U190" s="295">
        <f t="shared" si="3"/>
        <v>44135</v>
      </c>
      <c r="V190" s="6"/>
      <c r="W190" s="296">
        <v>819039</v>
      </c>
      <c r="X190" s="6"/>
      <c r="Y190" s="44">
        <v>8.6999999999999994E-2</v>
      </c>
      <c r="Z190" s="6"/>
      <c r="AA190" s="297">
        <f t="shared" ref="AA190" si="16">+W189-W190</f>
        <v>-22688</v>
      </c>
      <c r="AB190" s="6"/>
      <c r="AC190" s="301"/>
      <c r="AD190" s="294"/>
    </row>
    <row r="191" spans="15:30" x14ac:dyDescent="0.3">
      <c r="O191" s="110"/>
      <c r="T191" s="293"/>
      <c r="U191" s="295">
        <f t="shared" si="3"/>
        <v>44136</v>
      </c>
      <c r="V191" s="6"/>
      <c r="W191" s="296">
        <v>816056</v>
      </c>
      <c r="X191" s="6"/>
      <c r="Y191" s="44">
        <v>8.5999999999999993E-2</v>
      </c>
      <c r="Z191" s="6"/>
      <c r="AA191" s="297">
        <f t="shared" ref="AA191" si="17">+W190-W191</f>
        <v>2983</v>
      </c>
      <c r="AB191" s="6"/>
      <c r="AC191" s="301"/>
      <c r="AD191" s="294"/>
    </row>
    <row r="192" spans="15:30" x14ac:dyDescent="0.3">
      <c r="O192" s="110"/>
      <c r="T192" s="293"/>
      <c r="U192" s="295">
        <f t="shared" si="3"/>
        <v>44137</v>
      </c>
      <c r="V192" s="6"/>
      <c r="W192" s="296">
        <v>823918</v>
      </c>
      <c r="X192" s="6"/>
      <c r="Y192" s="44">
        <v>8.5999999999999993E-2</v>
      </c>
      <c r="Z192" s="6"/>
      <c r="AA192" s="297">
        <f t="shared" ref="AA192" si="18">+W191-W192</f>
        <v>-7862</v>
      </c>
      <c r="AB192" s="6"/>
      <c r="AC192" s="301"/>
      <c r="AD192" s="294"/>
    </row>
    <row r="193" spans="15:30" x14ac:dyDescent="0.3">
      <c r="O193" s="110"/>
      <c r="T193" s="293"/>
      <c r="U193" s="295">
        <f t="shared" si="3"/>
        <v>44138</v>
      </c>
      <c r="V193" s="6"/>
      <c r="W193" s="296">
        <v>839176</v>
      </c>
      <c r="X193" s="6"/>
      <c r="Y193" s="44">
        <v>8.6999999999999994E-2</v>
      </c>
      <c r="Z193" s="6"/>
      <c r="AA193" s="297">
        <f t="shared" ref="AA193" si="19">+W192-W193</f>
        <v>-15258</v>
      </c>
      <c r="AB193" s="6"/>
      <c r="AC193" s="301"/>
      <c r="AD193" s="294"/>
    </row>
    <row r="194" spans="15:30" x14ac:dyDescent="0.3">
      <c r="O194" s="110"/>
      <c r="T194" s="293"/>
      <c r="U194" s="295">
        <f t="shared" si="3"/>
        <v>44139</v>
      </c>
      <c r="V194" s="6"/>
      <c r="W194" s="296">
        <v>886905</v>
      </c>
      <c r="X194" s="6"/>
      <c r="Y194" s="44">
        <v>9.0999999999999998E-2</v>
      </c>
      <c r="Z194" s="6"/>
      <c r="AA194" s="297">
        <f t="shared" ref="AA194" si="20">+W193-W194</f>
        <v>-47729</v>
      </c>
      <c r="AB194" s="6"/>
      <c r="AC194" s="301"/>
      <c r="AD194" s="294"/>
    </row>
    <row r="195" spans="15:30" x14ac:dyDescent="0.3">
      <c r="O195" s="110"/>
      <c r="T195" s="293"/>
      <c r="U195" s="295">
        <f t="shared" si="3"/>
        <v>44140</v>
      </c>
      <c r="V195" s="6"/>
      <c r="W195" s="296">
        <v>935498</v>
      </c>
      <c r="X195" s="6"/>
      <c r="Y195" s="44">
        <v>9.5000000000000001E-2</v>
      </c>
      <c r="Z195" s="6"/>
      <c r="AA195" s="297">
        <f t="shared" ref="AA195" si="21">+W194-W195</f>
        <v>-48593</v>
      </c>
      <c r="AB195" s="6"/>
      <c r="AC195" s="301"/>
      <c r="AD195" s="294"/>
    </row>
    <row r="196" spans="15:30" x14ac:dyDescent="0.3">
      <c r="O196" s="110"/>
      <c r="T196" s="293"/>
      <c r="U196" s="295">
        <f t="shared" si="3"/>
        <v>44141</v>
      </c>
      <c r="V196" s="6"/>
      <c r="W196" s="296">
        <v>933110</v>
      </c>
      <c r="X196" s="6"/>
      <c r="Y196" s="44">
        <v>9.9000000000000005E-2</v>
      </c>
      <c r="Z196" s="6"/>
      <c r="AA196" s="297">
        <f t="shared" ref="AA196" si="22">+W195-W196</f>
        <v>2388</v>
      </c>
      <c r="AB196" s="6"/>
      <c r="AC196" s="301"/>
      <c r="AD196" s="294"/>
    </row>
    <row r="197" spans="15:30" x14ac:dyDescent="0.3">
      <c r="O197" s="110"/>
      <c r="T197" s="293"/>
      <c r="U197" s="295">
        <f t="shared" si="3"/>
        <v>44142</v>
      </c>
      <c r="V197" s="6"/>
      <c r="W197" s="296">
        <v>911706</v>
      </c>
      <c r="X197" s="6"/>
      <c r="Y197" s="44">
        <v>9.0999999999999998E-2</v>
      </c>
      <c r="Z197" s="6"/>
      <c r="AA197" s="297">
        <f t="shared" ref="AA197" si="23">+W196-W197</f>
        <v>21404</v>
      </c>
      <c r="AB197" s="6"/>
      <c r="AC197" s="301"/>
      <c r="AD197" s="294"/>
    </row>
    <row r="198" spans="15:30" x14ac:dyDescent="0.3">
      <c r="O198" s="110"/>
      <c r="T198" s="293"/>
      <c r="U198" s="295">
        <f t="shared" si="3"/>
        <v>44143</v>
      </c>
      <c r="V198" s="6"/>
      <c r="W198" s="296">
        <v>945813</v>
      </c>
      <c r="X198" s="6"/>
      <c r="Y198" s="44">
        <v>9.2999999999999999E-2</v>
      </c>
      <c r="Z198" s="6"/>
      <c r="AA198" s="297">
        <f t="shared" ref="AA198" si="24">+W197-W198</f>
        <v>-34107</v>
      </c>
      <c r="AB198" s="6"/>
      <c r="AC198" s="301"/>
      <c r="AD198" s="294"/>
    </row>
    <row r="199" spans="15:30" x14ac:dyDescent="0.3">
      <c r="O199" s="110"/>
      <c r="T199" s="293"/>
      <c r="U199" s="295">
        <f t="shared" si="3"/>
        <v>44144</v>
      </c>
      <c r="V199" s="6"/>
      <c r="W199" s="296">
        <v>985209</v>
      </c>
      <c r="X199" s="6"/>
      <c r="Y199" s="44">
        <v>9.5000000000000001E-2</v>
      </c>
      <c r="Z199" s="6"/>
      <c r="AA199" s="297">
        <f t="shared" ref="AA199" si="25">+W198-W199</f>
        <v>-39396</v>
      </c>
      <c r="AB199" s="6"/>
      <c r="AC199" s="301"/>
      <c r="AD199" s="294"/>
    </row>
    <row r="200" spans="15:30" x14ac:dyDescent="0.3">
      <c r="O200" s="110"/>
      <c r="T200" s="293"/>
      <c r="U200" s="295">
        <f t="shared" si="3"/>
        <v>44145</v>
      </c>
      <c r="V200" s="6"/>
      <c r="W200" s="296">
        <v>1050453</v>
      </c>
      <c r="X200" s="6"/>
      <c r="Y200" s="44">
        <v>0.1</v>
      </c>
      <c r="Z200" s="6"/>
      <c r="AA200" s="297">
        <f t="shared" ref="AA200" si="26">+W199-W200</f>
        <v>-65244</v>
      </c>
      <c r="AB200" s="6"/>
      <c r="AC200" s="301"/>
      <c r="AD200" s="294"/>
    </row>
    <row r="201" spans="15:30" x14ac:dyDescent="0.3">
      <c r="O201" s="110"/>
      <c r="T201" s="293"/>
      <c r="U201" s="295">
        <f t="shared" si="3"/>
        <v>44146</v>
      </c>
      <c r="V201" s="6"/>
      <c r="W201" s="296">
        <v>1103763</v>
      </c>
      <c r="X201" s="6"/>
      <c r="Y201" s="44">
        <v>0.104</v>
      </c>
      <c r="Z201" s="6"/>
      <c r="AA201" s="297">
        <f t="shared" ref="AA201" si="27">+W200-W201</f>
        <v>-53310</v>
      </c>
      <c r="AB201" s="6"/>
      <c r="AC201" s="301"/>
      <c r="AD201" s="294"/>
    </row>
    <row r="202" spans="15:30" x14ac:dyDescent="0.3">
      <c r="O202" s="110"/>
      <c r="T202" s="293"/>
      <c r="U202" s="295">
        <f t="shared" si="3"/>
        <v>44147</v>
      </c>
      <c r="V202" s="6"/>
      <c r="W202" s="296">
        <v>1171415</v>
      </c>
      <c r="X202" s="6"/>
      <c r="Y202" s="44">
        <v>0.109</v>
      </c>
      <c r="Z202" s="6"/>
      <c r="AA202" s="297">
        <f t="shared" ref="AA202" si="28">+W201-W202</f>
        <v>-67652</v>
      </c>
      <c r="AB202" s="6"/>
      <c r="AC202" s="301"/>
      <c r="AD202" s="294"/>
    </row>
    <row r="203" spans="15:30" x14ac:dyDescent="0.3">
      <c r="O203" s="110"/>
      <c r="T203" s="293"/>
      <c r="U203" s="295">
        <f t="shared" si="3"/>
        <v>44148</v>
      </c>
      <c r="V203" s="6"/>
      <c r="W203" s="296">
        <v>1247238</v>
      </c>
      <c r="X203" s="6"/>
      <c r="Y203" s="44">
        <v>0.114</v>
      </c>
      <c r="Z203" s="6"/>
      <c r="AA203" s="297">
        <f t="shared" ref="AA203" si="29">+W202-W203</f>
        <v>-75823</v>
      </c>
      <c r="AB203" s="6"/>
      <c r="AC203" s="301"/>
      <c r="AD203" s="294"/>
    </row>
    <row r="204" spans="15:30" x14ac:dyDescent="0.3">
      <c r="O204" s="110"/>
      <c r="T204" s="293"/>
      <c r="U204" s="295">
        <f t="shared" si="3"/>
        <v>44149</v>
      </c>
      <c r="V204" s="6"/>
      <c r="W204" s="296">
        <v>1286641</v>
      </c>
      <c r="X204" s="6"/>
      <c r="Y204" s="44">
        <v>0.11600000000000001</v>
      </c>
      <c r="Z204" s="6"/>
      <c r="AA204" s="297">
        <f t="shared" ref="AA204" si="30">+W203-W204</f>
        <v>-39403</v>
      </c>
      <c r="AB204" s="6"/>
      <c r="AC204" s="301"/>
      <c r="AD204" s="294"/>
    </row>
    <row r="205" spans="15:30" x14ac:dyDescent="0.3">
      <c r="O205" s="110"/>
      <c r="T205" s="293"/>
      <c r="U205" s="295">
        <f t="shared" si="3"/>
        <v>44150</v>
      </c>
      <c r="V205" s="6"/>
      <c r="W205" s="296">
        <v>1292637</v>
      </c>
      <c r="X205" s="6"/>
      <c r="Y205" s="44">
        <v>0.115</v>
      </c>
      <c r="Z205" s="6"/>
      <c r="AA205" s="297">
        <f t="shared" ref="AA205" si="31">+W204-W205</f>
        <v>-5996</v>
      </c>
      <c r="AB205" s="6"/>
      <c r="AC205" s="301"/>
      <c r="AD205" s="294"/>
    </row>
    <row r="206" spans="15:30" x14ac:dyDescent="0.3">
      <c r="O206" s="110"/>
      <c r="T206" s="293"/>
      <c r="U206" s="295">
        <f t="shared" si="3"/>
        <v>44151</v>
      </c>
      <c r="V206" s="6"/>
      <c r="W206" s="296">
        <v>1386009</v>
      </c>
      <c r="X206" s="6"/>
      <c r="Y206" s="44">
        <v>0.12</v>
      </c>
      <c r="Z206" s="6"/>
      <c r="AA206" s="297">
        <f t="shared" ref="AA206" si="32">+W205-W206</f>
        <v>-93372</v>
      </c>
      <c r="AB206" s="6"/>
      <c r="AC206" s="301"/>
      <c r="AD206" s="294"/>
    </row>
    <row r="207" spans="15:30" x14ac:dyDescent="0.3">
      <c r="O207" s="110"/>
      <c r="T207" s="293"/>
      <c r="U207" s="295">
        <f t="shared" si="3"/>
        <v>44152</v>
      </c>
      <c r="V207" s="6"/>
      <c r="W207" s="296">
        <v>1434502</v>
      </c>
      <c r="X207" s="6"/>
      <c r="Y207" s="44">
        <v>0.122</v>
      </c>
      <c r="Z207" s="6"/>
      <c r="AA207" s="297">
        <f t="shared" ref="AA207" si="33">+W206-W207</f>
        <v>-48493</v>
      </c>
      <c r="AB207" s="6"/>
      <c r="AC207" s="301"/>
      <c r="AD207" s="294"/>
    </row>
    <row r="208" spans="15:30" x14ac:dyDescent="0.3">
      <c r="O208" s="110"/>
      <c r="T208" s="293"/>
      <c r="U208" s="295">
        <f t="shared" si="3"/>
        <v>44153</v>
      </c>
      <c r="V208" s="6"/>
      <c r="W208" s="296">
        <v>1434502</v>
      </c>
      <c r="X208" s="6"/>
      <c r="Y208" s="44">
        <v>0.122</v>
      </c>
      <c r="Z208" s="6"/>
      <c r="AA208" s="297">
        <f t="shared" ref="AA208" si="34">+W207-W208</f>
        <v>0</v>
      </c>
      <c r="AB208" s="6"/>
      <c r="AC208" s="301"/>
      <c r="AD208" s="294"/>
    </row>
    <row r="209" spans="5:36" x14ac:dyDescent="0.3">
      <c r="O209" s="110"/>
      <c r="T209" s="293"/>
      <c r="U209" s="295">
        <f t="shared" si="3"/>
        <v>44154</v>
      </c>
      <c r="V209" s="6"/>
      <c r="W209" s="296">
        <v>1491309</v>
      </c>
      <c r="X209" s="6"/>
      <c r="Y209" s="44">
        <v>0.125</v>
      </c>
      <c r="Z209" s="6"/>
      <c r="AA209" s="297">
        <f t="shared" ref="AA209" si="35">+W208-W209</f>
        <v>-56807</v>
      </c>
      <c r="AB209" s="6"/>
      <c r="AC209" s="301"/>
      <c r="AD209" s="294"/>
    </row>
    <row r="210" spans="5:36" x14ac:dyDescent="0.3">
      <c r="O210" s="110"/>
      <c r="T210" s="293"/>
      <c r="U210" s="295">
        <f t="shared" si="3"/>
        <v>44155</v>
      </c>
      <c r="V210" s="6"/>
      <c r="W210" s="296">
        <v>1552582</v>
      </c>
      <c r="X210" s="6"/>
      <c r="Y210" s="44">
        <v>0.128</v>
      </c>
      <c r="Z210" s="6"/>
      <c r="AA210" s="297">
        <f t="shared" ref="AA210" si="36">+W209-W210</f>
        <v>-61273</v>
      </c>
      <c r="AB210" s="6"/>
      <c r="AC210" s="301"/>
      <c r="AD210" s="294"/>
    </row>
    <row r="211" spans="5:36" x14ac:dyDescent="0.3">
      <c r="O211" s="110"/>
      <c r="T211" s="293"/>
      <c r="U211" s="295">
        <f t="shared" si="3"/>
        <v>44156</v>
      </c>
      <c r="V211" s="6"/>
      <c r="W211" s="296">
        <v>1564338</v>
      </c>
      <c r="X211" s="6"/>
      <c r="Y211" s="44">
        <v>0.127</v>
      </c>
      <c r="Z211" s="6"/>
      <c r="AA211" s="297">
        <f t="shared" ref="AA211" si="37">+W210-W211</f>
        <v>-11756</v>
      </c>
      <c r="AB211" s="6"/>
      <c r="AC211" s="301"/>
      <c r="AD211" s="294"/>
    </row>
    <row r="212" spans="5:36" x14ac:dyDescent="0.3">
      <c r="O212" s="110"/>
      <c r="T212" s="293"/>
      <c r="U212" s="295">
        <f t="shared" si="3"/>
        <v>44157</v>
      </c>
      <c r="V212" s="6"/>
      <c r="W212" s="296">
        <f>+I$36</f>
        <v>1517624</v>
      </c>
      <c r="X212" s="6"/>
      <c r="Y212" s="44">
        <f>+L$36</f>
        <v>0.12184091517972014</v>
      </c>
      <c r="Z212" s="6"/>
      <c r="AA212" s="297">
        <f t="shared" ref="AA212" si="38">+W211-W212</f>
        <v>46714</v>
      </c>
      <c r="AB212" s="6"/>
      <c r="AC212" s="301"/>
      <c r="AD212" s="294"/>
    </row>
    <row r="213" spans="5:36" x14ac:dyDescent="0.3">
      <c r="O213" s="110"/>
      <c r="T213" s="293"/>
      <c r="U213" s="295">
        <f t="shared" si="3"/>
        <v>44158</v>
      </c>
      <c r="V213" s="6"/>
      <c r="W213" s="296"/>
      <c r="X213" s="6"/>
      <c r="Y213" s="44"/>
      <c r="Z213" s="6"/>
      <c r="AA213" s="297"/>
      <c r="AB213" s="6"/>
      <c r="AC213" s="301"/>
      <c r="AD213" s="294"/>
    </row>
    <row r="214" spans="5:36" ht="15" thickBot="1" x14ac:dyDescent="0.35">
      <c r="O214" s="110"/>
      <c r="T214" s="298"/>
      <c r="U214" s="393">
        <f t="shared" si="3"/>
        <v>44159</v>
      </c>
      <c r="V214" s="290"/>
      <c r="W214" s="394"/>
      <c r="X214" s="290"/>
      <c r="Y214" s="299"/>
      <c r="Z214" s="290"/>
      <c r="AA214" s="395"/>
      <c r="AB214" s="290"/>
      <c r="AC214" s="396"/>
      <c r="AD214" s="300"/>
    </row>
    <row r="215" spans="5:36" x14ac:dyDescent="0.3">
      <c r="O215" s="110"/>
    </row>
    <row r="216" spans="5:36" x14ac:dyDescent="0.3">
      <c r="O216" s="110"/>
      <c r="P216" s="57"/>
      <c r="Q216" s="57"/>
      <c r="R216" s="57"/>
    </row>
    <row r="217" spans="5:36" x14ac:dyDescent="0.3">
      <c r="O217" s="110"/>
    </row>
    <row r="218" spans="5:36" ht="15" thickBot="1" x14ac:dyDescent="0.35">
      <c r="O218" s="110"/>
    </row>
    <row r="219" spans="5:36" ht="15.6" thickTop="1" thickBot="1" x14ac:dyDescent="0.35">
      <c r="Q219" s="484"/>
      <c r="R219" s="485"/>
      <c r="S219" s="485"/>
      <c r="T219" s="485"/>
      <c r="U219" s="485"/>
      <c r="V219" s="485"/>
      <c r="W219" s="485"/>
      <c r="X219" s="485"/>
      <c r="Y219" s="485"/>
      <c r="Z219" s="485"/>
      <c r="AA219" s="485"/>
      <c r="AB219" s="486"/>
    </row>
    <row r="220" spans="5:36" ht="15" thickBot="1" x14ac:dyDescent="0.35">
      <c r="E220" s="704" t="s">
        <v>119</v>
      </c>
      <c r="F220" s="705"/>
      <c r="G220" s="705"/>
      <c r="H220" s="705"/>
      <c r="I220" s="705"/>
      <c r="J220" s="705"/>
      <c r="K220" s="705"/>
      <c r="L220" s="705"/>
      <c r="M220" s="706"/>
      <c r="Q220" s="487"/>
      <c r="R220" s="6"/>
      <c r="S220" s="6"/>
      <c r="T220" s="6"/>
      <c r="U220" s="5" t="s">
        <v>145</v>
      </c>
      <c r="V220" s="5"/>
      <c r="W220" s="5"/>
      <c r="X220" s="5"/>
      <c r="Y220" s="5"/>
      <c r="Z220" s="5"/>
      <c r="AA220" s="5" t="s">
        <v>30</v>
      </c>
      <c r="AB220" s="488"/>
    </row>
    <row r="221" spans="5:36" x14ac:dyDescent="0.3">
      <c r="E221" s="438"/>
      <c r="F221" s="439" t="s">
        <v>120</v>
      </c>
      <c r="G221" s="439"/>
      <c r="H221" s="439"/>
      <c r="I221" s="707">
        <v>21477737</v>
      </c>
      <c r="J221" s="707"/>
      <c r="K221" s="707"/>
      <c r="L221" s="707"/>
      <c r="M221" s="440"/>
      <c r="Q221" s="487"/>
      <c r="R221" s="480" t="s">
        <v>147</v>
      </c>
      <c r="S221" s="6"/>
      <c r="T221" s="6"/>
      <c r="U221" s="480" t="s">
        <v>146</v>
      </c>
      <c r="V221" s="5"/>
      <c r="W221" s="480" t="s">
        <v>20</v>
      </c>
      <c r="X221" s="5"/>
      <c r="Y221" s="480" t="s">
        <v>4</v>
      </c>
      <c r="Z221" s="5"/>
      <c r="AA221" s="489" t="s">
        <v>144</v>
      </c>
      <c r="AB221" s="488"/>
    </row>
    <row r="222" spans="5:36" x14ac:dyDescent="0.3">
      <c r="E222" s="438"/>
      <c r="F222" s="439" t="s">
        <v>110</v>
      </c>
      <c r="G222" s="439"/>
      <c r="H222" s="439"/>
      <c r="I222" s="439"/>
      <c r="J222" s="439"/>
      <c r="K222" s="439"/>
      <c r="L222" s="441">
        <f>+I234/I221</f>
        <v>4.5847474526762295E-4</v>
      </c>
      <c r="M222" s="440"/>
      <c r="Q222" s="487"/>
      <c r="R222" s="6" t="s">
        <v>134</v>
      </c>
      <c r="S222" s="6"/>
      <c r="T222" s="6"/>
      <c r="U222" s="7">
        <v>2003</v>
      </c>
      <c r="V222" s="6"/>
      <c r="W222" s="7">
        <v>389666</v>
      </c>
      <c r="X222" s="6"/>
      <c r="Y222" s="7">
        <v>31257</v>
      </c>
      <c r="Z222" s="6"/>
      <c r="AA222" s="296">
        <f>+AJ222</f>
        <v>19500</v>
      </c>
      <c r="AB222" s="488"/>
      <c r="AJ222" s="1">
        <v>19500</v>
      </c>
    </row>
    <row r="223" spans="5:36" x14ac:dyDescent="0.3">
      <c r="E223" s="438"/>
      <c r="F223" s="708" t="s">
        <v>108</v>
      </c>
      <c r="G223" s="708"/>
      <c r="H223" s="439"/>
      <c r="I223" s="439"/>
      <c r="J223" s="439"/>
      <c r="K223" s="439"/>
      <c r="L223" s="442">
        <f>+I234/(I221/100000)</f>
        <v>45.847474526762298</v>
      </c>
      <c r="M223" s="440"/>
      <c r="Q223" s="487"/>
      <c r="R223" s="6" t="s">
        <v>135</v>
      </c>
      <c r="S223" s="6"/>
      <c r="T223" s="6"/>
      <c r="U223" s="7">
        <v>1913</v>
      </c>
      <c r="V223" s="6"/>
      <c r="W223" s="7">
        <v>169892</v>
      </c>
      <c r="X223" s="6"/>
      <c r="Y223" s="7">
        <v>13076</v>
      </c>
      <c r="Z223" s="6"/>
      <c r="AA223" s="296">
        <f t="shared" ref="AA223:AA231" si="39">+AJ223</f>
        <v>8900</v>
      </c>
      <c r="AB223" s="488"/>
      <c r="AJ223" s="1">
        <v>8900</v>
      </c>
    </row>
    <row r="224" spans="5:36" x14ac:dyDescent="0.3">
      <c r="E224" s="438"/>
      <c r="F224" s="443"/>
      <c r="G224" s="443"/>
      <c r="H224" s="439"/>
      <c r="I224" s="439"/>
      <c r="J224" s="439"/>
      <c r="K224" s="439"/>
      <c r="L224" s="442"/>
      <c r="M224" s="440"/>
      <c r="Q224" s="487"/>
      <c r="R224" s="6" t="s">
        <v>136</v>
      </c>
      <c r="S224" s="6"/>
      <c r="T224" s="6"/>
      <c r="U224" s="7">
        <v>1568</v>
      </c>
      <c r="V224" s="6"/>
      <c r="W224" s="7">
        <v>16606</v>
      </c>
      <c r="X224" s="6"/>
      <c r="Y224" s="7">
        <v>912</v>
      </c>
      <c r="Z224" s="6"/>
      <c r="AA224" s="296">
        <f t="shared" si="39"/>
        <v>1100</v>
      </c>
      <c r="AB224" s="488"/>
      <c r="AJ224" s="1">
        <v>1100</v>
      </c>
    </row>
    <row r="225" spans="4:36" x14ac:dyDescent="0.3">
      <c r="E225" s="438"/>
      <c r="F225" s="443" t="s">
        <v>121</v>
      </c>
      <c r="G225" s="443"/>
      <c r="H225" s="708" t="s">
        <v>122</v>
      </c>
      <c r="I225" s="708"/>
      <c r="J225" s="439"/>
      <c r="K225" s="439"/>
      <c r="L225" s="442"/>
      <c r="M225" s="440"/>
      <c r="Q225" s="487"/>
      <c r="R225" s="6" t="s">
        <v>58</v>
      </c>
      <c r="S225" s="6"/>
      <c r="T225" s="6"/>
      <c r="U225" s="7">
        <v>1561</v>
      </c>
      <c r="V225" s="6"/>
      <c r="W225" s="7">
        <v>107611</v>
      </c>
      <c r="X225" s="6"/>
      <c r="Y225" s="7">
        <v>7937</v>
      </c>
      <c r="Z225" s="6"/>
      <c r="AA225" s="296">
        <f t="shared" si="39"/>
        <v>7000</v>
      </c>
      <c r="AB225" s="488"/>
      <c r="AJ225" s="1">
        <v>7000</v>
      </c>
    </row>
    <row r="226" spans="4:36" ht="15" thickBot="1" x14ac:dyDescent="0.35">
      <c r="E226" s="444"/>
      <c r="F226" s="445"/>
      <c r="G226" s="445"/>
      <c r="H226" s="445"/>
      <c r="I226" s="445"/>
      <c r="J226" s="445"/>
      <c r="K226" s="445"/>
      <c r="L226" s="445"/>
      <c r="M226" s="446"/>
      <c r="Q226" s="487"/>
      <c r="R226" s="6" t="s">
        <v>141</v>
      </c>
      <c r="S226" s="6"/>
      <c r="T226" s="6"/>
      <c r="U226" s="7">
        <v>1435</v>
      </c>
      <c r="V226" s="6"/>
      <c r="W226" s="7">
        <v>10128</v>
      </c>
      <c r="X226" s="6"/>
      <c r="Y226" s="7">
        <v>541</v>
      </c>
      <c r="Z226" s="6"/>
      <c r="AA226" s="296">
        <f t="shared" si="39"/>
        <v>700</v>
      </c>
      <c r="AB226" s="488"/>
      <c r="AJ226" s="1">
        <v>700</v>
      </c>
    </row>
    <row r="227" spans="4:36" x14ac:dyDescent="0.3">
      <c r="Q227" s="487"/>
      <c r="R227" s="6" t="s">
        <v>137</v>
      </c>
      <c r="S227" s="6"/>
      <c r="T227" s="6"/>
      <c r="U227" s="7">
        <v>1288</v>
      </c>
      <c r="V227" s="6"/>
      <c r="W227" s="7">
        <v>45913</v>
      </c>
      <c r="X227" s="6"/>
      <c r="Y227" s="7">
        <v>4287</v>
      </c>
      <c r="Z227" s="6"/>
      <c r="AA227" s="296">
        <f t="shared" si="39"/>
        <v>3600</v>
      </c>
      <c r="AB227" s="488"/>
      <c r="AJ227" s="1">
        <v>3600</v>
      </c>
    </row>
    <row r="228" spans="4:36" ht="15" thickBot="1" x14ac:dyDescent="0.35">
      <c r="D228" s="90"/>
      <c r="E228" s="151"/>
      <c r="F228" s="151"/>
      <c r="G228" s="151"/>
      <c r="H228" s="151"/>
      <c r="I228" s="353"/>
      <c r="J228" s="90"/>
      <c r="K228" s="110"/>
      <c r="L228" s="110"/>
      <c r="M228" s="110"/>
      <c r="N228" s="110"/>
      <c r="Q228" s="487"/>
      <c r="R228" s="6" t="s">
        <v>142</v>
      </c>
      <c r="S228" s="6"/>
      <c r="T228" s="6"/>
      <c r="U228" s="7">
        <v>1129</v>
      </c>
      <c r="V228" s="6"/>
      <c r="W228" s="7">
        <v>52477</v>
      </c>
      <c r="X228" s="6"/>
      <c r="Y228" s="7">
        <v>3152</v>
      </c>
      <c r="Z228" s="6"/>
      <c r="AA228" s="296">
        <f t="shared" si="39"/>
        <v>4600</v>
      </c>
      <c r="AB228" s="488"/>
      <c r="AJ228" s="1">
        <v>4600</v>
      </c>
    </row>
    <row r="229" spans="4:36" ht="16.2" thickBot="1" x14ac:dyDescent="0.35">
      <c r="D229" s="424"/>
      <c r="E229" s="709" t="s">
        <v>132</v>
      </c>
      <c r="F229" s="710"/>
      <c r="G229" s="710"/>
      <c r="H229" s="710"/>
      <c r="I229" s="710"/>
      <c r="J229" s="711"/>
      <c r="K229" s="425"/>
      <c r="L229" s="437" t="s">
        <v>10</v>
      </c>
      <c r="M229" s="426"/>
      <c r="N229" s="110"/>
      <c r="Q229" s="487"/>
      <c r="R229" s="6" t="s">
        <v>138</v>
      </c>
      <c r="S229" s="6"/>
      <c r="T229" s="6"/>
      <c r="U229" s="7">
        <v>1118</v>
      </c>
      <c r="V229" s="6"/>
      <c r="W229" s="7">
        <v>10889</v>
      </c>
      <c r="X229" s="6"/>
      <c r="Y229" s="7">
        <v>505</v>
      </c>
      <c r="Z229" s="6"/>
      <c r="AA229" s="296">
        <f t="shared" si="39"/>
        <v>980</v>
      </c>
      <c r="AB229" s="488"/>
      <c r="AJ229" s="1">
        <v>980</v>
      </c>
    </row>
    <row r="230" spans="4:36" x14ac:dyDescent="0.3">
      <c r="D230" s="403"/>
      <c r="E230" s="427" t="s">
        <v>88</v>
      </c>
      <c r="F230" s="16"/>
      <c r="G230" s="16"/>
      <c r="H230" s="16"/>
      <c r="I230" s="712">
        <f>+K81</f>
        <v>48675</v>
      </c>
      <c r="J230" s="712"/>
      <c r="K230" s="16"/>
      <c r="L230" s="60">
        <f>+I230/$I$230</f>
        <v>1</v>
      </c>
      <c r="M230" s="428"/>
      <c r="N230" s="110"/>
      <c r="Q230" s="487"/>
      <c r="R230" s="6" t="s">
        <v>139</v>
      </c>
      <c r="S230" s="6"/>
      <c r="T230" s="6"/>
      <c r="U230" s="7">
        <v>1093</v>
      </c>
      <c r="V230" s="6"/>
      <c r="W230" s="7">
        <v>138546</v>
      </c>
      <c r="X230" s="6"/>
      <c r="Y230" s="7">
        <v>6770</v>
      </c>
      <c r="Z230" s="6"/>
      <c r="AA230" s="296">
        <f t="shared" si="39"/>
        <v>12700</v>
      </c>
      <c r="AB230" s="488"/>
      <c r="AJ230" s="1">
        <v>12700</v>
      </c>
    </row>
    <row r="231" spans="4:36" x14ac:dyDescent="0.3">
      <c r="D231" s="403"/>
      <c r="E231" s="427"/>
      <c r="F231" s="16"/>
      <c r="G231" s="16"/>
      <c r="H231" s="16"/>
      <c r="I231" s="16"/>
      <c r="J231" s="16"/>
      <c r="K231" s="16"/>
      <c r="L231" s="16"/>
      <c r="M231" s="428"/>
      <c r="N231" s="110"/>
      <c r="Q231" s="487"/>
      <c r="R231" s="6" t="s">
        <v>140</v>
      </c>
      <c r="S231" s="6"/>
      <c r="T231" s="6"/>
      <c r="U231" s="490">
        <v>1081</v>
      </c>
      <c r="V231" s="6"/>
      <c r="W231" s="490">
        <v>65337</v>
      </c>
      <c r="X231" s="6"/>
      <c r="Y231" s="490">
        <v>3108</v>
      </c>
      <c r="Z231" s="6"/>
      <c r="AA231" s="491">
        <f t="shared" si="39"/>
        <v>6100</v>
      </c>
      <c r="AB231" s="488"/>
      <c r="AJ231" s="482">
        <v>6100</v>
      </c>
    </row>
    <row r="232" spans="4:36" x14ac:dyDescent="0.3">
      <c r="D232" s="415"/>
      <c r="E232" s="15"/>
      <c r="F232" s="429" t="s">
        <v>113</v>
      </c>
      <c r="G232" s="429"/>
      <c r="H232" s="15"/>
      <c r="I232" s="713">
        <f>+I81</f>
        <v>36684</v>
      </c>
      <c r="J232" s="714"/>
      <c r="K232" s="15"/>
      <c r="L232" s="60">
        <f>+I232/$I$230</f>
        <v>0.75365177195685673</v>
      </c>
      <c r="M232" s="408"/>
      <c r="N232" s="110"/>
      <c r="Q232" s="487"/>
      <c r="R232" s="5" t="s">
        <v>33</v>
      </c>
      <c r="S232" s="6"/>
      <c r="T232" s="6"/>
      <c r="U232" s="296">
        <f>+W232/(AA232/100)</f>
        <v>1545.0521632402579</v>
      </c>
      <c r="V232" s="6"/>
      <c r="W232" s="296">
        <f>SUM(W222:W231)</f>
        <v>1007065</v>
      </c>
      <c r="X232" s="6"/>
      <c r="Y232" s="296">
        <f>SUM(Y222:Y231)</f>
        <v>71545</v>
      </c>
      <c r="Z232" s="6"/>
      <c r="AA232" s="296">
        <f>SUM(AA222:AA231)</f>
        <v>65180</v>
      </c>
      <c r="AB232" s="488"/>
      <c r="AJ232" s="56">
        <f>SUM(AJ222:AJ231)</f>
        <v>65180</v>
      </c>
    </row>
    <row r="233" spans="4:36" x14ac:dyDescent="0.3">
      <c r="D233" s="415"/>
      <c r="E233" s="15"/>
      <c r="F233" s="15" t="s">
        <v>89</v>
      </c>
      <c r="G233" s="15"/>
      <c r="H233" s="15"/>
      <c r="I233" s="715">
        <f>+I75</f>
        <v>2144</v>
      </c>
      <c r="J233" s="716"/>
      <c r="K233" s="15"/>
      <c r="L233" s="60">
        <f>+I233/$I$230</f>
        <v>4.4047252182845401E-2</v>
      </c>
      <c r="M233" s="408"/>
      <c r="N233" s="110"/>
      <c r="Q233" s="487"/>
      <c r="R233" s="5"/>
      <c r="S233" s="6"/>
      <c r="T233" s="6"/>
      <c r="U233" s="6"/>
      <c r="V233" s="6"/>
      <c r="W233" s="296"/>
      <c r="X233" s="6"/>
      <c r="Y233" s="296"/>
      <c r="Z233" s="6"/>
      <c r="AA233" s="6"/>
      <c r="AB233" s="488"/>
      <c r="AJ233" s="56"/>
    </row>
    <row r="234" spans="4:36" ht="15" thickBot="1" x14ac:dyDescent="0.35">
      <c r="D234" s="415"/>
      <c r="E234" s="701" t="s">
        <v>114</v>
      </c>
      <c r="F234" s="701"/>
      <c r="G234" s="701"/>
      <c r="H234" s="15"/>
      <c r="I234" s="702">
        <f>+I230-I232-I233</f>
        <v>9847</v>
      </c>
      <c r="J234" s="703"/>
      <c r="K234" s="430"/>
      <c r="L234" s="431">
        <f>+I234/$I$230</f>
        <v>0.20230097586029788</v>
      </c>
      <c r="M234" s="408"/>
      <c r="N234" s="110"/>
      <c r="Q234" s="487"/>
      <c r="R234" s="5" t="s">
        <v>59</v>
      </c>
      <c r="S234" s="6"/>
      <c r="T234" s="6"/>
      <c r="U234" s="7">
        <v>7441</v>
      </c>
      <c r="V234" s="6"/>
      <c r="W234" s="7">
        <f>+'Main Table'!H106</f>
        <v>2465403</v>
      </c>
      <c r="X234" s="6"/>
      <c r="Y234" s="7">
        <f>+'Main Table'!AA106</f>
        <v>126977</v>
      </c>
      <c r="Z234" s="6"/>
      <c r="AA234" s="296">
        <v>331000</v>
      </c>
      <c r="AB234" s="488"/>
      <c r="AJ234" s="56">
        <v>333000</v>
      </c>
    </row>
    <row r="235" spans="4:36" ht="15.6" thickTop="1" thickBot="1" x14ac:dyDescent="0.35">
      <c r="D235" s="415"/>
      <c r="E235" s="432"/>
      <c r="F235" s="432"/>
      <c r="G235" s="432"/>
      <c r="H235" s="15"/>
      <c r="I235" s="433"/>
      <c r="J235" s="432"/>
      <c r="K235" s="430"/>
      <c r="L235" s="434"/>
      <c r="M235" s="408"/>
      <c r="N235" s="110"/>
      <c r="Q235" s="487"/>
      <c r="R235" s="5" t="s">
        <v>143</v>
      </c>
      <c r="S235" s="6"/>
      <c r="T235" s="6"/>
      <c r="U235" s="492"/>
      <c r="V235" s="6"/>
      <c r="W235" s="493">
        <f>+W232/W234</f>
        <v>0.40847885720914595</v>
      </c>
      <c r="X235" s="6"/>
      <c r="Y235" s="493">
        <f>+Y232/Y234</f>
        <v>0.56344849854698098</v>
      </c>
      <c r="Z235" s="6"/>
      <c r="AA235" s="493">
        <f>+AA232/AA234</f>
        <v>0.19691842900302114</v>
      </c>
      <c r="AB235" s="488"/>
      <c r="AJ235" s="483">
        <f>+AJ232/AJ234</f>
        <v>0.19573573573573574</v>
      </c>
    </row>
    <row r="236" spans="4:36" ht="15.6" thickTop="1" thickBot="1" x14ac:dyDescent="0.35">
      <c r="D236" s="435"/>
      <c r="E236" s="436"/>
      <c r="F236" s="436"/>
      <c r="G236" s="436"/>
      <c r="H236" s="436"/>
      <c r="I236" s="436"/>
      <c r="J236" s="436"/>
      <c r="K236" s="436"/>
      <c r="L236" s="436"/>
      <c r="M236" s="423"/>
      <c r="N236" s="110"/>
      <c r="Q236" s="494"/>
      <c r="R236" s="495"/>
      <c r="S236" s="495"/>
      <c r="T236" s="495"/>
      <c r="U236" s="495"/>
      <c r="V236" s="495"/>
      <c r="W236" s="495"/>
      <c r="X236" s="495"/>
      <c r="Y236" s="495"/>
      <c r="Z236" s="495"/>
      <c r="AA236" s="495"/>
      <c r="AB236" s="496"/>
    </row>
    <row r="240" spans="4:36" x14ac:dyDescent="0.3">
      <c r="F240" s="1">
        <v>1248371</v>
      </c>
    </row>
    <row r="241" spans="6:23" x14ac:dyDescent="0.3">
      <c r="W241" s="1"/>
    </row>
    <row r="242" spans="6:23" x14ac:dyDescent="0.3">
      <c r="F242">
        <v>700</v>
      </c>
    </row>
    <row r="243" spans="6:23" x14ac:dyDescent="0.3">
      <c r="F243" s="87">
        <f>+F242/F240</f>
        <v>5.6073074430597954E-4</v>
      </c>
    </row>
    <row r="245" spans="6:23" x14ac:dyDescent="0.3">
      <c r="F245" s="1">
        <v>60000</v>
      </c>
    </row>
    <row r="246" spans="6:23" x14ac:dyDescent="0.3">
      <c r="F246">
        <f>+F243*F245</f>
        <v>33.643844658358773</v>
      </c>
    </row>
    <row r="248" spans="6:23" x14ac:dyDescent="0.3">
      <c r="F248" s="1">
        <v>331000000</v>
      </c>
    </row>
    <row r="249" spans="6:23" x14ac:dyDescent="0.3">
      <c r="F249" s="56">
        <f>+W86</f>
        <v>811067</v>
      </c>
    </row>
    <row r="250" spans="6:23" x14ac:dyDescent="0.3">
      <c r="F250" s="57">
        <f>+F249/F248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34:G234"/>
    <mergeCell ref="I234:J234"/>
    <mergeCell ref="E220:M220"/>
    <mergeCell ref="I221:L221"/>
    <mergeCell ref="F223:G223"/>
    <mergeCell ref="E229:J229"/>
    <mergeCell ref="I230:J230"/>
    <mergeCell ref="I232:J232"/>
    <mergeCell ref="I233:J233"/>
    <mergeCell ref="H225:I22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6" t="s">
        <v>5</v>
      </c>
      <c r="C1" s="596"/>
      <c r="D1" s="596"/>
    </row>
    <row r="2" spans="2:31" ht="15.6" x14ac:dyDescent="0.3">
      <c r="B2" s="596" t="s">
        <v>6</v>
      </c>
      <c r="C2" s="596"/>
      <c r="D2" s="596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27" t="s">
        <v>23</v>
      </c>
      <c r="E12" s="728"/>
      <c r="F12" s="728"/>
      <c r="G12" s="728"/>
      <c r="H12" s="72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8"/>
      <c r="T12" s="728"/>
      <c r="U12" s="729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26" t="s">
        <v>62</v>
      </c>
      <c r="Z14" s="726"/>
      <c r="AA14" s="726"/>
      <c r="AB14" s="726"/>
      <c r="AC14" s="726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2020-11-24T03:17:30Z</dcterms:modified>
</cp:coreProperties>
</file>